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C:\Users\christopher.mickelso\Desktop\GRCs\UG 200568\"/>
    </mc:Choice>
  </mc:AlternateContent>
  <xr:revisionPtr revIDLastSave="0" documentId="13_ncr:1_{92B6B4B1-07A9-4BFB-8C37-A3798484F484}" xr6:coauthVersionLast="45" xr6:coauthVersionMax="45" xr10:uidLastSave="{00000000-0000-0000-0000-000000000000}"/>
  <bookViews>
    <workbookView xWindow="-108" yWindow="-108" windowWidth="23256" windowHeight="12576" tabRatio="832" firstSheet="3" activeTab="6" xr2:uid="{00000000-000D-0000-FFFF-FFFF00000000}"/>
  </bookViews>
  <sheets>
    <sheet name="Cover" sheetId="79" state="hidden" r:id="rId1"/>
    <sheet name="TOC" sheetId="80" state="hidden" r:id="rId2"/>
    <sheet name="Title" sheetId="81" state="hidden" r:id="rId3"/>
    <sheet name="Proof ---&gt;" sheetId="85" r:id="rId4"/>
    <sheet name="Exh 2, Proof of Revenue" sheetId="93" r:id="rId5"/>
    <sheet name="Exh 3, Revenue Adjustments" sheetId="95" r:id="rId6"/>
    <sheet name="Exh 4, Revenue Distribution" sheetId="97" r:id="rId7"/>
    <sheet name="Exh 5, Decoupling" sheetId="99" r:id="rId8"/>
    <sheet name="Proof WPs ---&gt;" sheetId="86" r:id="rId9"/>
    <sheet name="1501 Summary" sheetId="102" r:id="rId10"/>
    <sheet name="Revenue Reconcilliation" sheetId="103" r:id="rId11"/>
    <sheet name="End of Period Calculations" sheetId="104" r:id="rId12"/>
    <sheet name="Allocation Report Summary 2019" sheetId="105" r:id="rId13"/>
    <sheet name="Weather Normalization" sheetId="106" r:id="rId14"/>
    <sheet name="WACAP 2019" sheetId="107" r:id="rId15"/>
    <sheet name="2020 New Customers" sheetId="108" r:id="rId16"/>
    <sheet name="Billing Correction" sheetId="109" r:id="rId17"/>
    <sheet name="Rev Req ---&gt;" sheetId="87" r:id="rId18"/>
    <sheet name="Exh 6, ROO Summary" sheetId="1" r:id="rId19"/>
    <sheet name="Exh 7, Rev Req Calc" sheetId="26" r:id="rId20"/>
    <sheet name="Exh 8, Conversion Factor" sheetId="2" r:id="rId21"/>
    <sheet name="Exh 9, Summary of Adj" sheetId="4" r:id="rId22"/>
    <sheet name="Exh 10, Plant Additions" sheetId="49" r:id="rId23"/>
    <sheet name="Exh 11, Supporting Explanations" sheetId="50" r:id="rId24"/>
    <sheet name="RR WPs ---&gt;" sheetId="88" r:id="rId25"/>
    <sheet name="Plant Summary" sheetId="159" r:id="rId26"/>
    <sheet name="Exhibit PCD-4" sheetId="152" r:id="rId27"/>
    <sheet name="R&amp;R Adjustment" sheetId="160" r:id="rId28"/>
    <sheet name="Operating Report" sheetId="31" r:id="rId29"/>
    <sheet name="Rate Base" sheetId="32" r:id="rId30"/>
    <sheet name="Plant in Serv &amp; Accum Depr" sheetId="58" r:id="rId31"/>
    <sheet name="Adv for Const. &amp; Def Tax" sheetId="59" r:id="rId32"/>
    <sheet name="Capital Structure Calculation" sheetId="3" r:id="rId33"/>
    <sheet name="Long-Term Debt" sheetId="154" r:id="rId34"/>
    <sheet name="State Allocation Formulas" sheetId="60" r:id="rId35"/>
    <sheet name="Annualize CRM Adjustment" sheetId="73" r:id="rId36"/>
    <sheet name="Advertising Adj" sheetId="18" r:id="rId37"/>
    <sheet name="Restate Revenues Adjustment" sheetId="70" r:id="rId38"/>
    <sheet name="EOP Revenue Adjustment" sheetId="74" r:id="rId39"/>
    <sheet name="EOP Depreciation Expense Adj" sheetId="67" r:id="rId40"/>
    <sheet name="Restate &amp; Pro Forma Wage Adjust" sheetId="6" r:id="rId41"/>
    <sheet name="Executive Incentives" sheetId="164" r:id="rId42"/>
    <sheet name="Interest Coord. Adj." sheetId="24" r:id="rId43"/>
    <sheet name="Pro Forma Plant Additions" sheetId="13" r:id="rId44"/>
    <sheet name="MAOP UG-160787 Deferral" sheetId="38" r:id="rId45"/>
    <sheet name=" Working Capital (AMA)" sheetId="62" r:id="rId46"/>
    <sheet name="Rate Design ---&gt;" sheetId="91" state="hidden" r:id="rId47"/>
    <sheet name="Exh 17, Class Revenue" sheetId="75" state="hidden" r:id="rId48"/>
    <sheet name="Exh 18, Class Rates" sheetId="76" state="hidden" r:id="rId49"/>
    <sheet name="Exh 19, RES Monthly Impact" sheetId="77" state="hidden" r:id="rId50"/>
    <sheet name="Exh 20, Bill Impacts" sheetId="78" state="hidden" r:id="rId51"/>
    <sheet name="RD WPs ---&gt;" sheetId="92"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localSheetId="41" hidden="1">{"annual",#N/A,FALSE,"Pro Forma";#N/A,#N/A,FALSE,"Golf Operations"}</definedName>
    <definedName name="_cd1" localSheetId="33" hidden="1">{"annual",#N/A,FALSE,"Pro Forma";#N/A,#N/A,FALSE,"Golf Operations"}</definedName>
    <definedName name="_cd1" hidden="1">{"annual",#N/A,FALSE,"Pro Forma";#N/A,#N/A,FALSE,"Golf Operations"}</definedName>
    <definedName name="_Col1">#REF!</definedName>
    <definedName name="_Col2">#REF!</definedName>
    <definedName name="_Dist_Values" localSheetId="33" hidden="1">#REF!</definedName>
    <definedName name="_Dist_Values" localSheetId="2" hidden="1">#REF!</definedName>
    <definedName name="_Dist_Values" hidden="1">#REF!</definedName>
    <definedName name="_Fill" localSheetId="33" hidden="1">[1]Summary!#REF!</definedName>
    <definedName name="_Fill" localSheetId="2" hidden="1">#REF!</definedName>
    <definedName name="_Fill" hidden="1">#REF!</definedName>
    <definedName name="_xlnm._FilterDatabase" localSheetId="22" hidden="1">'Exh 10, Plant Additions'!$A$7:$K$196</definedName>
    <definedName name="_gr1" localSheetId="41" hidden="1">{"three",#N/A,FALSE,"Capital";"four",#N/A,FALSE,"Capital"}</definedName>
    <definedName name="_gr1" localSheetId="33" hidden="1">{"three",#N/A,FALSE,"Capital";"four",#N/A,FALSE,"Capital"}</definedName>
    <definedName name="_gr1" hidden="1">{"three",#N/A,FALSE,"Capital";"four",#N/A,FALSE,"Capital"}</definedName>
    <definedName name="_Key1" hidden="1">[2]RENT!#REF!</definedName>
    <definedName name="_Order1" localSheetId="33" hidden="1">255</definedName>
    <definedName name="_Order1" hidden="1">0</definedName>
    <definedName name="_Order2" hidden="1">255</definedName>
    <definedName name="_Regression_Int" hidden="1">1</definedName>
    <definedName name="_Regression_Out" localSheetId="33" hidden="1">#REF!</definedName>
    <definedName name="_Regression_Out" localSheetId="2" hidden="1">#REF!</definedName>
    <definedName name="_Regression_Out" hidden="1">#REF!</definedName>
    <definedName name="_Regression_X" localSheetId="33" hidden="1">#REF!</definedName>
    <definedName name="_Regression_X" localSheetId="2" hidden="1">#REF!</definedName>
    <definedName name="_Regression_X" hidden="1">#REF!</definedName>
    <definedName name="_Regression_Y" localSheetId="33" hidden="1">#REF!</definedName>
    <definedName name="_Regression_Y" localSheetId="2" hidden="1">#REF!</definedName>
    <definedName name="_Regression_Y" hidden="1">#REF!</definedName>
    <definedName name="_Row1">#REF!</definedName>
    <definedName name="_Row2">#REF!</definedName>
    <definedName name="_Sort" localSheetId="33" hidden="1">#REF!</definedName>
    <definedName name="_Sort" hidden="1">#REF!</definedName>
    <definedName name="_wr1" localSheetId="41" hidden="1">{"Output-3Column",#N/A,FALSE,"Output"}</definedName>
    <definedName name="_wr1" localSheetId="33" hidden="1">{"Output-3Column",#N/A,FALSE,"Output"}</definedName>
    <definedName name="_wr1" hidden="1">{"Output-3Column",#N/A,FALSE,"Output"}</definedName>
    <definedName name="_wrn1" localSheetId="41" hidden="1">{"Inflation-BaseYear",#N/A,FALSE,"Inputs"}</definedName>
    <definedName name="_wrn1" localSheetId="33" hidden="1">{"Inflation-BaseYear",#N/A,FALSE,"Inputs"}</definedName>
    <definedName name="_wrn1" hidden="1">{"Inflation-BaseYear",#N/A,FALSE,"Inputs"}</definedName>
    <definedName name="a" localSheetId="41" hidden="1">{"Print_Detail",#N/A,FALSE,"Redemption_Maturity Extract"}</definedName>
    <definedName name="a" localSheetId="33" hidden="1">{"Print_Detail",#N/A,FALSE,"Redemption_Maturity Extract"}</definedName>
    <definedName name="a" hidden="1">{"Print_Detail",#N/A,FALSE,"Redemption_Maturity Extract"}</definedName>
    <definedName name="AccessCode" hidden="1">""""</definedName>
    <definedName name="AccessDatabase" hidden="1">"C:\ncux\bud\rms_inv.mdb"</definedName>
    <definedName name="ActOrTarget" localSheetId="41">[3]Registry!$E$81</definedName>
    <definedName name="ActOrTarget">#REF!</definedName>
    <definedName name="ActualOrTarget" localSheetId="41">[3]Verify!$E$83</definedName>
    <definedName name="ActualOrTarget">#REF!</definedName>
    <definedName name="ACwvu.allocations." localSheetId="33" hidden="1">#REF!</definedName>
    <definedName name="ACwvu.allocations." hidden="1">#REF!</definedName>
    <definedName name="ACwvu.annual._.hotel." hidden="1">[4]development!$C$5</definedName>
    <definedName name="ACwvu.bottom._.line." hidden="1">[4]development!#REF!</definedName>
    <definedName name="ACwvu.cash._.flow." localSheetId="33" hidden="1">#REF!</definedName>
    <definedName name="ACwvu.cash._.flow." hidden="1">#REF!</definedName>
    <definedName name="ACwvu.combo." hidden="1">[4]development!$B$89</definedName>
    <definedName name="ACwvu.full." localSheetId="33" hidden="1">#REF!</definedName>
    <definedName name="ACwvu.full." hidden="1">#REF!</definedName>
    <definedName name="ACwvu.offsite." localSheetId="33" hidden="1">#REF!</definedName>
    <definedName name="ACwvu.offsite." hidden="1">#REF!</definedName>
    <definedName name="ACwvu.onsite." localSheetId="33" hidden="1">#REF!</definedName>
    <definedName name="ACwvu.onsite." hidden="1">#REF!</definedName>
    <definedName name="AFactor" localSheetId="41">[3]Factors!$D$12:$Z$806</definedName>
    <definedName name="AFactor">#REF!</definedName>
    <definedName name="AFACTORP">#REF!</definedName>
    <definedName name="AFirst" localSheetId="41">[3]Factors!$D$12:$D$804</definedName>
    <definedName name="AFirst">#REF!</definedName>
    <definedName name="AllocRevReq">#REF!</definedName>
    <definedName name="AllocStep">#REF!</definedName>
    <definedName name="AlloRN">#REF!</definedName>
    <definedName name="AlwaysFact">#REF!</definedName>
    <definedName name="anscount" hidden="1">2</definedName>
    <definedName name="AS2DocOpenMode">"AS2DocumentEdit"</definedName>
    <definedName name="b" localSheetId="41" hidden="1">{"One",#N/A,FALSE,"CClub";"Two",#N/A,FALSE,"CClub";"Three",#N/A,FALSE,"CClub";"Four",#N/A,FALSE,"CClub";"Five",#N/A,FALSE,"CClub"}</definedName>
    <definedName name="b" localSheetId="33" hidden="1">{"One",#N/A,FALSE,"CClub";"Two",#N/A,FALSE,"CClub";"Three",#N/A,FALSE,"CClub";"Four",#N/A,FALSE,"CClub";"Five",#N/A,FALSE,"CClub"}</definedName>
    <definedName name="b" hidden="1">{"One",#N/A,FALSE,"CClub";"Two",#N/A,FALSE,"CClub";"Three",#N/A,FALSE,"CClub";"Four",#N/A,FALSE,"CClub";"Five",#N/A,FALSE,"CClub"}</definedName>
    <definedName name="BillRN" localSheetId="41">[3]Registry!$E$138</definedName>
    <definedName name="BillRN">#REF!</definedName>
    <definedName name="BillTargetROR" localSheetId="41">[3]Verify!$E$74</definedName>
    <definedName name="BillTargetROR">#REF!</definedName>
    <definedName name="BNE_MESSAGES_HIDDEN" localSheetId="33" hidden="1">#REF!</definedName>
    <definedName name="BNE_MESSAGES_HIDDEN" hidden="1">#REF!</definedName>
    <definedName name="ByFunct">#REF!</definedName>
    <definedName name="Case" localSheetId="41">[3]Input!$E$5</definedName>
    <definedName name="Case">#REF!</definedName>
    <definedName name="CASE_E">'[5]Named Ranges E'!$C$4</definedName>
    <definedName name="CASE_GAS">'[6]Named Ranges G'!$C$4</definedName>
    <definedName name="CBWorkbookPriority">-2060790043</definedName>
    <definedName name="CCPTargetROR" localSheetId="41">[3]Verify!$E$76</definedName>
    <definedName name="CCPTargetROR">#REF!</definedName>
    <definedName name="cd" localSheetId="41" hidden="1">{"annual",#N/A,FALSE,"Pro Forma";#N/A,#N/A,FALSE,"Golf Operations"}</definedName>
    <definedName name="cd" localSheetId="33" hidden="1">{"annual",#N/A,FALSE,"Pro Forma";#N/A,#N/A,FALSE,"Golf Operations"}</definedName>
    <definedName name="cd" hidden="1">{"annual",#N/A,FALSE,"Pro Forma";#N/A,#N/A,FALSE,"Golf Operations"}</definedName>
    <definedName name="CF">#REF!</definedName>
    <definedName name="CFactor" localSheetId="41">[3]Factors!$AN$12:$AR$258</definedName>
    <definedName name="CFactor">#REF!</definedName>
    <definedName name="CFD">#REF!</definedName>
    <definedName name="CFirst">#REF!</definedName>
    <definedName name="CH">#REF!</definedName>
    <definedName name="CHD">#REF!</definedName>
    <definedName name="ClasRN">#REF!</definedName>
    <definedName name="ClassList">#REF!</definedName>
    <definedName name="ClassNames">#REF!</definedName>
    <definedName name="ClassRRDiff">#REF!</definedName>
    <definedName name="Comp">'[7]Named Ranges'!$C$8</definedName>
    <definedName name="Comp_E">'[5]Named Ranges E'!$C$8</definedName>
    <definedName name="Comp_GAS">'[6]Named Ranges G'!$C$8</definedName>
    <definedName name="Company" hidden="1">[8]Title!$A$2</definedName>
    <definedName name="CompanyD" localSheetId="41">[3]Title!$A$2</definedName>
    <definedName name="CompanyD">Title!$A$2</definedName>
    <definedName name="CoverRange">#REF!</definedName>
    <definedName name="CoverSheetName">#REF!</definedName>
    <definedName name="CPTTargetROR" localSheetId="41">[3]Verify!$E$75</definedName>
    <definedName name="CPTTargetROR">#REF!</definedName>
    <definedName name="CurrentValues">#REF!</definedName>
    <definedName name="Cwvu.annual." localSheetId="33" hidden="1">#REF!,#REF!,#REF!,#REF!,#REF!,#REF!,#REF!,#REF!,#REF!,#REF!,#REF!,#REF!,#REF!,#REF!,#REF!,#REF!,#REF!,#REF!,#REF!,#REF!,#REF!,#REF!,#REF!,#REF!</definedName>
    <definedName name="Cwvu.annual." hidden="1">#REF!,#REF!,#REF!,#REF!,#REF!,#REF!,#REF!,#REF!,#REF!,#REF!,#REF!,#REF!,#REF!,#REF!,#REF!,#REF!,#REF!,#REF!,#REF!,#REF!,#REF!,#REF!,#REF!,#REF!</definedName>
    <definedName name="Cwvu.annual._.hotel." hidden="1">[4]development!$A$16:$IV$16,[4]development!$A$21:$IV$21,[4]development!#REF!,[4]development!#REF!,[4]development!$A$36:$IV$36,[4]development!$A$46:$IV$46,[4]development!#REF!,[4]development!#REF!,[4]development!#REF!,[4]development!#REF!,[4]development!#REF!,[4]development!#REF!,[4]development!#REF!,[4]development!#REF!,[4]development!#REF!,[4]development!$A$89:$IV$89,[4]development!#REF!,[4]development!#REF!,[4]development!#REF!</definedName>
    <definedName name="Cwvu.bottom._.line." hidden="1">[4]development!$A$16:$IV$16,[4]development!$A$21:$IV$21,[4]development!#REF!,[4]development!#REF!,[4]development!$A$36:$IV$36,[4]development!$A$46:$IV$46,[4]development!#REF!,[4]development!#REF!,[4]development!#REF!,[4]development!#REF!,[4]development!#REF!,[4]development!#REF!,[4]development!#REF!,[4]development!#REF!,[4]development!#REF!,[4]development!$A$89:$IV$89,[4]development!#REF!,[4]development!#REF!,[4]development!#REF!,[4]development!#REF!,[4]development!#REF!,[4]development!#REF!</definedName>
    <definedName name="Cwvu.cash._.flow." localSheetId="3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hidden="1">[4]development!$A$16:$IV$16,[4]development!$A$21:$IV$21,[4]development!#REF!,[4]development!#REF!,[4]development!$A$36:$IV$36,[4]development!$A$46:$IV$46,[4]development!#REF!,[4]development!#REF!,[4]development!#REF!,[4]development!#REF!,[4]development!#REF!,[4]development!#REF!,[4]development!#REF!,[4]development!#REF!,[4]development!#REF!,[4]development!$A$85:$IV$85,[4]development!$A$89:$IV$89,[4]development!$A$91:$IV$91,[4]development!#REF!,[4]development!#REF!,[4]development!#REF!,[4]development!#REF!</definedName>
    <definedName name="dd" localSheetId="41" hidden="1">{"Print_Detail",#N/A,FALSE,"Redemption_Maturity Extract"}</definedName>
    <definedName name="dd" localSheetId="33" hidden="1">{"Print_Detail",#N/A,FALSE,"Redemption_Maturity Extract"}</definedName>
    <definedName name="dd" hidden="1">{"Print_Detail",#N/A,FALSE,"Redemption_Maturity Extract"}</definedName>
    <definedName name="ddd" localSheetId="41" hidden="1">{"Full",#N/A,FALSE,"Sec MTN B Summary"}</definedName>
    <definedName name="ddd" localSheetId="33" hidden="1">{"Full",#N/A,FALSE,"Sec MTN B Summary"}</definedName>
    <definedName name="ddd" hidden="1">{"Full",#N/A,FALSE,"Sec MTN B Summary"}</definedName>
    <definedName name="dddd" localSheetId="41" hidden="1">{"RedPrem_InitRed View",#N/A,FALSE,"Sec MTN B Summary"}</definedName>
    <definedName name="dddd" localSheetId="33" hidden="1">{"RedPrem_InitRed View",#N/A,FALSE,"Sec MTN B Summary"}</definedName>
    <definedName name="dddd" hidden="1">{"RedPrem_InitRed View",#N/A,FALSE,"Sec MTN B Summary"}</definedName>
    <definedName name="dddddd" localSheetId="41" hidden="1">{"Pivot1",#N/A,FALSE,"Redemption_Maturity Extract"}</definedName>
    <definedName name="dddddd" localSheetId="33" hidden="1">{"Pivot1",#N/A,FALSE,"Redemption_Maturity Extract"}</definedName>
    <definedName name="dddddd" hidden="1">{"Pivot1",#N/A,FALSE,"Redemption_Maturity Extract"}</definedName>
    <definedName name="dddddddd" localSheetId="41" hidden="1">{"Pivot2",#N/A,FALSE,"Redemption_Maturity Extract"}</definedName>
    <definedName name="dddddddd" localSheetId="33" hidden="1">{"Pivot2",#N/A,FALSE,"Redemption_Maturity Extract"}</definedName>
    <definedName name="dddddddd" hidden="1">{"Pivot2",#N/A,FALSE,"Redemption_Maturity Extract"}</definedName>
    <definedName name="Display_Week" localSheetId="41">[3]Schedule!$G$4</definedName>
    <definedName name="Display_Week">#REF!</definedName>
    <definedName name="DistRN" localSheetId="41">[3]Registry!$E$137</definedName>
    <definedName name="DistRN">#REF!</definedName>
    <definedName name="DistTargetROR" localSheetId="41">[3]Verify!$E$73</definedName>
    <definedName name="DistTargetROR">#REF!</definedName>
    <definedName name="DOCKETNUMBER">'[7]Named Ranges'!$C$6</definedName>
    <definedName name="DOCKETNUMBER_E">'[5]Named Ranges E'!$C$6</definedName>
    <definedName name="DOCKETNUMBER_GAS">'[6]Named Ranges G'!$C$6</definedName>
    <definedName name="EFFECTFIT">#REF!</definedName>
    <definedName name="EFFECTGRT">#REF!</definedName>
    <definedName name="EFFECTROR" localSheetId="41">[3]Verify!$D$61</definedName>
    <definedName name="EFFECTROR">#REF!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PENSE_SUMMARY_BY_FUNCTION">#REF!</definedName>
    <definedName name="f8TargetROR" localSheetId="41">[3]Verify!$E$77</definedName>
    <definedName name="f8TargetROR">#REF!</definedName>
    <definedName name="FACCOUNT">#REF!</definedName>
    <definedName name="FactorNames">#REF!</definedName>
    <definedName name="FFactor" localSheetId="41">[3]Factors!$AC$12:$AL$131</definedName>
    <definedName name="FFactor">#REF!</definedName>
    <definedName name="fffff" localSheetId="41" hidden="1">{"ALL",#N/A,FALSE,"A"}</definedName>
    <definedName name="fffff" localSheetId="33" hidden="1">{"ALL",#N/A,FALSE,"A"}</definedName>
    <definedName name="fffff" localSheetId="2" hidden="1">{"ALL",#N/A,FALSE,"A"}</definedName>
    <definedName name="fffff" hidden="1">{"ALL",#N/A,FALSE,"A"}</definedName>
    <definedName name="FFirst" localSheetId="41">[3]Factors!$AC$12:$AC$131</definedName>
    <definedName name="FFirst">#REF!</definedName>
    <definedName name="first_day">'[9]Historic Data'!$K$3</definedName>
    <definedName name="FIT">'[7]Named Ranges'!$C$3</definedName>
    <definedName name="FIT_E">'[5]Named Ranges E'!$C$3</definedName>
    <definedName name="FIT_GAS">'[6]Named Ranges G'!$C$3</definedName>
    <definedName name="fsdfsad" localSheetId="41" hidden="1">{"ALL",#N/A,FALSE,"A"}</definedName>
    <definedName name="fsdfsad" localSheetId="33" hidden="1">{"ALL",#N/A,FALSE,"A"}</definedName>
    <definedName name="fsdfsad" localSheetId="2" hidden="1">{"ALL",#N/A,FALSE,"A"}</definedName>
    <definedName name="fsdfsad" hidden="1">{"ALL",#N/A,FALSE,"A"}</definedName>
    <definedName name="Func6RN" localSheetId="41">[3]Registry!$E$139</definedName>
    <definedName name="Func6RN">#REF!</definedName>
    <definedName name="Func7RN" localSheetId="41">[3]Registry!$E$140</definedName>
    <definedName name="Func7RN">#REF!</definedName>
    <definedName name="Func8RN" localSheetId="41">[3]Registry!$E$141</definedName>
    <definedName name="Func8RN">#REF!</definedName>
    <definedName name="FuncRN">#REF!</definedName>
    <definedName name="Function1" localSheetId="41">[3]Functions!$G$9</definedName>
    <definedName name="Function1">#REF!</definedName>
    <definedName name="Function2" localSheetId="41">[3]Functions!$H$9</definedName>
    <definedName name="Function2">#REF!</definedName>
    <definedName name="Function3" localSheetId="41">[3]Functions!$I$9</definedName>
    <definedName name="Function3">#REF!</definedName>
    <definedName name="Function4" localSheetId="41">[3]Functions!$J$9</definedName>
    <definedName name="Function4">#REF!</definedName>
    <definedName name="Function5" localSheetId="41">[3]Functions!$K$9</definedName>
    <definedName name="Function5">#REF!</definedName>
    <definedName name="Function6" localSheetId="41">[3]Functions!$L$9</definedName>
    <definedName name="Function6">#REF!</definedName>
    <definedName name="Function7" localSheetId="41">[3]Functions!$M$9</definedName>
    <definedName name="Function7">#REF!</definedName>
    <definedName name="Function8" localSheetId="41">[3]Functions!$N$9</definedName>
    <definedName name="Function8">#REF!</definedName>
    <definedName name="FunctRBDelta">#REF!</definedName>
    <definedName name="FunctRRDelta">#REF!</definedName>
    <definedName name="Global">#REF!</definedName>
    <definedName name="gr" localSheetId="41" hidden="1">{"three",#N/A,FALSE,"Capital";"four",#N/A,FALSE,"Capital"}</definedName>
    <definedName name="gr" localSheetId="33" hidden="1">{"three",#N/A,FALSE,"Capital";"four",#N/A,FALSE,"Capital"}</definedName>
    <definedName name="gr" hidden="1">{"three",#N/A,FALSE,"Capital";"four",#N/A,FALSE,"Capital"}</definedName>
    <definedName name="GRTFctr">#REF!</definedName>
    <definedName name="help" localSheetId="41" hidden="1">{"ALL",#N/A,FALSE,"A"}</definedName>
    <definedName name="help" localSheetId="33" hidden="1">{"ALL",#N/A,FALSE,"A"}</definedName>
    <definedName name="help" localSheetId="2" hidden="1">{"ALL",#N/A,FALSE,"A"}</definedName>
    <definedName name="help" hidden="1">{"ALL",#N/A,FALSE,"A"}</definedName>
    <definedName name="HTML_CodePage">1252</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D_Gas">'[10]DEBT CALC'!#REF!</definedName>
    <definedName name="IncDelta">#REF!</definedName>
    <definedName name="IncTaxFctr">#REF!</definedName>
    <definedName name="InputFile">#REF!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IM" localSheetId="41" hidden="1">{#N/A,#N/A,FALSE,"Sheet5"}</definedName>
    <definedName name="JIM" localSheetId="33" hidden="1">{#N/A,#N/A,FALSE,"Sheet5"}</definedName>
    <definedName name="JIM" hidden="1">{#N/A,#N/A,FALSE,"Sheet5"}</definedName>
    <definedName name="June" localSheetId="41" hidden="1">{"three",#N/A,FALSE,"Capital";"four",#N/A,FALSE,"Capital"}</definedName>
    <definedName name="June" localSheetId="33" hidden="1">{"three",#N/A,FALSE,"Capital";"four",#N/A,FALSE,"Capital"}</definedName>
    <definedName name="June" hidden="1">{"three",#N/A,FALSE,"Capital";"four",#N/A,FALSE,"Capital"}</definedName>
    <definedName name="K2_WBEVMODE" hidden="1">0</definedName>
    <definedName name="labCase">#REF!</definedName>
    <definedName name="labMode">#REF!</definedName>
    <definedName name="LF">#REF!</definedName>
    <definedName name="LFD">#REF!</definedName>
    <definedName name="LH">#REF!</definedName>
    <definedName name="LHD">#REF!</definedName>
    <definedName name="limcount" hidden="1">3</definedName>
    <definedName name="MaxActual">#REF!</definedName>
    <definedName name="MaxDiff" localSheetId="41">[3]Registry!$E$77</definedName>
    <definedName name="MaxDiff">#REF!</definedName>
    <definedName name="MaxIter">#REF!</definedName>
    <definedName name="MinIter">#REF!</definedName>
    <definedName name="Mode" localSheetId="41">[3]Registry!$E$89</definedName>
    <definedName name="Mode">#REF!</definedName>
    <definedName name="MuniFctr">#REF!</definedName>
    <definedName name="OPENING">#REF!</definedName>
    <definedName name="OthGRT">#REF!</definedName>
    <definedName name="Pages">#REF!</definedName>
    <definedName name="PagesD">#REF!</definedName>
    <definedName name="Pal_Workbook_GUID" hidden="1">"VX3CWJGNQX2CCGI81U4N2V76"</definedName>
    <definedName name="PPPPPPPPPPPPPPPP" localSheetId="41" hidden="1">{#N/A,#N/A,FALSE,"Sheet5"}</definedName>
    <definedName name="PPPPPPPPPPPPPPPP" localSheetId="33" hidden="1">{#N/A,#N/A,FALSE,"Sheet5"}</definedName>
    <definedName name="PPPPPPPPPPPPPPPP" hidden="1">{#N/A,#N/A,FALSE,"Sheet5"}</definedName>
    <definedName name="_xlnm.Print_Area" localSheetId="9">'1501 Summary'!$A$1:$AE$432</definedName>
    <definedName name="_xlnm.Print_Area" localSheetId="15">'2020 New Customers'!$A$1:$Q$20</definedName>
    <definedName name="_xlnm.Print_Area" localSheetId="12">'Allocation Report Summary 2019'!$A$1:$P$29</definedName>
    <definedName name="_xlnm.Print_Area" localSheetId="35">'Annualize CRM Adjustment'!$A$1:$I$11</definedName>
    <definedName name="_xlnm.Print_Area" localSheetId="16">'Billing Correction'!$A$1:$E$39</definedName>
    <definedName name="_xlnm.Print_Area" localSheetId="32">'Capital Structure Calculation'!$A$1:$J$17</definedName>
    <definedName name="_xlnm.Print_Area" localSheetId="38">'EOP Revenue Adjustment'!$A$1:$F$14</definedName>
    <definedName name="_xlnm.Print_Area" localSheetId="41">'Executive Incentives'!$A$1:$G$42</definedName>
    <definedName name="_xlnm.Print_Area" localSheetId="23">'Exh 11, Supporting Explanations'!$A$1:$C$63</definedName>
    <definedName name="_xlnm.Print_Area" localSheetId="47">'Exh 17, Class Revenue'!$A$1:$G$39</definedName>
    <definedName name="_xlnm.Print_Area" localSheetId="48">'Exh 18, Class Rates'!$B$1:$L$54</definedName>
    <definedName name="_xlnm.Print_Area" localSheetId="49">'Exh 19, RES Monthly Impact'!$A$1:$H$37</definedName>
    <definedName name="_xlnm.Print_Area" localSheetId="4">'Exh 2, Proof of Revenue'!$A$1:$AK$605</definedName>
    <definedName name="_xlnm.Print_Area" localSheetId="50">'Exh 20, Bill Impacts'!$A$1:$H$345</definedName>
    <definedName name="_xlnm.Print_Area" localSheetId="7">'Exh 5, Decoupling'!$A$1:$P$67</definedName>
    <definedName name="_xlnm.Print_Area" localSheetId="18">'Exh 6, ROO Summary'!$B$1:$W$40</definedName>
    <definedName name="_xlnm.Print_Area" localSheetId="21">'Exh 9, Summary of Adj'!$A$1:$AB$41</definedName>
    <definedName name="_xlnm.Print_Area" localSheetId="26">'Exhibit PCD-4'!$A$1:$M$38</definedName>
    <definedName name="_xlnm.Print_Area" localSheetId="33">'Long-Term Debt'!$A$1:$P$24</definedName>
    <definedName name="_xlnm.Print_Area" localSheetId="28">'Operating Report'!$A$1:$H$187,'Operating Report'!$I$1:$AA$158</definedName>
    <definedName name="_xlnm.Print_Area" localSheetId="25">'Plant Summary'!$A$1:$D$35</definedName>
    <definedName name="_xlnm.Print_Area" localSheetId="43">'Pro Forma Plant Additions'!$A$1:$F$32</definedName>
    <definedName name="_xlnm.Print_Area" localSheetId="27">'R&amp;R Adjustment'!$A$1:$C$40</definedName>
    <definedName name="_xlnm.Print_Area" localSheetId="40">'Restate &amp; Pro Forma Wage Adjust'!$A$1:$Q$118</definedName>
    <definedName name="_xlnm.Print_Area" localSheetId="37">'Restate Revenues Adjustment'!$A$1:$H$27</definedName>
    <definedName name="_xlnm.Print_Area" localSheetId="34">'State Allocation Formulas'!$A$1:$T$80</definedName>
    <definedName name="_xlnm.Print_Area" localSheetId="2">Title!$A$2:$I$13</definedName>
    <definedName name="_xlnm.Print_Area" localSheetId="14">'WACAP 2019'!$A$1:$AF$200</definedName>
    <definedName name="Print_for_Checking">'[10]ADJ SUMMARY'!#REF!:'[10]ADJ SUMMARY'!#REF!</definedName>
    <definedName name="_xlnm.Print_Titles" localSheetId="45">' Working Capital (AMA)'!$1:$10</definedName>
    <definedName name="_xlnm.Print_Titles" localSheetId="31">'Adv for Const. &amp; Def Tax'!$A:$A,'Adv for Const. &amp; Def Tax'!$1:$8</definedName>
    <definedName name="_xlnm.Print_Titles" localSheetId="36">'Advertising Adj'!$1:$5</definedName>
    <definedName name="_xlnm.Print_Titles" localSheetId="22">'Exh 10, Plant Additions'!$A:$A,'Exh 10, Plant Additions'!$1:$7</definedName>
    <definedName name="_xlnm.Print_Titles" localSheetId="23">'Exh 11, Supporting Explanations'!$A:$C,'Exh 11, Supporting Explanations'!$1:$7</definedName>
    <definedName name="_xlnm.Print_Titles" localSheetId="4">'Exh 2, Proof of Revenue'!$1:$5</definedName>
    <definedName name="_xlnm.Print_Titles" localSheetId="26">'Exhibit PCD-4'!$A:$M,'Exhibit PCD-4'!$1:$5</definedName>
    <definedName name="_xlnm.Print_Titles" localSheetId="28">'Operating Report'!$A:$A,'Operating Report'!$1:$13</definedName>
    <definedName name="_xlnm.Print_Titles" localSheetId="30">'Plant in Serv &amp; Accum Depr'!$A:$A,'Plant in Serv &amp; Accum Depr'!$1:$8</definedName>
    <definedName name="_xlnm.Print_Titles" localSheetId="40">'Restate &amp; Pro Forma Wage Adjust'!$1:$7</definedName>
    <definedName name="PrintAllocSum">#REF!</definedName>
    <definedName name="PrintClassDet">#REF!</definedName>
    <definedName name="PrintClassGas">#REF!</definedName>
    <definedName name="PrintClassLabor">#REF!</definedName>
    <definedName name="PrintClassMerDel">#REF!</definedName>
    <definedName name="PrintClassRevReq">#REF!</definedName>
    <definedName name="PrintClassSum">#REF!</definedName>
    <definedName name="PrintExpenseMain">#REF!</definedName>
    <definedName name="PrintFunctDet">#REF!</definedName>
    <definedName name="PrintFunctGas">#REF!</definedName>
    <definedName name="PrintFunctLabor">#REF!</definedName>
    <definedName name="PrintFunctMerDel">#REF!</definedName>
    <definedName name="PrintFunctRevReq">#REF!</definedName>
    <definedName name="PrintFunctSum">#REF!</definedName>
    <definedName name="PrintMainDetail">#REF!</definedName>
    <definedName name="PrintMainGas">#REF!</definedName>
    <definedName name="PrintMainLabor">#REF!</definedName>
    <definedName name="PrintMainRevReq">#REF!</definedName>
    <definedName name="PrintMainSum">#REF!</definedName>
    <definedName name="PrintMerDelMain">#REF!</definedName>
    <definedName name="PrintRBMain">#REF!</definedName>
    <definedName name="PrintSumExp">#REF!</definedName>
    <definedName name="PrintVer">#REF!</definedName>
    <definedName name="PriorValues">#REF!</definedName>
    <definedName name="Project_Start" localSheetId="41">[3]Schedule!$G$3</definedName>
    <definedName name="Project_Start">#REF!</definedName>
    <definedName name="Q">#REF!</definedName>
    <definedName name="QUICKLIST">#REF!</definedName>
    <definedName name="rAAllocCols">#REF!</definedName>
    <definedName name="rAcctDol" localSheetId="41">[3]Functions!$E:$E</definedName>
    <definedName name="rAcctDol">#REF!</definedName>
    <definedName name="rAllocCols">#REF!</definedName>
    <definedName name="rAllocFound">#REF!</definedName>
    <definedName name="rAlloChkTot" localSheetId="41">[3]Total!$AB:$AB</definedName>
    <definedName name="rAlloChkTot">#REF!</definedName>
    <definedName name="rAlloList">#REF!</definedName>
    <definedName name="rAlloTemp">#REF!</definedName>
    <definedName name="RBDelta">#REF!</definedName>
    <definedName name="rCellJump">#REF!</definedName>
    <definedName name="rCheck">#REF!</definedName>
    <definedName name="rClasChkTot">#REF!</definedName>
    <definedName name="rClassRR" localSheetId="41">[3]Total!$F$768:$Z$768</definedName>
    <definedName name="rClassRR">#REF!</definedName>
    <definedName name="rCol" localSheetId="41">[3]Total!$F$10:$AA$10</definedName>
    <definedName name="rCol">#REF!</definedName>
    <definedName name="ResGRT">#REF!</definedName>
    <definedName name="RF">#REF!</definedName>
    <definedName name="rFAllocCols">#REF!</definedName>
    <definedName name="RFD">#REF!</definedName>
    <definedName name="rFuncAlloc" localSheetId="41">[3]Functions!$F:$F</definedName>
    <definedName name="rFuncAlloc">#REF!</definedName>
    <definedName name="rFuncChkTot" localSheetId="41">[3]Functions!$P:$P</definedName>
    <definedName name="rFuncChkTot">#REF!</definedName>
    <definedName name="rFuncNum" localSheetId="41">[3]Functions!$C:$C</definedName>
    <definedName name="rFuncNum">#REF!</definedName>
    <definedName name="rFunctCols" localSheetId="41">[3]Functions!$R:$R</definedName>
    <definedName name="rFunctCols">#REF!</definedName>
    <definedName name="rFuncTitle" localSheetId="41">[3]Functions!$B:$B</definedName>
    <definedName name="rFuncTitle">#REF!</definedName>
    <definedName name="rge2Calc">#REF!</definedName>
    <definedName name="rgeClasses">#REF!</definedName>
    <definedName name="rgeClasses1" localSheetId="41">[3]Total!$F$7:$AA$7</definedName>
    <definedName name="rgeClasses1">#REF!</definedName>
    <definedName name="rgeClasses2" localSheetId="41">[3]Total!$F$8:$AA$8</definedName>
    <definedName name="rgeClasses2">#REF!</definedName>
    <definedName name="rgeClasses3" localSheetId="41">[3]Total!$F$9:$AA$9</definedName>
    <definedName name="rgeClasses3">#REF!</definedName>
    <definedName name="RH">#REF!</definedName>
    <definedName name="RHD">#REF!</definedName>
    <definedName name="rInputRang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ine" localSheetId="41">[3]Functions!$A:$A</definedName>
    <definedName name="rLine">#REF!</definedName>
    <definedName name="rQLCrit" localSheetId="41">[3]Registry!$E$119</definedName>
    <definedName name="rQLCrit">#REF!</definedName>
    <definedName name="rQLNonZ" localSheetId="41">[3]Registry!$E$117</definedName>
    <definedName name="rQLNonZ">#REF!</definedName>
    <definedName name="RRDelta">#REF!</definedName>
    <definedName name="RRDiff">#REF!</definedName>
    <definedName name="RRTaxGrUp">#REF!</definedName>
    <definedName name="rSheetTitle">#REF!</definedName>
    <definedName name="rStartAlloc">#REF!</definedName>
    <definedName name="rStep">#REF!</definedName>
    <definedName name="rTotalsIntact">#REF!</definedName>
    <definedName name="rWatch">#REF!</definedName>
    <definedName name="Rwvu.allocations." localSheetId="33" hidden="1">#REF!</definedName>
    <definedName name="Rwvu.allocations." hidden="1">#REF!</definedName>
    <definedName name="Rwvu.annual._.hotel." hidden="1">[4]development!#REF!</definedName>
    <definedName name="Rwvu.bottom._.line." hidden="1">[4]development!#REF!</definedName>
    <definedName name="Rwvu.cash._.flow." localSheetId="33" hidden="1">#REF!</definedName>
    <definedName name="Rwvu.cash._.flow." hidden="1">#REF!</definedName>
    <definedName name="Rwvu.combo." hidden="1">[4]development!#REF!</definedName>
    <definedName name="Rwvu.offsite." localSheetId="33" hidden="1">#REF!</definedName>
    <definedName name="Rwvu.offsite." hidden="1">#REF!</definedName>
    <definedName name="Rwvu.onsite." localSheetId="33" hidden="1">#REF!</definedName>
    <definedName name="Rwvu.onsite." hidden="1">#REF!</definedName>
    <definedName name="SAPBEXhrIndnt" hidden="1">"Wide"</definedName>
    <definedName name="SAPsysID" hidden="1">"708C5W7SBKP804JT78WJ0JNKI"</definedName>
    <definedName name="SAPwbID" hidden="1">"ARS"</definedName>
    <definedName name="SortAll">#REF!</definedName>
    <definedName name="SortClass">#REF!</definedName>
    <definedName name="SortFact">#REF!</definedName>
    <definedName name="SpreadsheetBuilder_2" localSheetId="33" hidden="1">[11]Sheet2!#REF!</definedName>
    <definedName name="SpreadsheetBuilder_2" hidden="1">[11]Sheet2!#REF!</definedName>
    <definedName name="SpreadsheetBuilder_3" localSheetId="33" hidden="1">[12]Sheet2!#REF!</definedName>
    <definedName name="SpreadsheetBuilder_3" hidden="1">[12]Sheet2!#REF!</definedName>
    <definedName name="StatComb" localSheetId="41">[3]Verify!$E$66</definedName>
    <definedName name="StatComb">#REF!</definedName>
    <definedName name="StateTax">#REF!</definedName>
    <definedName name="StatFIT">#REF!</definedName>
    <definedName name="StorRN" localSheetId="41">[3]Registry!$E$135</definedName>
    <definedName name="StorRN">#REF!</definedName>
    <definedName name="StorTargetROR" localSheetId="41">[3]Verify!$E$71</definedName>
    <definedName name="StorTargetROR">#REF!</definedName>
    <definedName name="SumClassNames">#REF!</definedName>
    <definedName name="SumClassRR">#REF!</definedName>
    <definedName name="Summary">#REF!</definedName>
    <definedName name="SumMerchantDel">#REF!</definedName>
    <definedName name="SuppRN" localSheetId="41">[3]Registry!$E$134</definedName>
    <definedName name="SuppRN">#REF!</definedName>
    <definedName name="SuppTargetROR" localSheetId="41">[3]Verify!$E$70</definedName>
    <definedName name="SuppTargetROR">#REF!</definedName>
    <definedName name="Swvu.allocations." localSheetId="33" hidden="1">#REF!</definedName>
    <definedName name="Swvu.allocations." hidden="1">#REF!</definedName>
    <definedName name="Swvu.annual._.hotel." hidden="1">[4]development!$C$5</definedName>
    <definedName name="Swvu.bottom._.line." hidden="1">[4]development!#REF!</definedName>
    <definedName name="Swvu.cash._.flow." localSheetId="33" hidden="1">#REF!</definedName>
    <definedName name="Swvu.cash._.flow." hidden="1">#REF!</definedName>
    <definedName name="Swvu.combo." hidden="1">[4]development!$B$89</definedName>
    <definedName name="Swvu.full." localSheetId="33" hidden="1">#REF!</definedName>
    <definedName name="Swvu.full." hidden="1">#REF!</definedName>
    <definedName name="Swvu.offsite." localSheetId="33" hidden="1">#REF!</definedName>
    <definedName name="Swvu.offsite." hidden="1">#REF!</definedName>
    <definedName name="Swvu.onsite." localSheetId="33" hidden="1">#REF!</definedName>
    <definedName name="Swvu.onsite." hidden="1">#REF!</definedName>
    <definedName name="TableName">"Dummy"</definedName>
    <definedName name="TARGETGRT" localSheetId="41">[3]Verify!$E$63</definedName>
    <definedName name="TARGETGRT">#REF!</definedName>
    <definedName name="TargetList">#REF!</definedName>
    <definedName name="TargetMuni" localSheetId="41">[3]Verify!$E$64</definedName>
    <definedName name="TargetMuni">#REF!</definedName>
    <definedName name="TESTYEAR">'[7]Named Ranges'!$C$5</definedName>
    <definedName name="TESTYEAR_E">'[5]Named Ranges E'!$C$5</definedName>
    <definedName name="TESTYEAR_GAS">'[6]Named Ranges G'!$C$5</definedName>
    <definedName name="ThisFile">#REF!</definedName>
    <definedName name="TimeEnd">#REF!</definedName>
    <definedName name="TimeStart">#REF!</definedName>
    <definedName name="Title" localSheetId="41">[3]Registry!$E$95</definedName>
    <definedName name="Title">#REF!</definedName>
    <definedName name="Title1" hidden="1">[8]Title!$A$3</definedName>
    <definedName name="Title2" hidden="1">[8]Title!$A$4</definedName>
    <definedName name="Title3" localSheetId="41">[3]Title!$A$5</definedName>
    <definedName name="Title3">Title!$A$5</definedName>
    <definedName name="Title4">Title!$A$6</definedName>
    <definedName name="Title5">Title!$A$7</definedName>
    <definedName name="Title6" localSheetId="41">[3]Title!$A$8</definedName>
    <definedName name="Title6">Title!$A$8</definedName>
    <definedName name="Title7">Title!$A$9</definedName>
    <definedName name="TitleBox">#REF!</definedName>
    <definedName name="TitleD">#REF!</definedName>
    <definedName name="TotalStep">#REF!</definedName>
    <definedName name="TotalTargetROR" localSheetId="41">[3]Verify!$E$61</definedName>
    <definedName name="TotalTargetROR">#REF!</definedName>
    <definedName name="TranRN" localSheetId="41">[3]Registry!$E$136</definedName>
    <definedName name="TranRN">#REF!</definedName>
    <definedName name="TranTargetROR" localSheetId="41">[3]Verify!$E$72</definedName>
    <definedName name="TranTargetROR">#REF!</definedName>
    <definedName name="trth" localSheetId="41" hidden="1">{"ALL",#N/A,FALSE,"A"}</definedName>
    <definedName name="trth" localSheetId="33" hidden="1">{"ALL",#N/A,FALSE,"A"}</definedName>
    <definedName name="trth" localSheetId="2" hidden="1">{"ALL",#N/A,FALSE,"A"}</definedName>
    <definedName name="trth" hidden="1">{"ALL",#N/A,FALSE,"A"}</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_STATUTORY">#REF!</definedName>
    <definedName name="VerifyLines">#REF!</definedName>
    <definedName name="VerifySum">#REF!</definedName>
    <definedName name="WA_Gas">'[10]DEBT CALC'!#REF!</definedName>
    <definedName name="wr" localSheetId="41" hidden="1">{"Output-3Column",#N/A,FALSE,"Output"}</definedName>
    <definedName name="wr" localSheetId="33" hidden="1">{"Output-3Column",#N/A,FALSE,"Output"}</definedName>
    <definedName name="wr" hidden="1">{"Output-3Column",#N/A,FALSE,"Output"}</definedName>
    <definedName name="wrn" localSheetId="41" hidden="1">{"Inflation-BaseYear",#N/A,FALSE,"Inputs"}</definedName>
    <definedName name="wrn" localSheetId="33" hidden="1">{"Inflation-BaseYear",#N/A,FALSE,"Inputs"}</definedName>
    <definedName name="wrn" hidden="1">{"Inflation-BaseYear",#N/A,FALSE,"Inputs"}</definedName>
    <definedName name="wrn.ALL." localSheetId="41" hidden="1">{"ALL",#N/A,FALSE,"A"}</definedName>
    <definedName name="wrn.ALL." localSheetId="33" hidden="1">{"ALL",#N/A,FALSE,"A"}</definedName>
    <definedName name="wrn.ALL." localSheetId="2" hidden="1">{"ALL",#N/A,FALSE,"A"}</definedName>
    <definedName name="wrn.ALL." hidden="1">{"ALL",#N/A,FALSE,"A"}</definedName>
    <definedName name="wrn.All._.Sheets." localSheetId="41" hidden="1">{"IncSt",#N/A,FALSE,"IS";"BalSht",#N/A,FALSE,"BS";"IntCash",#N/A,FALSE,"Int. Cash";"Stats",#N/A,FALSE,"Stats"}</definedName>
    <definedName name="wrn.All._.Sheets." localSheetId="33" hidden="1">{"IncSt",#N/A,FALSE,"IS";"BalSht",#N/A,FALSE,"BS";"IntCash",#N/A,FALSE,"Int. Cash";"Stats",#N/A,FALSE,"Stats"}</definedName>
    <definedName name="wrn.All._.Sheets." hidden="1">{"IncSt",#N/A,FALSE,"IS";"BalSht",#N/A,FALSE,"BS";"IntCash",#N/A,FALSE,"Int. Cash";"Stats",#N/A,FALSE,"Stats"}</definedName>
    <definedName name="wrn.annual." localSheetId="41" hidden="1">{"annual",#N/A,FALSE,"Pro Forma"}</definedName>
    <definedName name="wrn.annual." localSheetId="33" hidden="1">{"annual",#N/A,FALSE,"Pro Forma"}</definedName>
    <definedName name="wrn.annual." hidden="1">{"annual",#N/A,FALSE,"Pro Forma"}</definedName>
    <definedName name="wrn.Annual._.Detail." localSheetId="41" hidden="1">{"annualsum",#N/A,FALSE,"Cost Summary";"annual1",#N/A,FALSE,"Phase_1";"annual2",#N/A,FALSE,"Phase_2";"annual3",#N/A,FALSE,"Phase_3";"annual4",#N/A,FALSE,"Phase_4"}</definedName>
    <definedName name="wrn.Annual._.Detail." localSheetId="33"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41" hidden="1">{"a_dev",#N/A,FALSE,"Golf Development";"a_memstats",#N/A,FALSE,"Golf Development";"a_opstats",#N/A,FALSE,"Golf Development";"a_rev",#N/A,FALSE,"Golf Development";"a_return",#N/A,FALSE,"Golf Development"}</definedName>
    <definedName name="wrn.Annual._.Golf." localSheetId="33"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41" hidden="1">{"annual hotel",#N/A,FALSE,"Hotel Development"}</definedName>
    <definedName name="wrn.Annual._.Hotel." localSheetId="33" hidden="1">{"annual hotel",#N/A,FALSE,"Hotel Development"}</definedName>
    <definedName name="wrn.Annual._.Hotel." hidden="1">{"annual hotel",#N/A,FALSE,"Hotel Development"}</definedName>
    <definedName name="wrn.Annual._.Land._.Sales." localSheetId="41" hidden="1">{"annual",#N/A,FALSE,"Land Sales"}</definedName>
    <definedName name="wrn.Annual._.Land._.Sales." localSheetId="33" hidden="1">{"annual",#N/A,FALSE,"Land Sales"}</definedName>
    <definedName name="wrn.Annual._.Land._.Sales." hidden="1">{"annual",#N/A,FALSE,"Land Sales"}</definedName>
    <definedName name="wrn.Annual._.Report." localSheetId="41" hidden="1">{"annual",#N/A,FALSE,"Pro Forma";#N/A,#N/A,FALSE,"Golf Operations"}</definedName>
    <definedName name="wrn.Annual._.Report." localSheetId="33" hidden="1">{"annual",#N/A,FALSE,"Pro Forma";#N/A,#N/A,FALSE,"Golf Operations"}</definedName>
    <definedName name="wrn.Annual._.Report." hidden="1">{"annual",#N/A,FALSE,"Pro Forma";#N/A,#N/A,FALSE,"Golf Operations"}</definedName>
    <definedName name="wrn.Annual._.Report._.no._.releases." localSheetId="41" hidden="1">{"a_sales",#N/A,FALSE,"Summary";"a_debt",#N/A,FALSE,"Summary";"a_cash",#N/A,FALSE,"Summary";"a_accrual",#N/A,FALSE,"Summary"}</definedName>
    <definedName name="wrn.Annual._.Report._.no._.releases." localSheetId="33"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41" hidden="1">{"a_sales",#N/A,FALSE,"Summary";"a_debt",#N/A,FALSE,"Summary";"a_releases",#N/A,FALSE,"Summary";"a_cash",#N/A,FALSE,"Summary";"a_accrual",#N/A,FALSE,"Summary"}</definedName>
    <definedName name="wrn.Annual._.Report._.with._.releases." localSheetId="33"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41" hidden="1">{"ISP1Y5",#N/A,TRUE,"Template";"ISP2Y5",#N/A,TRUE,"Template";"BSY5",#N/A,TRUE,"Template";"ICFY5",#N/A,TRUE,"Template";"TPY5",#N/A,TRUE,"Template";"CtrlY5",#N/A,TRUE,"Template"}</definedName>
    <definedName name="wrn.Annual_5yr." localSheetId="33" hidden="1">{"ISP1Y5",#N/A,TRUE,"Template";"ISP2Y5",#N/A,TRUE,"Template";"BSY5",#N/A,TRUE,"Template";"ICFY5",#N/A,TRUE,"Template";"TPY5",#N/A,TRUE,"Template";"CtrlY5",#N/A,TRUE,"Template"}</definedName>
    <definedName name="wrn.Annual_5yr." localSheetId="2"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ssets." localSheetId="41" hidden="1">{"ASSETS",#N/A,FALSE,"Assets"}</definedName>
    <definedName name="wrn.Assets." localSheetId="33" hidden="1">{"ASSETS",#N/A,FALSE,"Assets"}</definedName>
    <definedName name="wrn.Assets." localSheetId="2" hidden="1">{"ASSETS",#N/A,FALSE,"Assets"}</definedName>
    <definedName name="wrn.Assets." hidden="1">{"ASSETS",#N/A,FALSE,"Assets"}</definedName>
    <definedName name="wrn.ASSOC_CO." localSheetId="41" hidden="1">{"ASSC_CO",#N/A,FALSE,"A"}</definedName>
    <definedName name="wrn.ASSOC_CO." localSheetId="33" hidden="1">{"ASSC_CO",#N/A,FALSE,"A"}</definedName>
    <definedName name="wrn.ASSOC_CO." localSheetId="2" hidden="1">{"ASSC_CO",#N/A,FALSE,"A"}</definedName>
    <definedName name="wrn.ASSOC_CO." hidden="1">{"ASSC_CO",#N/A,FALSE,"A"}</definedName>
    <definedName name="wrn.BS." localSheetId="41" hidden="1">{"BS",#N/A,FALSE,"A"}</definedName>
    <definedName name="wrn.BS." localSheetId="33" hidden="1">{"BS",#N/A,FALSE,"A"}</definedName>
    <definedName name="wrn.BS." localSheetId="2" hidden="1">{"BS",#N/A,FALSE,"A"}</definedName>
    <definedName name="wrn.BS." hidden="1">{"BS",#N/A,FALSE,"A"}</definedName>
    <definedName name="wrn.CASH." localSheetId="41" hidden="1">{#N/A,#N/A,FALSE,"Sheet5"}</definedName>
    <definedName name="wrn.CASH." localSheetId="33" hidden="1">{#N/A,#N/A,FALSE,"Sheet5"}</definedName>
    <definedName name="wrn.CASH." hidden="1">{#N/A,#N/A,FALSE,"Sheet5"}</definedName>
    <definedName name="wrn.Cash._.and._.Accrual." localSheetId="41" hidden="1">{"a_cash",#N/A,FALSE,"Summary";"a_accrual",#N/A,FALSE,"Summary"}</definedName>
    <definedName name="wrn.Cash._.and._.Accrual." localSheetId="33" hidden="1">{"a_cash",#N/A,FALSE,"Summary";"a_accrual",#N/A,FALSE,"Summary"}</definedName>
    <definedName name="wrn.Cash._.and._.Accrual." hidden="1">{"a_cash",#N/A,FALSE,"Summary";"a_accrual",#N/A,FALSE,"Summary"}</definedName>
    <definedName name="wrn.Current._.Estimate." localSheetId="41"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etail." localSheetId="41" hidden="1">{"Print_Detail",#N/A,FALSE,"Redemption_Maturity Extract"}</definedName>
    <definedName name="wrn.Detail." localSheetId="33" hidden="1">{"Print_Detail",#N/A,FALSE,"Redemption_Maturity Extract"}</definedName>
    <definedName name="wrn.Detail." hidden="1">{"Print_Detail",#N/A,FALSE,"Redemption_Maturity Extract"}</definedName>
    <definedName name="wrn.Diane._.s._.Version." localSheetId="41" hidden="1">{"Full",#N/A,FALSE,"Sec MTN B Summary"}</definedName>
    <definedName name="wrn.Diane._.s._.Version." localSheetId="33" hidden="1">{"Full",#N/A,FALSE,"Sec MTN B Summary"}</definedName>
    <definedName name="wrn.Diane._.s._.Version." hidden="1">{"Full",#N/A,FALSE,"Sec MTN B Summary"}</definedName>
    <definedName name="wrn.Distribution._.Version." localSheetId="41" hidden="1">{"RedPrem_InitRed View",#N/A,FALSE,"Sec MTN B Summary"}</definedName>
    <definedName name="wrn.Distribution._.Version." localSheetId="33" hidden="1">{"RedPrem_InitRed View",#N/A,FALSE,"Sec MTN B Summary"}</definedName>
    <definedName name="wrn.Distribution._.Version." hidden="1">{"RedPrem_InitRed View",#N/A,FALSE,"Sec MTN B Summary"}</definedName>
    <definedName name="wrn.Five._.Year._.Test." localSheetId="41" hidden="1">{"Five Year Plan",#N/A,TRUE,"Monthly Summary-IIIXIILP";"Five Year Plan",#N/A,TRUE,"Cash Flow"}</definedName>
    <definedName name="wrn.Five._.Year._.Test." localSheetId="33" hidden="1">{"Five Year Plan",#N/A,TRUE,"Monthly Summary-IIIXIILP";"Five Year Plan",#N/A,TRUE,"Cash Flow"}</definedName>
    <definedName name="wrn.Five._.Year._.Test." localSheetId="2" hidden="1">{"Five Year Plan",#N/A,TRUE,"Monthly Summary-IIIXIILP";"Five Year Plan",#N/A,TRUE,"Cash Flow"}</definedName>
    <definedName name="wrn.Five._.Year._.Test." hidden="1">{"Five Year Plan",#N/A,TRUE,"Monthly Summary-IIIXIILP";"Five Year Plan",#N/A,TRUE,"Cash Flow"}</definedName>
    <definedName name="wrn.greg." localSheetId="41" hidden="1">{"three",#N/A,FALSE,"Capital";"four",#N/A,FALSE,"Capital"}</definedName>
    <definedName name="wrn.greg." localSheetId="33" hidden="1">{"three",#N/A,FALSE,"Capital";"four",#N/A,FALSE,"Capital"}</definedName>
    <definedName name="wrn.greg." hidden="1">{"three",#N/A,FALSE,"Capital";"four",#N/A,FALSE,"Capital"}</definedName>
    <definedName name="wrn.III._.X._.Co._.Five._.Year._.Plan." localSheetId="41"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41" hidden="1">{#N/A,#N/A,TRUE,"Title Page-Financial Stmts IIIX";#N/A,#N/A,TRUE,"Sumry_Income IIIXCo";#N/A,#N/A,TRUE,"Sumry_Balance Sheet IIIXCo";#N/A,#N/A,TRUE,"Sumry_Cash Flow IIIXCo";#N/A,#N/A,TRUE,"Antelope Creek";#N/A,#N/A,TRUE,"QEP";#N/A,#N/A,TRUE,"Raton"}</definedName>
    <definedName name="wrn.IIIXCo._.Five._.Year._.Summary._.Reports." localSheetId="33" hidden="1">{#N/A,#N/A,TRUE,"Title Page-Financial Stmts IIIX";#N/A,#N/A,TRUE,"Sumry_Income IIIXCo";#N/A,#N/A,TRUE,"Sumry_Balance Sheet IIIXCo";#N/A,#N/A,TRUE,"Sumry_Cash Flow IIIXCo";#N/A,#N/A,TRUE,"Antelope Creek";#N/A,#N/A,TRUE,"QEP";#N/A,#N/A,TRUE,"Raton"}</definedName>
    <definedName name="wrn.IIIXCo._.Five._.Year._.Summary._.Reports." localSheetId="2"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41" hidden="1">{"IIIXCo FY 04 Plan",#N/A,FALSE,"Monthly Summary-IIIXIILP"}</definedName>
    <definedName name="wrn.IIIXCo._.FY._.2004._.Plan." localSheetId="33" hidden="1">{"IIIXCo FY 04 Plan",#N/A,FALSE,"Monthly Summary-IIIXIILP"}</definedName>
    <definedName name="wrn.IIIXCo._.FY._.2004._.Plan." localSheetId="2" hidden="1">{"IIIXCo FY 04 Plan",#N/A,FALSE,"Monthly Summary-IIIXIILP"}</definedName>
    <definedName name="wrn.IIIXCo._.FY._.2004._.Plan." hidden="1">{"IIIXCo FY 04 Plan",#N/A,FALSE,"Monthly Summary-IIIXIILP"}</definedName>
    <definedName name="wrn.Inputs." localSheetId="41" hidden="1">{"Inflation-BaseYear",#N/A,FALSE,"Inputs"}</definedName>
    <definedName name="wrn.Inputs." localSheetId="33" hidden="1">{"Inflation-BaseYear",#N/A,FALSE,"Inputs"}</definedName>
    <definedName name="wrn.Inputs." hidden="1">{"Inflation-BaseYear",#N/A,FALSE,"Inputs"}</definedName>
    <definedName name="wrn.Invested._.Capital." localSheetId="41" hidden="1">{#N/A,#N/A,FALSE,"Invested Capital-Total";#N/A,#N/A,FALSE,"Invested Capital-SEI";#N/A,#N/A,FALSE,"Invested Capital-Utah";#N/A,#N/A,FALSE,"Invested Capital-Raton"}</definedName>
    <definedName name="wrn.Invested._.Capital." localSheetId="33" hidden="1">{#N/A,#N/A,FALSE,"Invested Capital-Total";#N/A,#N/A,FALSE,"Invested Capital-SEI";#N/A,#N/A,FALSE,"Invested Capital-Utah";#N/A,#N/A,FALSE,"Invested Capital-Raton"}</definedName>
    <definedName name="wrn.Invested._.Capital." localSheetId="2"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41" hidden="1">{"LIAB",#N/A,FALSE,"Liab"}</definedName>
    <definedName name="wrn.Liab." localSheetId="33" hidden="1">{"LIAB",#N/A,FALSE,"Liab"}</definedName>
    <definedName name="wrn.Liab." localSheetId="2" hidden="1">{"LIAB",#N/A,FALSE,"Liab"}</definedName>
    <definedName name="wrn.Liab." hidden="1">{"LIAB",#N/A,FALSE,"Liab"}</definedName>
    <definedName name="wrn.Monthly_Yr1." localSheetId="41" hidden="1">{"ISP1Y1",#N/A,TRUE,"Template";"ISP2Y1",#N/A,TRUE,"Template";"BSY1",#N/A,TRUE,"Template";"ICFY1",#N/A,TRUE,"Template";"TPY1",#N/A,TRUE,"Template";"CtrlY1",#N/A,TRUE,"Template"}</definedName>
    <definedName name="wrn.Monthly_Yr1." localSheetId="33" hidden="1">{"ISP1Y1",#N/A,TRUE,"Template";"ISP2Y1",#N/A,TRUE,"Template";"BSY1",#N/A,TRUE,"Template";"ICFY1",#N/A,TRUE,"Template";"TPY1",#N/A,TRUE,"Template";"CtrlY1",#N/A,TRUE,"Template"}</definedName>
    <definedName name="wrn.Monthly_Yr1." localSheetId="2"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41" hidden="1">{"ISP1Y1",#N/A,TRUE,"Template";"ISP2Y1",#N/A,TRUE,"Template";"BSY1",#N/A,TRUE,"Template";"ICFY1",#N/A,TRUE,"Template";"TPY1",#N/A,TRUE,"Template";"CtrlY1",#N/A,TRUE,"Template"}</definedName>
    <definedName name="wrn.monthly_yr2" localSheetId="33"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41" hidden="1">{"ISP1Y2",#N/A,TRUE,"Template";"ISP2Y2",#N/A,TRUE,"Template";"BSY2",#N/A,TRUE,"Template";"ICFY2",#N/A,TRUE,"Template";"TPY2",#N/A,TRUE,"Template";"CtrlY2",#N/A,TRUE,"Template"}</definedName>
    <definedName name="wrn.Monthly_Yr2." localSheetId="33" hidden="1">{"ISP1Y2",#N/A,TRUE,"Template";"ISP2Y2",#N/A,TRUE,"Template";"BSY2",#N/A,TRUE,"Template";"ICFY2",#N/A,TRUE,"Template";"TPY2",#N/A,TRUE,"Template";"CtrlY2",#N/A,TRUE,"Template"}</definedName>
    <definedName name="wrn.Monthly_Yr2." localSheetId="2"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NetWorth." localSheetId="41" hidden="1">{"NW",#N/A,FALSE,"STMT"}</definedName>
    <definedName name="wrn.NetWorth." localSheetId="33" hidden="1">{"NW",#N/A,FALSE,"STMT"}</definedName>
    <definedName name="wrn.NetWorth." localSheetId="2" hidden="1">{"NW",#N/A,FALSE,"STMT"}</definedName>
    <definedName name="wrn.NetWorth." hidden="1">{"NW",#N/A,FALSE,"STMT"}</definedName>
    <definedName name="wrn.Output3Column." localSheetId="41" hidden="1">{"Output-3Column",#N/A,FALSE,"Output"}</definedName>
    <definedName name="wrn.Output3Column." localSheetId="33" hidden="1">{"Output-3Column",#N/A,FALSE,"Output"}</definedName>
    <definedName name="wrn.Output3Column." hidden="1">{"Output-3Column",#N/A,FALSE,"Output"}</definedName>
    <definedName name="wrn.OutputAll." localSheetId="41" hidden="1">{"Output-All",#N/A,FALSE,"Output"}</definedName>
    <definedName name="wrn.OutputAll." localSheetId="33" hidden="1">{"Output-All",#N/A,FALSE,"Output"}</definedName>
    <definedName name="wrn.OutputAll." hidden="1">{"Output-All",#N/A,FALSE,"Output"}</definedName>
    <definedName name="wrn.OutputBaseYear." localSheetId="41" hidden="1">{"Output-BaseYear",#N/A,FALSE,"Output"}</definedName>
    <definedName name="wrn.OutputBaseYear." localSheetId="33" hidden="1">{"Output-BaseYear",#N/A,FALSE,"Output"}</definedName>
    <definedName name="wrn.OutputBaseYear." hidden="1">{"Output-BaseYear",#N/A,FALSE,"Output"}</definedName>
    <definedName name="wrn.OutputMin." localSheetId="41" hidden="1">{"Output-Min",#N/A,FALSE,"Output"}</definedName>
    <definedName name="wrn.OutputMin." localSheetId="33" hidden="1">{"Output-Min",#N/A,FALSE,"Output"}</definedName>
    <definedName name="wrn.OutputMin." hidden="1">{"Output-Min",#N/A,FALSE,"Output"}</definedName>
    <definedName name="wrn.OutputPercent." localSheetId="41" hidden="1">{"Output%",#N/A,FALSE,"Output"}</definedName>
    <definedName name="wrn.OutputPercent." localSheetId="33" hidden="1">{"Output%",#N/A,FALSE,"Output"}</definedName>
    <definedName name="wrn.OutputPercent." hidden="1">{"Output%",#N/A,FALSE,"Output"}</definedName>
    <definedName name="wrn.Pfd." localSheetId="41" hidden="1">{"Pfd",#N/A,FALSE,"Pfd"}</definedName>
    <definedName name="wrn.Pfd." localSheetId="33" hidden="1">{"Pfd",#N/A,FALSE,"Pfd"}</definedName>
    <definedName name="wrn.Pfd." localSheetId="2" hidden="1">{"Pfd",#N/A,FALSE,"Pfd"}</definedName>
    <definedName name="wrn.Pfd." hidden="1">{"Pfd",#N/A,FALSE,"Pfd"}</definedName>
    <definedName name="wrn.Pivot1." localSheetId="41" hidden="1">{"Pivot1",#N/A,FALSE,"Redemption_Maturity Extract"}</definedName>
    <definedName name="wrn.Pivot1." localSheetId="33" hidden="1">{"Pivot1",#N/A,FALSE,"Redemption_Maturity Extract"}</definedName>
    <definedName name="wrn.Pivot1." hidden="1">{"Pivot1",#N/A,FALSE,"Redemption_Maturity Extract"}</definedName>
    <definedName name="wrn.Pivot2." localSheetId="41" hidden="1">{"Pivot2",#N/A,FALSE,"Redemption_Maturity Extract"}</definedName>
    <definedName name="wrn.Pivot2." localSheetId="33" hidden="1">{"Pivot2",#N/A,FALSE,"Redemption_Maturity Extract"}</definedName>
    <definedName name="wrn.Pivot2." hidden="1">{"Pivot2",#N/A,FALSE,"Redemption_Maturity Extract"}</definedName>
    <definedName name="wrn.Plan._.2004." localSheetId="41"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quarterly." localSheetId="41" hidden="1">{"quarterly",#N/A,FALSE,"Pro Forma"}</definedName>
    <definedName name="wrn.quarterly." localSheetId="33" hidden="1">{"quarterly",#N/A,FALSE,"Pro Forma"}</definedName>
    <definedName name="wrn.quarterly." hidden="1">{"quarterly",#N/A,FALSE,"Pro Forma"}</definedName>
    <definedName name="wrn.Releases._.Cash._.Accrual." localSheetId="41" hidden="1">{"a_releases",#N/A,FALSE,"Summary";"a_cash",#N/A,FALSE,"Summary";"a_accrual",#N/A,FALSE,"Summary"}</definedName>
    <definedName name="wrn.Releases._.Cash._.Accrual." localSheetId="33" hidden="1">{"a_releases",#N/A,FALSE,"Summary";"a_cash",#N/A,FALSE,"Summary";"a_accrual",#N/A,FALSE,"Summary"}</definedName>
    <definedName name="wrn.Releases._.Cash._.Accrual." hidden="1">{"a_releases",#N/A,FALSE,"Summary";"a_cash",#N/A,FALSE,"Summary";"a_accrual",#N/A,FALSE,"Summary"}</definedName>
    <definedName name="wrn.rpt96." localSheetId="41" hidden="1">{"rmrev1",#N/A,FALSE,"Forecast96";"rmrev2",#N/A,FALSE,"Forecast96";"rmrev3",#N/A,FALSE,"Forecast96"}</definedName>
    <definedName name="wrn.rpt96." localSheetId="33" hidden="1">{"rmrev1",#N/A,FALSE,"Forecast96";"rmrev2",#N/A,FALSE,"Forecast96";"rmrev3",#N/A,FALSE,"Forecast96"}</definedName>
    <definedName name="wrn.rpt96." hidden="1">{"rmrev1",#N/A,FALSE,"Forecast96";"rmrev2",#N/A,FALSE,"Forecast96";"rmrev3",#N/A,FALSE,"Forecast96"}</definedName>
    <definedName name="wrn.Sales._.and._.Debt." localSheetId="41" hidden="1">{"a_sales",#N/A,FALSE,"Summary";"a_debt",#N/A,FALSE,"Summary"}</definedName>
    <definedName name="wrn.Sales._.and._.Debt." localSheetId="33" hidden="1">{"a_sales",#N/A,FALSE,"Summary";"a_debt",#N/A,FALSE,"Summary"}</definedName>
    <definedName name="wrn.Sales._.and._.Debt." hidden="1">{"a_sales",#N/A,FALSE,"Summary";"a_debt",#N/A,FALSE,"Summary"}</definedName>
    <definedName name="wrn.SCHED._.BC." localSheetId="41" hidden="1">{"SCHED_B&amp;C",#N/A,FALSE,"A"}</definedName>
    <definedName name="wrn.SCHED._.BC." localSheetId="33" hidden="1">{"SCHED_B&amp;C",#N/A,FALSE,"A"}</definedName>
    <definedName name="wrn.SCHED._.BC." localSheetId="2" hidden="1">{"SCHED_B&amp;C",#N/A,FALSE,"A"}</definedName>
    <definedName name="wrn.SCHED._.BC." hidden="1">{"SCHED_B&amp;C",#N/A,FALSE,"A"}</definedName>
    <definedName name="wrn.SCHED._.DE." localSheetId="41" hidden="1">{"SCHED_D&amp;E",#N/A,FALSE,"A"}</definedName>
    <definedName name="wrn.SCHED._.DE." localSheetId="33" hidden="1">{"SCHED_D&amp;E",#N/A,FALSE,"A"}</definedName>
    <definedName name="wrn.SCHED._.DE." localSheetId="2" hidden="1">{"SCHED_D&amp;E",#N/A,FALSE,"A"}</definedName>
    <definedName name="wrn.SCHED._.DE." hidden="1">{"SCHED_D&amp;E",#N/A,FALSE,"A"}</definedName>
    <definedName name="wrn.Shared._.Costs." localSheetId="41" hidden="1">{"cash flow",#N/A,FALSE,"Shared Costs";"allocations",#N/A,FALSE,"Shared Costs"}</definedName>
    <definedName name="wrn.Shared._.Costs." localSheetId="33" hidden="1">{"cash flow",#N/A,FALSE,"Shared Costs";"allocations",#N/A,FALSE,"Shared Costs"}</definedName>
    <definedName name="wrn.Shared._.Costs." hidden="1">{"cash flow",#N/A,FALSE,"Shared Costs";"allocations",#N/A,FALSE,"Shared Costs"}</definedName>
    <definedName name="wrn.SHEDA." localSheetId="41" hidden="1">{"SCHED_A",#N/A,FALSE,"A"}</definedName>
    <definedName name="wrn.SHEDA." localSheetId="33" hidden="1">{"SCHED_A",#N/A,FALSE,"A"}</definedName>
    <definedName name="wrn.SHEDA." localSheetId="2" hidden="1">{"SCHED_A",#N/A,FALSE,"A"}</definedName>
    <definedName name="wrn.SHEDA." hidden="1">{"SCHED_A",#N/A,FALSE,"A"}</definedName>
    <definedName name="wrng" localSheetId="41" hidden="1">{"Output-BaseYear",#N/A,FALSE,"Output"}</definedName>
    <definedName name="wrng" localSheetId="33" hidden="1">{"Output-BaseYear",#N/A,FALSE,"Output"}</definedName>
    <definedName name="wrng" hidden="1">{"Output-BaseYear",#N/A,FALSE,"Output"}</definedName>
    <definedName name="wrnh" localSheetId="41" hidden="1">{"Output-All",#N/A,FALSE,"Output"}</definedName>
    <definedName name="wrnh" localSheetId="33" hidden="1">{"Output-All",#N/A,FALSE,"Output"}</definedName>
    <definedName name="wrnh" hidden="1">{"Output-All",#N/A,FALSE,"Output"}</definedName>
    <definedName name="wvu.allocations." localSheetId="41"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41"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41"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41"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41"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41"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41"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41"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41"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41"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3" i="97" l="1"/>
  <c r="AE15" i="104"/>
  <c r="AG115" i="93"/>
  <c r="AO114" i="104" l="1"/>
  <c r="AN114" i="104"/>
  <c r="AO112" i="104"/>
  <c r="X31" i="104" l="1"/>
  <c r="X30" i="104"/>
  <c r="AB107" i="104"/>
  <c r="AE320" i="93" l="1"/>
  <c r="N115" i="31" l="1"/>
  <c r="B40" i="164"/>
  <c r="F44" i="164"/>
  <c r="F42" i="164"/>
  <c r="F40" i="164"/>
  <c r="B42" i="164"/>
  <c r="R11" i="3" l="1"/>
  <c r="AC588" i="93" l="1"/>
  <c r="B27" i="164" l="1"/>
  <c r="R128" i="31" l="1"/>
  <c r="D29" i="160"/>
  <c r="D27" i="160"/>
  <c r="D17" i="160"/>
  <c r="D15" i="160"/>
  <c r="E36" i="164"/>
  <c r="D36" i="164"/>
  <c r="C36" i="164"/>
  <c r="B36" i="164"/>
  <c r="F35" i="164"/>
  <c r="B25" i="164"/>
  <c r="F24" i="164"/>
  <c r="F23" i="164"/>
  <c r="F22" i="164"/>
  <c r="F21" i="164"/>
  <c r="F20" i="164"/>
  <c r="F19" i="164"/>
  <c r="F18" i="164"/>
  <c r="C14" i="164"/>
  <c r="C13" i="164"/>
  <c r="C12" i="164"/>
  <c r="C11" i="164"/>
  <c r="C10" i="164"/>
  <c r="B38" i="164" l="1"/>
  <c r="C15" i="164"/>
  <c r="D31" i="160"/>
  <c r="F25" i="164"/>
  <c r="B30" i="164"/>
  <c r="F34" i="164"/>
  <c r="F36" i="164" s="1"/>
  <c r="F27" i="164"/>
  <c r="B44" i="164" l="1"/>
  <c r="F30" i="164"/>
  <c r="M37" i="97" l="1"/>
  <c r="M36" i="97"/>
  <c r="M35" i="97"/>
  <c r="M34" i="97"/>
  <c r="M28" i="97"/>
  <c r="M27" i="97"/>
  <c r="M23" i="97"/>
  <c r="M22" i="97"/>
  <c r="M21" i="97"/>
  <c r="M17" i="97"/>
  <c r="M16" i="97"/>
  <c r="M15" i="97"/>
  <c r="M11" i="97"/>
  <c r="M7" i="97"/>
  <c r="J14" i="99" l="1"/>
  <c r="R8" i="49" l="1"/>
  <c r="P4" i="152"/>
  <c r="P3" i="152"/>
  <c r="P27" i="152"/>
  <c r="AC49" i="4" l="1"/>
  <c r="AA49" i="4"/>
  <c r="R49" i="4"/>
  <c r="I50" i="4"/>
  <c r="M11" i="6"/>
  <c r="Y47" i="4"/>
  <c r="X47" i="4"/>
  <c r="W47" i="4"/>
  <c r="P47" i="4"/>
  <c r="N47" i="4"/>
  <c r="M47" i="4"/>
  <c r="L47" i="4"/>
  <c r="J47" i="4"/>
  <c r="H47" i="4"/>
  <c r="AA46" i="4"/>
  <c r="R46" i="4"/>
  <c r="Q31" i="97" l="1"/>
  <c r="V20" i="108" l="1"/>
  <c r="AB20" i="108"/>
  <c r="AA20" i="108"/>
  <c r="Z20" i="108"/>
  <c r="Y20" i="108"/>
  <c r="X20" i="108"/>
  <c r="W20" i="108"/>
  <c r="H26" i="1"/>
  <c r="K26" i="1" s="1"/>
  <c r="H12" i="1"/>
  <c r="R27" i="4"/>
  <c r="R13" i="4"/>
  <c r="AA38" i="4"/>
  <c r="N37" i="1" s="1"/>
  <c r="AA36" i="4"/>
  <c r="N35" i="1" s="1"/>
  <c r="AA27" i="4"/>
  <c r="AA13" i="4"/>
  <c r="N12" i="1" s="1"/>
  <c r="AD17" i="4"/>
  <c r="C15" i="160"/>
  <c r="C27" i="160"/>
  <c r="O28" i="4"/>
  <c r="J11" i="152"/>
  <c r="C8" i="159"/>
  <c r="E601" i="93"/>
  <c r="D53" i="95" s="1"/>
  <c r="O26" i="31" s="1"/>
  <c r="O27" i="31" s="1"/>
  <c r="U26" i="4"/>
  <c r="Z137" i="31"/>
  <c r="T72" i="31"/>
  <c r="W84" i="31"/>
  <c r="Z71" i="31"/>
  <c r="Z70" i="31"/>
  <c r="Z76" i="31"/>
  <c r="O20" i="4"/>
  <c r="E53" i="67"/>
  <c r="E52" i="67"/>
  <c r="E51" i="67"/>
  <c r="E50" i="67"/>
  <c r="E49" i="67"/>
  <c r="E48" i="67"/>
  <c r="E47" i="67"/>
  <c r="E46" i="67"/>
  <c r="E45" i="67"/>
  <c r="E44" i="67"/>
  <c r="E43" i="67"/>
  <c r="E42" i="67"/>
  <c r="E41" i="67"/>
  <c r="E40" i="67"/>
  <c r="E39" i="67"/>
  <c r="E38" i="67"/>
  <c r="E37" i="67"/>
  <c r="E36" i="67"/>
  <c r="E35" i="67"/>
  <c r="E34" i="67"/>
  <c r="E33" i="67"/>
  <c r="E32" i="67"/>
  <c r="E31" i="67"/>
  <c r="E30" i="67"/>
  <c r="E29" i="67"/>
  <c r="E28" i="67"/>
  <c r="E27" i="67"/>
  <c r="E26" i="67"/>
  <c r="E25" i="67"/>
  <c r="E24" i="67"/>
  <c r="E23" i="67"/>
  <c r="E22" i="67"/>
  <c r="E21" i="67"/>
  <c r="E20" i="67"/>
  <c r="E19" i="67"/>
  <c r="E18" i="67"/>
  <c r="E17" i="67"/>
  <c r="E16" i="67"/>
  <c r="E15" i="67"/>
  <c r="E14" i="67"/>
  <c r="E13" i="67"/>
  <c r="E12" i="67"/>
  <c r="K34" i="152"/>
  <c r="H34" i="152"/>
  <c r="F29" i="159" s="1"/>
  <c r="J32" i="152"/>
  <c r="J31" i="152"/>
  <c r="J30" i="152"/>
  <c r="J29" i="152"/>
  <c r="J28" i="152"/>
  <c r="J27" i="152"/>
  <c r="J26" i="152"/>
  <c r="J25" i="152"/>
  <c r="J24" i="152"/>
  <c r="J23" i="152"/>
  <c r="J22" i="152"/>
  <c r="J19" i="152"/>
  <c r="C10" i="159" s="1"/>
  <c r="J14" i="152"/>
  <c r="C9" i="159" s="1"/>
  <c r="J7" i="152"/>
  <c r="C7" i="159"/>
  <c r="G32" i="152"/>
  <c r="G31" i="152"/>
  <c r="G30" i="152"/>
  <c r="G29" i="152"/>
  <c r="G28" i="152"/>
  <c r="G27" i="152"/>
  <c r="G26" i="152"/>
  <c r="G25" i="152"/>
  <c r="G24" i="152"/>
  <c r="G23" i="152"/>
  <c r="G22" i="152"/>
  <c r="G19" i="152"/>
  <c r="G14" i="152"/>
  <c r="G11" i="152"/>
  <c r="G7" i="152"/>
  <c r="D10" i="159"/>
  <c r="C17" i="160"/>
  <c r="C28" i="160"/>
  <c r="C29" i="160"/>
  <c r="P18" i="4"/>
  <c r="P20" i="4"/>
  <c r="P26" i="4"/>
  <c r="P28" i="4"/>
  <c r="P39" i="4"/>
  <c r="R121" i="31"/>
  <c r="R123" i="31"/>
  <c r="O25" i="4" s="1"/>
  <c r="R107" i="31"/>
  <c r="O24" i="4" s="1"/>
  <c r="R100" i="31"/>
  <c r="O23" i="4" s="1"/>
  <c r="R84" i="31"/>
  <c r="R72" i="31"/>
  <c r="R85" i="31"/>
  <c r="O21" i="4" s="1"/>
  <c r="R51" i="31"/>
  <c r="R37" i="31"/>
  <c r="O18" i="4" s="1"/>
  <c r="R27" i="31"/>
  <c r="O14" i="4" s="1"/>
  <c r="O15" i="4" s="1"/>
  <c r="R17" i="31"/>
  <c r="O12" i="4" s="1"/>
  <c r="R28" i="31"/>
  <c r="W19" i="4"/>
  <c r="V20" i="4"/>
  <c r="W20" i="4"/>
  <c r="W25" i="4"/>
  <c r="W26" i="4"/>
  <c r="W28" i="4"/>
  <c r="M14" i="4"/>
  <c r="M20" i="4"/>
  <c r="N20" i="4"/>
  <c r="T20" i="4"/>
  <c r="M26" i="4"/>
  <c r="N26" i="4"/>
  <c r="T26" i="4"/>
  <c r="M28" i="4"/>
  <c r="N28" i="4"/>
  <c r="T28" i="4"/>
  <c r="M39" i="4"/>
  <c r="N39" i="4"/>
  <c r="T39" i="4"/>
  <c r="U39" i="4"/>
  <c r="G20" i="4"/>
  <c r="R20" i="4" s="1"/>
  <c r="H19" i="1" s="1"/>
  <c r="H20" i="4"/>
  <c r="X20" i="4"/>
  <c r="I20" i="4"/>
  <c r="G26" i="4"/>
  <c r="H26" i="4"/>
  <c r="X26" i="4"/>
  <c r="G28" i="4"/>
  <c r="H28" i="4"/>
  <c r="X28" i="4"/>
  <c r="I28" i="4"/>
  <c r="G39" i="4"/>
  <c r="H39" i="4"/>
  <c r="X39" i="4"/>
  <c r="J14" i="4"/>
  <c r="J20" i="4"/>
  <c r="K20" i="4"/>
  <c r="J26" i="4"/>
  <c r="K26" i="4"/>
  <c r="K28" i="4"/>
  <c r="J39" i="4"/>
  <c r="K39" i="4"/>
  <c r="R53" i="31"/>
  <c r="O19" i="4" s="1"/>
  <c r="R54" i="31"/>
  <c r="Z26" i="31"/>
  <c r="Q135" i="31"/>
  <c r="Q121" i="31"/>
  <c r="Q123" i="31" s="1"/>
  <c r="N25" i="4" s="1"/>
  <c r="Q107" i="31"/>
  <c r="N24" i="4" s="1"/>
  <c r="Q100" i="31"/>
  <c r="N23" i="4"/>
  <c r="Q84" i="31"/>
  <c r="Q72" i="31"/>
  <c r="Q85" i="31"/>
  <c r="N21" i="4" s="1"/>
  <c r="Q51" i="31"/>
  <c r="Q37" i="31"/>
  <c r="N18" i="4" s="1"/>
  <c r="Q27" i="31"/>
  <c r="N14" i="4" s="1"/>
  <c r="Q17" i="31"/>
  <c r="N12" i="4" s="1"/>
  <c r="P135" i="31"/>
  <c r="P107" i="31"/>
  <c r="M24" i="4" s="1"/>
  <c r="P100" i="31"/>
  <c r="M23" i="4" s="1"/>
  <c r="P84" i="31"/>
  <c r="P72" i="31"/>
  <c r="P85" i="31" s="1"/>
  <c r="M21" i="4" s="1"/>
  <c r="P51" i="31"/>
  <c r="P37" i="31"/>
  <c r="M18" i="4" s="1"/>
  <c r="P27" i="31"/>
  <c r="P17" i="31"/>
  <c r="P28" i="31" s="1"/>
  <c r="S135" i="31"/>
  <c r="S123" i="31"/>
  <c r="P25" i="4" s="1"/>
  <c r="S121" i="31"/>
  <c r="S107" i="31"/>
  <c r="P24" i="4" s="1"/>
  <c r="S100" i="31"/>
  <c r="P23" i="4" s="1"/>
  <c r="S84" i="31"/>
  <c r="S85" i="31" s="1"/>
  <c r="P21" i="4" s="1"/>
  <c r="S72" i="31"/>
  <c r="S51" i="31"/>
  <c r="S37" i="31"/>
  <c r="S27" i="31"/>
  <c r="P14" i="4" s="1"/>
  <c r="S17" i="31"/>
  <c r="P12" i="4" s="1"/>
  <c r="P15" i="4" s="1"/>
  <c r="S28" i="31"/>
  <c r="S53" i="31" s="1"/>
  <c r="P19" i="4" s="1"/>
  <c r="Z35" i="31"/>
  <c r="Z34" i="31"/>
  <c r="W27" i="31"/>
  <c r="W14" i="4" s="1"/>
  <c r="U27" i="31"/>
  <c r="U14" i="4" s="1"/>
  <c r="T27" i="31"/>
  <c r="T14" i="4" s="1"/>
  <c r="N27" i="31"/>
  <c r="K14" i="4" s="1"/>
  <c r="M27" i="31"/>
  <c r="L27" i="31"/>
  <c r="I14" i="4" s="1"/>
  <c r="K27" i="31"/>
  <c r="X14" i="4" s="1"/>
  <c r="J27" i="31"/>
  <c r="H14" i="4" s="1"/>
  <c r="I27" i="31"/>
  <c r="G14" i="4" s="1"/>
  <c r="Q28" i="31"/>
  <c r="Q53" i="31" s="1"/>
  <c r="N19" i="4" s="1"/>
  <c r="AG17" i="108"/>
  <c r="AG16" i="108"/>
  <c r="AG15" i="108"/>
  <c r="AG14" i="108"/>
  <c r="AG13" i="108"/>
  <c r="AG12" i="108"/>
  <c r="AG11" i="108"/>
  <c r="AG10" i="108"/>
  <c r="AG9" i="108"/>
  <c r="AG8" i="108"/>
  <c r="AG7" i="108"/>
  <c r="AG18" i="108"/>
  <c r="AD6" i="108"/>
  <c r="AD18" i="108"/>
  <c r="AD20" i="108" s="1"/>
  <c r="D15" i="159"/>
  <c r="C15" i="159"/>
  <c r="D14" i="159"/>
  <c r="C14" i="159"/>
  <c r="D13" i="159"/>
  <c r="D16" i="159"/>
  <c r="C16" i="159"/>
  <c r="C17" i="159" s="1"/>
  <c r="D29" i="159"/>
  <c r="C13" i="159"/>
  <c r="D12" i="159"/>
  <c r="D11" i="159"/>
  <c r="C12" i="159"/>
  <c r="C11" i="159"/>
  <c r="D8" i="159"/>
  <c r="D9" i="159"/>
  <c r="B16" i="159"/>
  <c r="B15" i="159"/>
  <c r="B14" i="159"/>
  <c r="B13" i="159"/>
  <c r="B12" i="159"/>
  <c r="B11" i="159"/>
  <c r="C33" i="159"/>
  <c r="C32" i="159"/>
  <c r="C31" i="159"/>
  <c r="C30" i="159"/>
  <c r="C34" i="159" s="1"/>
  <c r="B33" i="159"/>
  <c r="B32" i="159"/>
  <c r="B31" i="159"/>
  <c r="B30" i="159"/>
  <c r="B10" i="159"/>
  <c r="B9" i="159"/>
  <c r="B8" i="159"/>
  <c r="D21" i="159"/>
  <c r="D22" i="159"/>
  <c r="C23" i="159"/>
  <c r="D7" i="159"/>
  <c r="J11" i="6"/>
  <c r="O11" i="3"/>
  <c r="P114" i="31"/>
  <c r="P121" i="31" s="1"/>
  <c r="P123" i="31" s="1"/>
  <c r="M25" i="4" s="1"/>
  <c r="O21" i="154"/>
  <c r="H208" i="49"/>
  <c r="J208" i="49" s="1"/>
  <c r="M20" i="6"/>
  <c r="M21" i="6" s="1"/>
  <c r="M22" i="6" s="1"/>
  <c r="M23" i="6" s="1"/>
  <c r="M24" i="6" s="1"/>
  <c r="M25" i="6" s="1"/>
  <c r="M26" i="6" s="1"/>
  <c r="M27" i="6" s="1"/>
  <c r="M28" i="6" s="1"/>
  <c r="M29" i="6" s="1"/>
  <c r="M30" i="6" s="1"/>
  <c r="M31" i="6" s="1"/>
  <c r="M32" i="6" s="1"/>
  <c r="M33" i="6" s="1"/>
  <c r="M34" i="6" s="1"/>
  <c r="M35" i="6" s="1"/>
  <c r="M36" i="6" s="1"/>
  <c r="M37" i="6" s="1"/>
  <c r="M38" i="6" s="1"/>
  <c r="M39" i="6" s="1"/>
  <c r="M40" i="6" s="1"/>
  <c r="M41" i="6" s="1"/>
  <c r="L30" i="49"/>
  <c r="L31" i="49"/>
  <c r="L146" i="49"/>
  <c r="I7" i="108"/>
  <c r="I8" i="108" s="1"/>
  <c r="I9" i="108" s="1"/>
  <c r="I10" i="108" s="1"/>
  <c r="I11" i="108" s="1"/>
  <c r="I12" i="108" s="1"/>
  <c r="I13" i="108" s="1"/>
  <c r="I14" i="108" s="1"/>
  <c r="I15" i="108" s="1"/>
  <c r="I16" i="108" s="1"/>
  <c r="I17" i="108" s="1"/>
  <c r="I18" i="108" s="1"/>
  <c r="H7" i="108"/>
  <c r="H8" i="108" s="1"/>
  <c r="H9" i="108" s="1"/>
  <c r="H10" i="108" s="1"/>
  <c r="H11" i="108" s="1"/>
  <c r="H12" i="108" s="1"/>
  <c r="H13" i="108" s="1"/>
  <c r="H14" i="108" s="1"/>
  <c r="H15" i="108" s="1"/>
  <c r="H16" i="108" s="1"/>
  <c r="H17" i="108" s="1"/>
  <c r="H18" i="108" s="1"/>
  <c r="H22" i="108" s="1"/>
  <c r="G7" i="108"/>
  <c r="G8" i="108" s="1"/>
  <c r="G9" i="108" s="1"/>
  <c r="G10" i="108" s="1"/>
  <c r="G11" i="108" s="1"/>
  <c r="G12" i="108" s="1"/>
  <c r="G13" i="108" s="1"/>
  <c r="G14" i="108" s="1"/>
  <c r="G15" i="108" s="1"/>
  <c r="G16" i="108" s="1"/>
  <c r="G17" i="108" s="1"/>
  <c r="G18" i="108" s="1"/>
  <c r="G22" i="108" s="1"/>
  <c r="M13" i="6"/>
  <c r="O7" i="152"/>
  <c r="S114" i="49"/>
  <c r="S112" i="49"/>
  <c r="S109" i="49"/>
  <c r="S107" i="49"/>
  <c r="S105" i="49"/>
  <c r="S103" i="49"/>
  <c r="S101" i="49"/>
  <c r="S99" i="49"/>
  <c r="S97" i="49"/>
  <c r="S95" i="49"/>
  <c r="S93" i="49"/>
  <c r="S91" i="49"/>
  <c r="S89" i="49"/>
  <c r="S87" i="49"/>
  <c r="S85" i="49"/>
  <c r="S83" i="49"/>
  <c r="S81" i="49"/>
  <c r="S79" i="49"/>
  <c r="S41" i="49"/>
  <c r="S36" i="49"/>
  <c r="D7" i="108"/>
  <c r="D8" i="108" s="1"/>
  <c r="D9" i="108" s="1"/>
  <c r="D10" i="108" s="1"/>
  <c r="D11" i="108" s="1"/>
  <c r="D12" i="108" s="1"/>
  <c r="D13" i="108" s="1"/>
  <c r="D14" i="108" s="1"/>
  <c r="D15" i="108" s="1"/>
  <c r="D16" i="108" s="1"/>
  <c r="D17" i="108" s="1"/>
  <c r="D18" i="108" s="1"/>
  <c r="P11" i="152"/>
  <c r="P12" i="152"/>
  <c r="P13" i="152"/>
  <c r="P19" i="152"/>
  <c r="P20" i="152"/>
  <c r="P21" i="152"/>
  <c r="P24" i="152"/>
  <c r="P25" i="152"/>
  <c r="L14" i="4"/>
  <c r="L28" i="4"/>
  <c r="L26" i="4"/>
  <c r="L20" i="4"/>
  <c r="L12" i="4"/>
  <c r="O135" i="31"/>
  <c r="O121" i="31"/>
  <c r="O123" i="31"/>
  <c r="L25" i="4" s="1"/>
  <c r="O107" i="31"/>
  <c r="L24" i="4" s="1"/>
  <c r="O100" i="31"/>
  <c r="L23" i="4" s="1"/>
  <c r="O84" i="31"/>
  <c r="O72" i="31"/>
  <c r="O85" i="31"/>
  <c r="L21" i="4" s="1"/>
  <c r="O51" i="31"/>
  <c r="O37" i="31"/>
  <c r="L18" i="4" s="1"/>
  <c r="O17" i="31"/>
  <c r="O28" i="31" s="1"/>
  <c r="L39" i="4"/>
  <c r="J12" i="3"/>
  <c r="F9" i="38"/>
  <c r="G18" i="154"/>
  <c r="G10" i="154"/>
  <c r="K10" i="154"/>
  <c r="L10" i="154" s="1"/>
  <c r="C10" i="154"/>
  <c r="AG22" i="102"/>
  <c r="AF21" i="102"/>
  <c r="AF12" i="102"/>
  <c r="AF11" i="102"/>
  <c r="AF10" i="102"/>
  <c r="AF9" i="102"/>
  <c r="Q8" i="152"/>
  <c r="Q9" i="152"/>
  <c r="Q10" i="152"/>
  <c r="Q11" i="152"/>
  <c r="Q12" i="152"/>
  <c r="Q13" i="152"/>
  <c r="Q14" i="152"/>
  <c r="Q15" i="152"/>
  <c r="Q16" i="152"/>
  <c r="Q17" i="152"/>
  <c r="Q18" i="152"/>
  <c r="Q19" i="152"/>
  <c r="Q20" i="152"/>
  <c r="Q21" i="152"/>
  <c r="Q22" i="152"/>
  <c r="Q23" i="152"/>
  <c r="Q24" i="152"/>
  <c r="Q25" i="152"/>
  <c r="Q26" i="152"/>
  <c r="Q27" i="152"/>
  <c r="Q28" i="152"/>
  <c r="Q29" i="152"/>
  <c r="Q30" i="152"/>
  <c r="Q31" i="152"/>
  <c r="Q32" i="152"/>
  <c r="Q7" i="152"/>
  <c r="N19" i="154"/>
  <c r="N21" i="154" s="1"/>
  <c r="F19" i="154"/>
  <c r="P18" i="154"/>
  <c r="K18" i="154"/>
  <c r="L18" i="154"/>
  <c r="M18" i="154" s="1"/>
  <c r="O18" i="154" s="1"/>
  <c r="P17" i="154"/>
  <c r="M17" i="154"/>
  <c r="O17" i="154" s="1"/>
  <c r="K17" i="154"/>
  <c r="L17" i="154" s="1"/>
  <c r="P16" i="154"/>
  <c r="K16" i="154"/>
  <c r="L16" i="154"/>
  <c r="M16" i="154" s="1"/>
  <c r="O16" i="154" s="1"/>
  <c r="P15" i="154"/>
  <c r="G15" i="154"/>
  <c r="K15" i="154" s="1"/>
  <c r="L15" i="154" s="1"/>
  <c r="M15" i="154" s="1"/>
  <c r="O15" i="154" s="1"/>
  <c r="P14" i="154"/>
  <c r="K14" i="154"/>
  <c r="L14" i="154" s="1"/>
  <c r="M14" i="154" s="1"/>
  <c r="O14" i="154" s="1"/>
  <c r="P13" i="154"/>
  <c r="K13" i="154"/>
  <c r="L13" i="154" s="1"/>
  <c r="M13" i="154" s="1"/>
  <c r="O13" i="154" s="1"/>
  <c r="P12" i="154"/>
  <c r="K12" i="154"/>
  <c r="L12" i="154"/>
  <c r="M12" i="154"/>
  <c r="O12" i="154"/>
  <c r="P11" i="154"/>
  <c r="L11" i="154"/>
  <c r="M11" i="154"/>
  <c r="O11" i="154"/>
  <c r="K11" i="154"/>
  <c r="P10" i="154"/>
  <c r="M10" i="154"/>
  <c r="O10" i="154" s="1"/>
  <c r="P9" i="154"/>
  <c r="K9" i="154"/>
  <c r="L9" i="154"/>
  <c r="M9" i="154"/>
  <c r="O9" i="154" s="1"/>
  <c r="P8" i="154"/>
  <c r="K8" i="154"/>
  <c r="L8" i="154"/>
  <c r="M8" i="154" s="1"/>
  <c r="O8" i="154" s="1"/>
  <c r="P7" i="154"/>
  <c r="K7" i="154"/>
  <c r="L7" i="154" s="1"/>
  <c r="M7" i="154" s="1"/>
  <c r="O7" i="154" s="1"/>
  <c r="P6" i="154"/>
  <c r="K6" i="154"/>
  <c r="L6" i="154" s="1"/>
  <c r="M6" i="154"/>
  <c r="O6" i="154"/>
  <c r="A8" i="154"/>
  <c r="A9" i="154" s="1"/>
  <c r="A10" i="154" s="1"/>
  <c r="A11" i="154" s="1"/>
  <c r="A12" i="154" s="1"/>
  <c r="A13" i="154" s="1"/>
  <c r="A14" i="154" s="1"/>
  <c r="A15" i="154" s="1"/>
  <c r="A16" i="154" s="1"/>
  <c r="A17" i="154" s="1"/>
  <c r="A18" i="154" s="1"/>
  <c r="A19" i="154" s="1"/>
  <c r="P5" i="154"/>
  <c r="K5" i="154"/>
  <c r="L5" i="154"/>
  <c r="M5" i="154" s="1"/>
  <c r="O5" i="154" s="1"/>
  <c r="A5" i="154"/>
  <c r="A6" i="154" s="1"/>
  <c r="A7" i="154" s="1"/>
  <c r="P4" i="154"/>
  <c r="K4" i="154"/>
  <c r="L4" i="154"/>
  <c r="M4" i="154" s="1"/>
  <c r="O4" i="154" s="1"/>
  <c r="L11" i="3"/>
  <c r="N29" i="49"/>
  <c r="F23" i="159" s="1"/>
  <c r="H11" i="6"/>
  <c r="H20" i="6"/>
  <c r="P20" i="6" s="1"/>
  <c r="O32" i="152"/>
  <c r="O31" i="152"/>
  <c r="O30" i="152"/>
  <c r="O29" i="152"/>
  <c r="O28" i="152"/>
  <c r="O27" i="152"/>
  <c r="O26" i="152"/>
  <c r="O25" i="152"/>
  <c r="O24" i="152"/>
  <c r="O23" i="152"/>
  <c r="O22" i="152"/>
  <c r="O21" i="152"/>
  <c r="O20" i="152"/>
  <c r="O19" i="152"/>
  <c r="O18" i="152"/>
  <c r="O17" i="152"/>
  <c r="O16" i="152"/>
  <c r="O15" i="152"/>
  <c r="O14" i="152"/>
  <c r="O13" i="152"/>
  <c r="O12" i="152"/>
  <c r="O11" i="152"/>
  <c r="O10" i="152"/>
  <c r="O9" i="152"/>
  <c r="O8" i="152"/>
  <c r="V197" i="49"/>
  <c r="W9" i="49"/>
  <c r="W32" i="49"/>
  <c r="W34" i="49"/>
  <c r="W36" i="49"/>
  <c r="W39" i="49"/>
  <c r="W45" i="49"/>
  <c r="W51" i="49"/>
  <c r="W55" i="49"/>
  <c r="W59" i="49"/>
  <c r="W73" i="49"/>
  <c r="W76" i="49"/>
  <c r="W80" i="49"/>
  <c r="W81" i="49"/>
  <c r="W83" i="49"/>
  <c r="W88" i="49"/>
  <c r="W91" i="49"/>
  <c r="W97" i="49"/>
  <c r="W98" i="49"/>
  <c r="W104" i="49"/>
  <c r="W107" i="49"/>
  <c r="W109" i="49"/>
  <c r="W112" i="49"/>
  <c r="W113" i="49"/>
  <c r="W115" i="49"/>
  <c r="W128" i="49"/>
  <c r="W136" i="49"/>
  <c r="W137" i="49"/>
  <c r="W140" i="49"/>
  <c r="W144" i="49"/>
  <c r="W145" i="49"/>
  <c r="W149" i="49"/>
  <c r="W150" i="49"/>
  <c r="W152" i="49"/>
  <c r="W154" i="49"/>
  <c r="W157" i="49"/>
  <c r="W172" i="49"/>
  <c r="W179" i="49"/>
  <c r="W187" i="49"/>
  <c r="W190" i="49"/>
  <c r="P34" i="152"/>
  <c r="B2" i="79"/>
  <c r="E43" i="76"/>
  <c r="E42" i="76"/>
  <c r="E41" i="76"/>
  <c r="E40" i="76"/>
  <c r="E51" i="76"/>
  <c r="E50" i="76"/>
  <c r="E32" i="76"/>
  <c r="E31" i="76"/>
  <c r="E30" i="76"/>
  <c r="E24" i="76"/>
  <c r="E23" i="76"/>
  <c r="E22" i="76"/>
  <c r="L49" i="93"/>
  <c r="E16" i="76"/>
  <c r="E10" i="76"/>
  <c r="Q197" i="49"/>
  <c r="R13" i="49"/>
  <c r="G13" i="49" s="1"/>
  <c r="R18" i="49"/>
  <c r="G18" i="49" s="1"/>
  <c r="R22" i="49"/>
  <c r="G22" i="49" s="1"/>
  <c r="R26" i="49"/>
  <c r="G26" i="49" s="1"/>
  <c r="R29" i="49"/>
  <c r="G29" i="49" s="1"/>
  <c r="K29" i="49" s="1"/>
  <c r="R33" i="49"/>
  <c r="G33" i="49" s="1"/>
  <c r="R37" i="49"/>
  <c r="G37" i="49" s="1"/>
  <c r="R39" i="49"/>
  <c r="G39" i="49"/>
  <c r="R41" i="49"/>
  <c r="R42" i="49"/>
  <c r="G42" i="49" s="1"/>
  <c r="R50" i="49"/>
  <c r="G50" i="49" s="1"/>
  <c r="R57" i="49"/>
  <c r="G57" i="49" s="1"/>
  <c r="R59" i="49"/>
  <c r="G59" i="49" s="1"/>
  <c r="R60" i="49"/>
  <c r="G60" i="49" s="1"/>
  <c r="R64" i="49"/>
  <c r="G64" i="49"/>
  <c r="K64" i="49" s="1"/>
  <c r="R69" i="49"/>
  <c r="G69" i="49" s="1"/>
  <c r="K69" i="49" s="1"/>
  <c r="R72" i="49"/>
  <c r="G72" i="49" s="1"/>
  <c r="R80" i="49"/>
  <c r="G80" i="49" s="1"/>
  <c r="R81" i="49"/>
  <c r="R83" i="49"/>
  <c r="R88" i="49"/>
  <c r="G88" i="49" s="1"/>
  <c r="R92" i="49"/>
  <c r="G92" i="49"/>
  <c r="R97" i="49"/>
  <c r="G97" i="49" s="1"/>
  <c r="R99" i="49"/>
  <c r="G99" i="49" s="1"/>
  <c r="R101" i="49"/>
  <c r="G101" i="49" s="1"/>
  <c r="R104" i="49"/>
  <c r="G104" i="49" s="1"/>
  <c r="R106" i="49"/>
  <c r="G106" i="49" s="1"/>
  <c r="R113" i="49"/>
  <c r="G113" i="49" s="1"/>
  <c r="R115" i="49"/>
  <c r="G115" i="49" s="1"/>
  <c r="R116" i="49"/>
  <c r="G116" i="49" s="1"/>
  <c r="R123" i="49"/>
  <c r="G123" i="49" s="1"/>
  <c r="K123" i="49" s="1"/>
  <c r="R124" i="49"/>
  <c r="G124" i="49" s="1"/>
  <c r="K124" i="49" s="1"/>
  <c r="R128" i="49"/>
  <c r="G128" i="49" s="1"/>
  <c r="R130" i="49"/>
  <c r="G130" i="49" s="1"/>
  <c r="K130" i="49" s="1"/>
  <c r="R132" i="49"/>
  <c r="G132" i="49" s="1"/>
  <c r="R136" i="49"/>
  <c r="G136" i="49" s="1"/>
  <c r="R140" i="49"/>
  <c r="G140" i="49" s="1"/>
  <c r="R145" i="49"/>
  <c r="G145" i="49" s="1"/>
  <c r="R148" i="49"/>
  <c r="G148" i="49" s="1"/>
  <c r="R154" i="49"/>
  <c r="G154" i="49" s="1"/>
  <c r="R158" i="49"/>
  <c r="G158" i="49" s="1"/>
  <c r="R159" i="49"/>
  <c r="G159" i="49" s="1"/>
  <c r="R163" i="49"/>
  <c r="G163" i="49" s="1"/>
  <c r="R173" i="49"/>
  <c r="G173" i="49" s="1"/>
  <c r="R179" i="49"/>
  <c r="G179" i="49" s="1"/>
  <c r="R180" i="49"/>
  <c r="G180" i="49" s="1"/>
  <c r="R186" i="49"/>
  <c r="G186" i="49" s="1"/>
  <c r="R187" i="49"/>
  <c r="G187" i="49" s="1"/>
  <c r="R189" i="49"/>
  <c r="G189" i="49" s="1"/>
  <c r="R193" i="49"/>
  <c r="G193" i="49" s="1"/>
  <c r="R194" i="49"/>
  <c r="G194" i="49" s="1"/>
  <c r="P195" i="49"/>
  <c r="P194" i="49"/>
  <c r="L194" i="49" s="1"/>
  <c r="P193" i="49"/>
  <c r="P192" i="49"/>
  <c r="P191" i="49"/>
  <c r="L191" i="49" s="1"/>
  <c r="P190" i="49"/>
  <c r="L190" i="49" s="1"/>
  <c r="P189" i="49"/>
  <c r="P188" i="49"/>
  <c r="P187" i="49"/>
  <c r="L187" i="49" s="1"/>
  <c r="P186" i="49"/>
  <c r="P185" i="49"/>
  <c r="P184" i="49"/>
  <c r="P183" i="49"/>
  <c r="W183" i="49" s="1"/>
  <c r="P182" i="49"/>
  <c r="P181" i="49"/>
  <c r="P180" i="49"/>
  <c r="L180" i="49" s="1"/>
  <c r="P179" i="49"/>
  <c r="L179" i="49" s="1"/>
  <c r="P178" i="49"/>
  <c r="P177" i="49"/>
  <c r="P176" i="49"/>
  <c r="P175" i="49"/>
  <c r="L175" i="49" s="1"/>
  <c r="P174" i="49"/>
  <c r="P173" i="49"/>
  <c r="P172" i="49"/>
  <c r="P171" i="49"/>
  <c r="P170" i="49"/>
  <c r="P169" i="49"/>
  <c r="W169" i="49" s="1"/>
  <c r="P168" i="49"/>
  <c r="P167" i="49"/>
  <c r="P166" i="49"/>
  <c r="W166" i="49" s="1"/>
  <c r="P165" i="49"/>
  <c r="P164" i="49"/>
  <c r="L164" i="49" s="1"/>
  <c r="P163" i="49"/>
  <c r="P162" i="49"/>
  <c r="P161" i="49"/>
  <c r="P160" i="49"/>
  <c r="P159" i="49"/>
  <c r="P158" i="49"/>
  <c r="L158" i="49" s="1"/>
  <c r="P157" i="49"/>
  <c r="P156" i="49"/>
  <c r="P155" i="49"/>
  <c r="P154" i="49"/>
  <c r="L154" i="49" s="1"/>
  <c r="P153" i="49"/>
  <c r="P152" i="49"/>
  <c r="L152" i="49" s="1"/>
  <c r="P151" i="49"/>
  <c r="R151" i="49" s="1"/>
  <c r="G151" i="49" s="1"/>
  <c r="P150" i="49"/>
  <c r="L150" i="49" s="1"/>
  <c r="P149" i="49"/>
  <c r="P148" i="49"/>
  <c r="P145" i="49"/>
  <c r="L145" i="49" s="1"/>
  <c r="P144" i="49"/>
  <c r="L144" i="49" s="1"/>
  <c r="P143" i="49"/>
  <c r="P142" i="49"/>
  <c r="P141" i="49"/>
  <c r="L141" i="49" s="1"/>
  <c r="P140" i="49"/>
  <c r="L140" i="49" s="1"/>
  <c r="P139" i="49"/>
  <c r="P138" i="49"/>
  <c r="P137" i="49"/>
  <c r="P136" i="49"/>
  <c r="L136" i="49" s="1"/>
  <c r="P135" i="49"/>
  <c r="P134" i="49"/>
  <c r="P133" i="49"/>
  <c r="L133" i="49" s="1"/>
  <c r="P132" i="49"/>
  <c r="P131" i="49"/>
  <c r="P130" i="49"/>
  <c r="P129" i="49"/>
  <c r="P128" i="49"/>
  <c r="L128" i="49" s="1"/>
  <c r="P127" i="49"/>
  <c r="P126" i="49"/>
  <c r="P125" i="49"/>
  <c r="P124" i="49"/>
  <c r="P123" i="49"/>
  <c r="P122" i="49"/>
  <c r="P121" i="49"/>
  <c r="P120" i="49"/>
  <c r="P119" i="49"/>
  <c r="P118" i="49"/>
  <c r="P117" i="49"/>
  <c r="P116" i="49"/>
  <c r="P115" i="49"/>
  <c r="L115" i="49" s="1"/>
  <c r="P114" i="49"/>
  <c r="P113" i="49"/>
  <c r="L113" i="49" s="1"/>
  <c r="P112" i="49"/>
  <c r="P111" i="49"/>
  <c r="R111" i="49" s="1"/>
  <c r="G111" i="49" s="1"/>
  <c r="P110" i="49"/>
  <c r="P109" i="49"/>
  <c r="L109" i="49" s="1"/>
  <c r="P108" i="49"/>
  <c r="P107" i="49"/>
  <c r="P106" i="49"/>
  <c r="P105" i="49"/>
  <c r="P104" i="49"/>
  <c r="L104" i="49" s="1"/>
  <c r="P103" i="49"/>
  <c r="P102" i="49"/>
  <c r="P101" i="49"/>
  <c r="L101" i="49" s="1"/>
  <c r="P100" i="49"/>
  <c r="P99" i="49"/>
  <c r="L99" i="49" s="1"/>
  <c r="P98" i="49"/>
  <c r="L98" i="49" s="1"/>
  <c r="P97" i="49"/>
  <c r="L97" i="49" s="1"/>
  <c r="P96" i="49"/>
  <c r="L96" i="49" s="1"/>
  <c r="P95" i="49"/>
  <c r="P94" i="49"/>
  <c r="W94" i="49" s="1"/>
  <c r="P93" i="49"/>
  <c r="P92" i="49"/>
  <c r="P91" i="49"/>
  <c r="P90" i="49"/>
  <c r="L90" i="49" s="1"/>
  <c r="P89" i="49"/>
  <c r="P88" i="49"/>
  <c r="L88" i="49" s="1"/>
  <c r="P87" i="49"/>
  <c r="P86" i="49"/>
  <c r="P85" i="49"/>
  <c r="R85" i="49" s="1"/>
  <c r="P84" i="49"/>
  <c r="P83" i="49"/>
  <c r="L83" i="49" s="1"/>
  <c r="P82" i="49"/>
  <c r="P81" i="49"/>
  <c r="L81" i="49" s="1"/>
  <c r="P80" i="49"/>
  <c r="L80" i="49" s="1"/>
  <c r="P79" i="49"/>
  <c r="P78" i="49"/>
  <c r="P77" i="49"/>
  <c r="P76" i="49"/>
  <c r="P75" i="49"/>
  <c r="P74" i="49"/>
  <c r="R74" i="49" s="1"/>
  <c r="G74" i="49" s="1"/>
  <c r="K74" i="49" s="1"/>
  <c r="P73" i="49"/>
  <c r="P72" i="49"/>
  <c r="L72" i="49" s="1"/>
  <c r="P71" i="49"/>
  <c r="P70" i="49"/>
  <c r="P69" i="49"/>
  <c r="P68" i="49"/>
  <c r="R68" i="49" s="1"/>
  <c r="G68" i="49" s="1"/>
  <c r="K68" i="49" s="1"/>
  <c r="P67" i="49"/>
  <c r="P66" i="49"/>
  <c r="P65" i="49"/>
  <c r="P64" i="49"/>
  <c r="P63" i="49"/>
  <c r="P62" i="49"/>
  <c r="P61" i="49"/>
  <c r="P60" i="49"/>
  <c r="P59" i="49"/>
  <c r="L59" i="49" s="1"/>
  <c r="P58" i="49"/>
  <c r="P57" i="49"/>
  <c r="P56" i="49"/>
  <c r="P55" i="49"/>
  <c r="P54" i="49"/>
  <c r="P53" i="49"/>
  <c r="R53" i="49" s="1"/>
  <c r="G53" i="49" s="1"/>
  <c r="P52" i="49"/>
  <c r="P51" i="49"/>
  <c r="L51" i="49" s="1"/>
  <c r="P50" i="49"/>
  <c r="L50" i="49" s="1"/>
  <c r="P49" i="49"/>
  <c r="P48" i="49"/>
  <c r="L48" i="49" s="1"/>
  <c r="P47" i="49"/>
  <c r="P46" i="49"/>
  <c r="P45" i="49"/>
  <c r="L45" i="49" s="1"/>
  <c r="R45" i="49"/>
  <c r="G45" i="49" s="1"/>
  <c r="P44" i="49"/>
  <c r="L44" i="49" s="1"/>
  <c r="P43" i="49"/>
  <c r="P42" i="49"/>
  <c r="P41" i="49"/>
  <c r="P40" i="49"/>
  <c r="P39" i="49"/>
  <c r="L39" i="49" s="1"/>
  <c r="P38" i="49"/>
  <c r="P37" i="49"/>
  <c r="P36" i="49"/>
  <c r="P35" i="49"/>
  <c r="P34" i="49"/>
  <c r="L34" i="49" s="1"/>
  <c r="P33" i="49"/>
  <c r="P32" i="49"/>
  <c r="P29" i="49"/>
  <c r="P28" i="49"/>
  <c r="P27" i="49"/>
  <c r="P26" i="49"/>
  <c r="L26" i="49" s="1"/>
  <c r="P25" i="49"/>
  <c r="P24" i="49"/>
  <c r="P23" i="49"/>
  <c r="P22" i="49"/>
  <c r="P21" i="49"/>
  <c r="L21" i="49" s="1"/>
  <c r="P20" i="49"/>
  <c r="L20" i="49" s="1"/>
  <c r="P19" i="49"/>
  <c r="P18" i="49"/>
  <c r="P17" i="49"/>
  <c r="P16" i="49"/>
  <c r="P15" i="49"/>
  <c r="L15" i="49" s="1"/>
  <c r="P14" i="49"/>
  <c r="P13" i="49"/>
  <c r="P12" i="49"/>
  <c r="P11" i="49"/>
  <c r="W11" i="49" s="1"/>
  <c r="P10" i="49"/>
  <c r="P9" i="49"/>
  <c r="P8" i="49"/>
  <c r="H101" i="49"/>
  <c r="H99" i="49"/>
  <c r="H97" i="49"/>
  <c r="G81" i="49"/>
  <c r="H81" i="49"/>
  <c r="M44" i="6"/>
  <c r="M45" i="6" s="1"/>
  <c r="M46" i="6" s="1"/>
  <c r="M47" i="6" s="1"/>
  <c r="M48" i="6" s="1"/>
  <c r="M49" i="6" s="1"/>
  <c r="M50" i="6" s="1"/>
  <c r="M51" i="6" s="1"/>
  <c r="M52" i="6" s="1"/>
  <c r="M53" i="6" s="1"/>
  <c r="M54" i="6" s="1"/>
  <c r="M55" i="6" s="1"/>
  <c r="M56" i="6" s="1"/>
  <c r="M57" i="6" s="1"/>
  <c r="M58" i="6" s="1"/>
  <c r="M59" i="6" s="1"/>
  <c r="M60" i="6" s="1"/>
  <c r="M61" i="6" s="1"/>
  <c r="M62" i="6" s="1"/>
  <c r="M63" i="6" s="1"/>
  <c r="M64" i="6" s="1"/>
  <c r="M65" i="6" s="1"/>
  <c r="B4" i="79"/>
  <c r="C21" i="80"/>
  <c r="B21" i="80"/>
  <c r="C37" i="109"/>
  <c r="C38" i="109"/>
  <c r="O320" i="93"/>
  <c r="P158" i="107"/>
  <c r="O158" i="107"/>
  <c r="M158" i="107"/>
  <c r="L158" i="107"/>
  <c r="K158" i="107"/>
  <c r="J158" i="107"/>
  <c r="I158" i="107"/>
  <c r="H158" i="107"/>
  <c r="G158" i="107"/>
  <c r="F158" i="107"/>
  <c r="E158" i="107"/>
  <c r="P157" i="107"/>
  <c r="O157" i="107"/>
  <c r="M157" i="107"/>
  <c r="L157" i="107"/>
  <c r="K157" i="107"/>
  <c r="J157" i="107"/>
  <c r="I157" i="107"/>
  <c r="H157" i="107"/>
  <c r="G157" i="107"/>
  <c r="F157" i="107"/>
  <c r="E157" i="107"/>
  <c r="P143" i="107"/>
  <c r="O143" i="107"/>
  <c r="M143" i="107"/>
  <c r="L143" i="107"/>
  <c r="K143" i="107"/>
  <c r="J143" i="107"/>
  <c r="I143" i="107"/>
  <c r="H143" i="107"/>
  <c r="G143" i="107"/>
  <c r="G144" i="107"/>
  <c r="G146" i="107" s="1"/>
  <c r="F143" i="107"/>
  <c r="E143" i="107"/>
  <c r="E144" i="107" s="1"/>
  <c r="AD143" i="107"/>
  <c r="P142" i="107"/>
  <c r="O142" i="107"/>
  <c r="M142" i="107"/>
  <c r="L142" i="107"/>
  <c r="K142" i="107"/>
  <c r="K144" i="107" s="1"/>
  <c r="J142" i="107"/>
  <c r="I142" i="107"/>
  <c r="H142" i="107"/>
  <c r="G142" i="107"/>
  <c r="F142" i="107"/>
  <c r="E142" i="107"/>
  <c r="AD141" i="107"/>
  <c r="AD140" i="107"/>
  <c r="V140" i="107"/>
  <c r="X137" i="107"/>
  <c r="X140" i="107" s="1"/>
  <c r="AB140" i="107" s="1"/>
  <c r="V136" i="107"/>
  <c r="X139" i="107" s="1"/>
  <c r="AB139" i="107" s="1"/>
  <c r="V135" i="107"/>
  <c r="X138" i="107" s="1"/>
  <c r="AB138" i="107" s="1"/>
  <c r="N177" i="107"/>
  <c r="P128" i="107"/>
  <c r="O128" i="107"/>
  <c r="M128" i="107"/>
  <c r="L128" i="107"/>
  <c r="K128" i="107"/>
  <c r="J128" i="107"/>
  <c r="I128" i="107"/>
  <c r="H128" i="107"/>
  <c r="G128" i="107"/>
  <c r="F128" i="107"/>
  <c r="E128" i="107"/>
  <c r="AD128" i="107"/>
  <c r="Z127" i="107"/>
  <c r="V127" i="107"/>
  <c r="P127" i="107"/>
  <c r="O127" i="107"/>
  <c r="M127" i="107"/>
  <c r="L127" i="107"/>
  <c r="K127" i="107"/>
  <c r="J127" i="107"/>
  <c r="I127" i="107"/>
  <c r="H127" i="107"/>
  <c r="H129" i="107"/>
  <c r="G127" i="107"/>
  <c r="F127" i="107"/>
  <c r="E127" i="107"/>
  <c r="AD127" i="107"/>
  <c r="AD126" i="107"/>
  <c r="AD125" i="107"/>
  <c r="AB123" i="107"/>
  <c r="X122" i="107"/>
  <c r="X127" i="107" s="1"/>
  <c r="V121" i="107"/>
  <c r="X126" i="107"/>
  <c r="AB126" i="107" s="1"/>
  <c r="V120" i="107"/>
  <c r="V125" i="107" s="1"/>
  <c r="V119" i="107"/>
  <c r="P114" i="107"/>
  <c r="P116" i="107" s="1"/>
  <c r="O114" i="107"/>
  <c r="O116" i="107"/>
  <c r="M114" i="107"/>
  <c r="M116" i="107"/>
  <c r="L114" i="107"/>
  <c r="L116" i="107" s="1"/>
  <c r="K114" i="107"/>
  <c r="K116" i="107" s="1"/>
  <c r="J114" i="107"/>
  <c r="J116" i="107"/>
  <c r="I114" i="107"/>
  <c r="I116" i="107"/>
  <c r="H114" i="107"/>
  <c r="H116" i="107" s="1"/>
  <c r="G114" i="107"/>
  <c r="G116" i="107" s="1"/>
  <c r="F114" i="107"/>
  <c r="F116" i="107"/>
  <c r="E114" i="107"/>
  <c r="E116" i="107"/>
  <c r="D114" i="107"/>
  <c r="D116" i="107" s="1"/>
  <c r="AD103" i="107"/>
  <c r="Z102" i="107"/>
  <c r="X102" i="107"/>
  <c r="V102" i="107"/>
  <c r="P102" i="107"/>
  <c r="O102" i="107"/>
  <c r="P103" i="107" s="1"/>
  <c r="M102" i="107"/>
  <c r="O103" i="107"/>
  <c r="L102" i="107"/>
  <c r="M103" i="107"/>
  <c r="K102" i="107"/>
  <c r="L103" i="107" s="1"/>
  <c r="J102" i="107"/>
  <c r="K103" i="107" s="1"/>
  <c r="I102" i="107"/>
  <c r="H102" i="107"/>
  <c r="G102" i="107"/>
  <c r="H103" i="107" s="1"/>
  <c r="F102" i="107"/>
  <c r="G103" i="107" s="1"/>
  <c r="E102" i="107"/>
  <c r="F103" i="107"/>
  <c r="D102" i="107"/>
  <c r="E103" i="107"/>
  <c r="AB98" i="107"/>
  <c r="V96" i="107"/>
  <c r="X101" i="107"/>
  <c r="AB101" i="107" s="1"/>
  <c r="D89" i="107"/>
  <c r="P88" i="107"/>
  <c r="P89" i="107" s="1"/>
  <c r="O88" i="107"/>
  <c r="O89" i="107"/>
  <c r="M88" i="107"/>
  <c r="M89" i="107"/>
  <c r="L88" i="107"/>
  <c r="L89" i="107" s="1"/>
  <c r="L91" i="107" s="1"/>
  <c r="L93" i="107" s="1"/>
  <c r="K88" i="107"/>
  <c r="K89" i="107"/>
  <c r="K91" i="107" s="1"/>
  <c r="K93" i="107"/>
  <c r="J88" i="107"/>
  <c r="J89" i="107" s="1"/>
  <c r="I88" i="107"/>
  <c r="I89" i="107" s="1"/>
  <c r="I91" i="107" s="1"/>
  <c r="I93" i="107" s="1"/>
  <c r="H88" i="107"/>
  <c r="H89" i="107"/>
  <c r="G88" i="107"/>
  <c r="G89" i="107" s="1"/>
  <c r="F88" i="107"/>
  <c r="F89" i="107" s="1"/>
  <c r="F91" i="107" s="1"/>
  <c r="F93" i="107" s="1"/>
  <c r="E88" i="107"/>
  <c r="E89" i="107"/>
  <c r="E91" i="107" s="1"/>
  <c r="V79" i="107"/>
  <c r="X100" i="107" s="1"/>
  <c r="AB100" i="107" s="1"/>
  <c r="V78" i="107"/>
  <c r="X99" i="107"/>
  <c r="AB99" i="107"/>
  <c r="AD72" i="107"/>
  <c r="Z71" i="107"/>
  <c r="X71" i="107"/>
  <c r="V71" i="107"/>
  <c r="P71" i="107"/>
  <c r="O71" i="107"/>
  <c r="P72" i="107"/>
  <c r="M71" i="107"/>
  <c r="O72" i="107" s="1"/>
  <c r="O73" i="107"/>
  <c r="O75" i="107" s="1"/>
  <c r="L71" i="107"/>
  <c r="M72" i="107"/>
  <c r="K71" i="107"/>
  <c r="J71" i="107"/>
  <c r="K72" i="107"/>
  <c r="I71" i="107"/>
  <c r="J72" i="107"/>
  <c r="H71" i="107"/>
  <c r="I72" i="107" s="1"/>
  <c r="G71" i="107"/>
  <c r="F71" i="107"/>
  <c r="G72" i="107"/>
  <c r="E71" i="107"/>
  <c r="F72" i="107" s="1"/>
  <c r="F73" i="107"/>
  <c r="F75" i="107" s="1"/>
  <c r="D71" i="107"/>
  <c r="E72" i="107"/>
  <c r="X70" i="107"/>
  <c r="AB70" i="107"/>
  <c r="V70" i="107"/>
  <c r="V66" i="107"/>
  <c r="N65" i="107"/>
  <c r="P60" i="107"/>
  <c r="P61" i="107" s="1"/>
  <c r="O60" i="107"/>
  <c r="O61" i="107" s="1"/>
  <c r="M60" i="107"/>
  <c r="M61" i="107"/>
  <c r="M63" i="107" s="1"/>
  <c r="L60" i="107"/>
  <c r="L61" i="107" s="1"/>
  <c r="K60" i="107"/>
  <c r="K61" i="107"/>
  <c r="J60" i="107"/>
  <c r="J61" i="107"/>
  <c r="J63" i="107"/>
  <c r="I60" i="107"/>
  <c r="I61" i="107"/>
  <c r="H60" i="107"/>
  <c r="H61" i="107" s="1"/>
  <c r="G60" i="107"/>
  <c r="G61" i="107" s="1"/>
  <c r="G63" i="107" s="1"/>
  <c r="F60" i="107"/>
  <c r="F61" i="107"/>
  <c r="E60" i="107"/>
  <c r="E61" i="107"/>
  <c r="E63" i="107" s="1"/>
  <c r="D61" i="107"/>
  <c r="AD59" i="107"/>
  <c r="V59" i="107"/>
  <c r="V58" i="107"/>
  <c r="X57" i="107"/>
  <c r="X59" i="107" s="1"/>
  <c r="AB59" i="107" s="1"/>
  <c r="X49" i="107"/>
  <c r="AB49" i="107" s="1"/>
  <c r="V49" i="107"/>
  <c r="P49" i="107"/>
  <c r="P51" i="107"/>
  <c r="O49" i="107"/>
  <c r="M49" i="107"/>
  <c r="L49" i="107"/>
  <c r="K49" i="107"/>
  <c r="J49" i="107"/>
  <c r="J51" i="107"/>
  <c r="I49" i="107"/>
  <c r="H49" i="107"/>
  <c r="G49" i="107"/>
  <c r="G51" i="107" s="1"/>
  <c r="F49" i="107"/>
  <c r="F51" i="107" s="1"/>
  <c r="E49" i="107"/>
  <c r="D49" i="107"/>
  <c r="AB45" i="107"/>
  <c r="V43" i="107"/>
  <c r="X48" i="107"/>
  <c r="AB48" i="107"/>
  <c r="V42" i="107"/>
  <c r="X47" i="107"/>
  <c r="AB47" i="107" s="1"/>
  <c r="V41" i="107"/>
  <c r="V46" i="107"/>
  <c r="X36" i="107"/>
  <c r="AB36" i="107"/>
  <c r="V36" i="107"/>
  <c r="P36" i="107"/>
  <c r="O36" i="107"/>
  <c r="M36" i="107"/>
  <c r="M38" i="107" s="1"/>
  <c r="L36" i="107"/>
  <c r="K36" i="107"/>
  <c r="J36" i="107"/>
  <c r="I36" i="107"/>
  <c r="H36" i="107"/>
  <c r="G36" i="107"/>
  <c r="F36" i="107"/>
  <c r="F38" i="107" s="1"/>
  <c r="E36" i="107"/>
  <c r="E38" i="107" s="1"/>
  <c r="D36" i="107"/>
  <c r="AB32" i="107"/>
  <c r="V30" i="107"/>
  <c r="X35" i="107"/>
  <c r="AB35" i="107" s="1"/>
  <c r="V29" i="107"/>
  <c r="X34" i="107"/>
  <c r="AB34" i="107" s="1"/>
  <c r="V28" i="107"/>
  <c r="V33" i="107"/>
  <c r="H22" i="107"/>
  <c r="P21" i="107"/>
  <c r="O21" i="107"/>
  <c r="M21" i="107"/>
  <c r="O22" i="107" s="1"/>
  <c r="L21" i="107"/>
  <c r="K21" i="107"/>
  <c r="L22" i="107"/>
  <c r="J21" i="107"/>
  <c r="I21" i="107"/>
  <c r="H21" i="107"/>
  <c r="I22" i="107" s="1"/>
  <c r="F21" i="107"/>
  <c r="E21" i="107"/>
  <c r="F22" i="107"/>
  <c r="F23" i="107" s="1"/>
  <c r="D21" i="107"/>
  <c r="E22" i="107" s="1"/>
  <c r="V20" i="107"/>
  <c r="V19" i="107"/>
  <c r="X18" i="107"/>
  <c r="X20" i="107"/>
  <c r="AB20" i="107" s="1"/>
  <c r="P11" i="107"/>
  <c r="P13" i="107" s="1"/>
  <c r="O11" i="107"/>
  <c r="O13" i="107"/>
  <c r="M11" i="107"/>
  <c r="M13" i="107"/>
  <c r="M15" i="107"/>
  <c r="L11" i="107"/>
  <c r="L13" i="107"/>
  <c r="L15" i="107" s="1"/>
  <c r="J11" i="107"/>
  <c r="J13" i="107"/>
  <c r="J15" i="107" s="1"/>
  <c r="I11" i="107"/>
  <c r="I13" i="107"/>
  <c r="H11" i="107"/>
  <c r="H13" i="107"/>
  <c r="G11" i="107"/>
  <c r="G13" i="107" s="1"/>
  <c r="F11" i="107"/>
  <c r="F13" i="107" s="1"/>
  <c r="E11" i="107"/>
  <c r="E13" i="107"/>
  <c r="D11" i="107"/>
  <c r="D13" i="107"/>
  <c r="K10" i="107"/>
  <c r="K11" i="107" s="1"/>
  <c r="K13" i="107"/>
  <c r="I16" i="106"/>
  <c r="H16" i="106"/>
  <c r="D16" i="106"/>
  <c r="C16" i="106"/>
  <c r="J15" i="106"/>
  <c r="Z9" i="104" s="1"/>
  <c r="E15" i="106"/>
  <c r="I34" i="77" s="1"/>
  <c r="J14" i="106"/>
  <c r="X9" i="104" s="1"/>
  <c r="E14" i="106"/>
  <c r="I33" i="77"/>
  <c r="J13" i="106"/>
  <c r="V9" i="104" s="1"/>
  <c r="E13" i="106"/>
  <c r="I32" i="77"/>
  <c r="J12" i="106"/>
  <c r="E12" i="106"/>
  <c r="I31" i="77"/>
  <c r="J11" i="106"/>
  <c r="R9" i="104"/>
  <c r="E11" i="106"/>
  <c r="J10" i="106"/>
  <c r="P9" i="104" s="1"/>
  <c r="E10" i="106"/>
  <c r="I29" i="77"/>
  <c r="J9" i="106"/>
  <c r="E9" i="106"/>
  <c r="I28" i="77"/>
  <c r="J8" i="106"/>
  <c r="E8" i="106"/>
  <c r="J7" i="106"/>
  <c r="E7" i="106"/>
  <c r="J6" i="106"/>
  <c r="E6" i="106"/>
  <c r="J5" i="106"/>
  <c r="E5" i="106"/>
  <c r="I24" i="77" s="1"/>
  <c r="J4" i="106"/>
  <c r="D9" i="104" s="1"/>
  <c r="E4" i="106"/>
  <c r="I23" i="77"/>
  <c r="O19" i="105"/>
  <c r="O27" i="105" s="1"/>
  <c r="N19" i="105"/>
  <c r="N27" i="105" s="1"/>
  <c r="M19" i="105"/>
  <c r="L19" i="105"/>
  <c r="L27" i="105" s="1"/>
  <c r="K19" i="105"/>
  <c r="K27" i="105"/>
  <c r="J19" i="105"/>
  <c r="J27" i="105"/>
  <c r="I19" i="105"/>
  <c r="I27" i="105" s="1"/>
  <c r="H19" i="105"/>
  <c r="H27" i="105" s="1"/>
  <c r="G19" i="105"/>
  <c r="F19" i="105"/>
  <c r="E19" i="105"/>
  <c r="D19" i="105"/>
  <c r="P18" i="105"/>
  <c r="P17" i="105"/>
  <c r="P16" i="105"/>
  <c r="E595" i="93"/>
  <c r="P15" i="105"/>
  <c r="P14" i="105"/>
  <c r="E593" i="93"/>
  <c r="P13" i="105"/>
  <c r="AK2" i="102" s="1"/>
  <c r="AL2" i="102" s="1"/>
  <c r="P12" i="105"/>
  <c r="O9" i="105"/>
  <c r="N9" i="105"/>
  <c r="N26" i="105"/>
  <c r="M9" i="105"/>
  <c r="M26" i="105"/>
  <c r="L9" i="105"/>
  <c r="L26" i="105" s="1"/>
  <c r="L28" i="105" s="1"/>
  <c r="K9" i="105"/>
  <c r="K26" i="105" s="1"/>
  <c r="K28" i="105" s="1"/>
  <c r="J9" i="105"/>
  <c r="J26" i="105" s="1"/>
  <c r="I9" i="105"/>
  <c r="J428" i="103" s="1"/>
  <c r="H9" i="105"/>
  <c r="H26" i="105"/>
  <c r="H28" i="105" s="1"/>
  <c r="G9" i="105"/>
  <c r="G26" i="105"/>
  <c r="F9" i="105"/>
  <c r="F26" i="105"/>
  <c r="E9" i="105"/>
  <c r="E26" i="105" s="1"/>
  <c r="D9" i="105"/>
  <c r="E428" i="103" s="1"/>
  <c r="P8" i="105"/>
  <c r="P7" i="105"/>
  <c r="Y28" i="104"/>
  <c r="Y27" i="104"/>
  <c r="Y26" i="104"/>
  <c r="AD15" i="104"/>
  <c r="T9" i="104"/>
  <c r="N9" i="104"/>
  <c r="L9" i="104"/>
  <c r="J9" i="104"/>
  <c r="H9" i="104"/>
  <c r="F9" i="104"/>
  <c r="F10" i="104" s="1"/>
  <c r="O428" i="103"/>
  <c r="I428" i="103"/>
  <c r="H428" i="103"/>
  <c r="G428" i="103"/>
  <c r="P422" i="103"/>
  <c r="O422" i="103"/>
  <c r="N422" i="103"/>
  <c r="M422" i="103"/>
  <c r="L422" i="103"/>
  <c r="K422" i="103"/>
  <c r="J422" i="103"/>
  <c r="I422" i="103"/>
  <c r="H422" i="103"/>
  <c r="G422" i="103"/>
  <c r="F422" i="103"/>
  <c r="E422" i="103"/>
  <c r="Q421" i="103"/>
  <c r="E584" i="93" s="1"/>
  <c r="Q420" i="103"/>
  <c r="E583" i="93" s="1"/>
  <c r="Q419" i="103"/>
  <c r="Q418" i="103"/>
  <c r="Q417" i="103"/>
  <c r="Q416" i="103"/>
  <c r="Q415" i="103"/>
  <c r="Q414" i="103"/>
  <c r="Q413" i="103"/>
  <c r="Q412" i="103"/>
  <c r="Q411" i="103"/>
  <c r="Q410" i="103"/>
  <c r="Q409" i="103"/>
  <c r="Q408" i="103"/>
  <c r="Q407" i="103"/>
  <c r="Q406" i="103"/>
  <c r="P402" i="103"/>
  <c r="O402" i="103"/>
  <c r="N402" i="103"/>
  <c r="M402" i="103"/>
  <c r="L402" i="103"/>
  <c r="K402" i="103"/>
  <c r="J402" i="103"/>
  <c r="I402" i="103"/>
  <c r="H402" i="103"/>
  <c r="G402" i="103"/>
  <c r="F402" i="103"/>
  <c r="E402" i="103"/>
  <c r="Q401" i="103"/>
  <c r="E568" i="93"/>
  <c r="Q400" i="103"/>
  <c r="Q399" i="103"/>
  <c r="Q398" i="103"/>
  <c r="Q397" i="103"/>
  <c r="Q396" i="103"/>
  <c r="Q395" i="103"/>
  <c r="Q394" i="103"/>
  <c r="Q393" i="103"/>
  <c r="Q392" i="103"/>
  <c r="Q391" i="103"/>
  <c r="Q390" i="103"/>
  <c r="Q389" i="103"/>
  <c r="Q388" i="103"/>
  <c r="Q387" i="103"/>
  <c r="Q386" i="103"/>
  <c r="Q382" i="103"/>
  <c r="Q381" i="103"/>
  <c r="Q380" i="103"/>
  <c r="E546" i="93"/>
  <c r="Q379" i="103"/>
  <c r="Q378" i="103"/>
  <c r="Q377" i="103"/>
  <c r="Q376" i="103"/>
  <c r="Q375" i="103"/>
  <c r="Q374" i="103"/>
  <c r="Q373" i="103"/>
  <c r="Q372" i="103"/>
  <c r="Q371" i="103"/>
  <c r="Q370" i="103"/>
  <c r="Q369" i="103"/>
  <c r="Q368" i="103"/>
  <c r="Q367" i="103"/>
  <c r="Q366" i="103"/>
  <c r="Q362" i="103"/>
  <c r="Q361" i="103"/>
  <c r="E528" i="93" s="1"/>
  <c r="Q360" i="103"/>
  <c r="Q359" i="103"/>
  <c r="Q358" i="103"/>
  <c r="Q357" i="103"/>
  <c r="Q356" i="103"/>
  <c r="Q355" i="103"/>
  <c r="Q354" i="103"/>
  <c r="Q353" i="103"/>
  <c r="Q352" i="103"/>
  <c r="Q351" i="103"/>
  <c r="Q350" i="103"/>
  <c r="Q349" i="103"/>
  <c r="Q348" i="103"/>
  <c r="Q347" i="103"/>
  <c r="Q346" i="103"/>
  <c r="Q342" i="103"/>
  <c r="Q341" i="103"/>
  <c r="Q340" i="103"/>
  <c r="Q339" i="103"/>
  <c r="Q338" i="103"/>
  <c r="Q337" i="103"/>
  <c r="Q336" i="103"/>
  <c r="Q335" i="103"/>
  <c r="Q334" i="103"/>
  <c r="Q333" i="103"/>
  <c r="Q332" i="103"/>
  <c r="Q331" i="103"/>
  <c r="Q330" i="103"/>
  <c r="Q329" i="103"/>
  <c r="Q328" i="103"/>
  <c r="Q327" i="103"/>
  <c r="Q326" i="103"/>
  <c r="Q322" i="103"/>
  <c r="Q321" i="103"/>
  <c r="E472" i="93" s="1"/>
  <c r="Q320" i="103"/>
  <c r="E471" i="93" s="1"/>
  <c r="Q319" i="103"/>
  <c r="E470" i="93"/>
  <c r="Q318" i="103"/>
  <c r="Q317" i="103"/>
  <c r="E468" i="93"/>
  <c r="Q316" i="103"/>
  <c r="Q315" i="103"/>
  <c r="Q314" i="103"/>
  <c r="Q313" i="103"/>
  <c r="Q312" i="103"/>
  <c r="Q311" i="103"/>
  <c r="Q310" i="103"/>
  <c r="Q309" i="103"/>
  <c r="Q308" i="103"/>
  <c r="Q307" i="103"/>
  <c r="Q306" i="103"/>
  <c r="Q302" i="103"/>
  <c r="Q301" i="103"/>
  <c r="E445" i="93" s="1"/>
  <c r="Q300" i="103"/>
  <c r="E444" i="93"/>
  <c r="Q299" i="103"/>
  <c r="Q298" i="103"/>
  <c r="Q297" i="103"/>
  <c r="Q296" i="103"/>
  <c r="Q295" i="103"/>
  <c r="Q294" i="103"/>
  <c r="Q293" i="103"/>
  <c r="Q292" i="103"/>
  <c r="Q291" i="103"/>
  <c r="Q290" i="103"/>
  <c r="Q289" i="103"/>
  <c r="Q288" i="103"/>
  <c r="Q287" i="103"/>
  <c r="Q286" i="103"/>
  <c r="Q282" i="103"/>
  <c r="Q281" i="103"/>
  <c r="E426" i="93" s="1"/>
  <c r="Q280" i="103"/>
  <c r="Q279" i="103"/>
  <c r="Q278" i="103"/>
  <c r="Q277" i="103"/>
  <c r="Q276" i="103"/>
  <c r="Q275" i="103"/>
  <c r="Q274" i="103"/>
  <c r="Q273" i="103"/>
  <c r="Q272" i="103"/>
  <c r="Q271" i="103"/>
  <c r="Q270" i="103"/>
  <c r="Q269" i="103"/>
  <c r="Q268" i="103"/>
  <c r="Q267" i="103"/>
  <c r="Q266" i="103"/>
  <c r="Q262" i="103"/>
  <c r="Q261" i="103"/>
  <c r="Q260" i="103"/>
  <c r="E406" i="93" s="1"/>
  <c r="Q259" i="103"/>
  <c r="Q258" i="103"/>
  <c r="Q257" i="103"/>
  <c r="Q256" i="103"/>
  <c r="Q255" i="103"/>
  <c r="Q254" i="103"/>
  <c r="Q253" i="103"/>
  <c r="Q252" i="103"/>
  <c r="Q251" i="103"/>
  <c r="Q250" i="103"/>
  <c r="Q249" i="103"/>
  <c r="Q248" i="103"/>
  <c r="Q247" i="103"/>
  <c r="Q246" i="103"/>
  <c r="Q242" i="103"/>
  <c r="Q241" i="103"/>
  <c r="Q240" i="103"/>
  <c r="E388" i="93" s="1"/>
  <c r="Q239" i="103"/>
  <c r="Q238" i="103"/>
  <c r="Q237" i="103"/>
  <c r="Q236" i="103"/>
  <c r="Q235" i="103"/>
  <c r="Q234" i="103"/>
  <c r="Q233" i="103"/>
  <c r="Q232" i="103"/>
  <c r="Q231" i="103"/>
  <c r="Q230" i="103"/>
  <c r="Q229" i="103"/>
  <c r="Q228" i="103"/>
  <c r="Q227" i="103"/>
  <c r="Q226" i="103"/>
  <c r="Q222" i="103"/>
  <c r="Q221" i="103"/>
  <c r="Q220" i="103"/>
  <c r="E369" i="93"/>
  <c r="Q219" i="103"/>
  <c r="Q218" i="103"/>
  <c r="Q217" i="103"/>
  <c r="Q216" i="103"/>
  <c r="Q215" i="103"/>
  <c r="Q214" i="103"/>
  <c r="Q213" i="103"/>
  <c r="Q212" i="103"/>
  <c r="Q211" i="103"/>
  <c r="Q210" i="103"/>
  <c r="Q209" i="103"/>
  <c r="Q208" i="103"/>
  <c r="Q207" i="103"/>
  <c r="Q206" i="103"/>
  <c r="Q202" i="103"/>
  <c r="Q201" i="103"/>
  <c r="E347" i="93" s="1"/>
  <c r="Q200" i="103"/>
  <c r="Q199" i="103"/>
  <c r="E345" i="93" s="1"/>
  <c r="Q198" i="103"/>
  <c r="E344" i="93" s="1"/>
  <c r="Q197" i="103"/>
  <c r="E343" i="93"/>
  <c r="Q196" i="103"/>
  <c r="Q195" i="103"/>
  <c r="Q194" i="103"/>
  <c r="Q193" i="103"/>
  <c r="Q192" i="103"/>
  <c r="Q191" i="103"/>
  <c r="Q190" i="103"/>
  <c r="Q189" i="103"/>
  <c r="Q188" i="103"/>
  <c r="Q187" i="103"/>
  <c r="Q186" i="103"/>
  <c r="Q182" i="103"/>
  <c r="Q181" i="103"/>
  <c r="E308" i="93" s="1"/>
  <c r="Q180" i="103"/>
  <c r="E307" i="93" s="1"/>
  <c r="Q179" i="103"/>
  <c r="E306" i="93" s="1"/>
  <c r="Q178" i="103"/>
  <c r="E305" i="93" s="1"/>
  <c r="Q177" i="103"/>
  <c r="Q176" i="103"/>
  <c r="E303" i="93" s="1"/>
  <c r="Q175" i="103"/>
  <c r="Q174" i="103"/>
  <c r="Q173" i="103"/>
  <c r="Q172" i="103"/>
  <c r="Q171" i="103"/>
  <c r="Q170" i="103"/>
  <c r="Q169" i="103"/>
  <c r="Q168" i="103"/>
  <c r="Q167" i="103"/>
  <c r="Q166" i="103"/>
  <c r="Q165" i="103"/>
  <c r="Q163" i="103"/>
  <c r="P162" i="103"/>
  <c r="O162" i="103"/>
  <c r="N162" i="103"/>
  <c r="M162" i="103"/>
  <c r="L162" i="103"/>
  <c r="K162" i="103"/>
  <c r="J162" i="103"/>
  <c r="I162" i="103"/>
  <c r="H162" i="103"/>
  <c r="G162" i="103"/>
  <c r="F162" i="103"/>
  <c r="E162" i="103"/>
  <c r="Q161" i="103"/>
  <c r="Q160" i="103"/>
  <c r="Q159" i="103"/>
  <c r="Q158" i="103"/>
  <c r="Q157" i="103"/>
  <c r="E239" i="93" s="1"/>
  <c r="Q156" i="103"/>
  <c r="E238" i="93" s="1"/>
  <c r="Q155" i="103"/>
  <c r="Q154" i="103"/>
  <c r="E236" i="93" s="1"/>
  <c r="Q153" i="103"/>
  <c r="Q152" i="103"/>
  <c r="Q151" i="103"/>
  <c r="Q150" i="103"/>
  <c r="Q149" i="103"/>
  <c r="Q148" i="103"/>
  <c r="Q147" i="103"/>
  <c r="Q146" i="103"/>
  <c r="Q145" i="103"/>
  <c r="Q144" i="103"/>
  <c r="Q143" i="103"/>
  <c r="Q142" i="103"/>
  <c r="Q141" i="103"/>
  <c r="E210" i="93" s="1"/>
  <c r="Q140" i="103"/>
  <c r="E209" i="93" s="1"/>
  <c r="Q139" i="103"/>
  <c r="Q138" i="103"/>
  <c r="Q137" i="103"/>
  <c r="Q136" i="103"/>
  <c r="Q135" i="103"/>
  <c r="Q134" i="103"/>
  <c r="E203" i="93"/>
  <c r="Q133" i="103"/>
  <c r="Q132" i="103"/>
  <c r="Q131" i="103"/>
  <c r="Q130" i="103"/>
  <c r="Q129" i="103"/>
  <c r="Q128" i="103"/>
  <c r="Q127" i="103"/>
  <c r="Q126" i="103"/>
  <c r="Q125" i="103"/>
  <c r="Q124" i="103"/>
  <c r="Q123" i="103"/>
  <c r="P122" i="103"/>
  <c r="O122" i="103"/>
  <c r="N122" i="103"/>
  <c r="M122" i="103"/>
  <c r="L122" i="103"/>
  <c r="K122" i="103"/>
  <c r="J122" i="103"/>
  <c r="I122" i="103"/>
  <c r="H122" i="103"/>
  <c r="G122" i="103"/>
  <c r="F122" i="103"/>
  <c r="E122" i="103"/>
  <c r="Q121" i="103"/>
  <c r="Q120" i="103"/>
  <c r="Q119" i="103"/>
  <c r="Q118" i="103"/>
  <c r="Q117" i="103"/>
  <c r="E177" i="93"/>
  <c r="Q116" i="103"/>
  <c r="Q115" i="103"/>
  <c r="E175" i="93"/>
  <c r="Q114" i="103"/>
  <c r="Q113" i="103"/>
  <c r="Q112" i="103"/>
  <c r="Q111" i="103"/>
  <c r="Q110" i="103"/>
  <c r="Q109" i="103"/>
  <c r="Q108" i="103"/>
  <c r="Q107" i="103"/>
  <c r="Q106" i="103"/>
  <c r="Q105" i="103"/>
  <c r="Q104" i="103"/>
  <c r="Q103" i="103"/>
  <c r="Q102" i="103"/>
  <c r="Q101" i="103"/>
  <c r="Q100" i="103"/>
  <c r="Q99" i="103"/>
  <c r="Q98" i="103"/>
  <c r="Q97" i="103"/>
  <c r="E142" i="93" s="1"/>
  <c r="Q96" i="103"/>
  <c r="E141" i="93"/>
  <c r="Q95" i="103"/>
  <c r="E140" i="93" s="1"/>
  <c r="Q94" i="103"/>
  <c r="Q93" i="103"/>
  <c r="Q92" i="103"/>
  <c r="Q91" i="103"/>
  <c r="Q90" i="103"/>
  <c r="Q89" i="103"/>
  <c r="Q88" i="103"/>
  <c r="Q87" i="103"/>
  <c r="Q86" i="103"/>
  <c r="Q84" i="103"/>
  <c r="Q83" i="103"/>
  <c r="Q82" i="103"/>
  <c r="Q81" i="103"/>
  <c r="Q80" i="103"/>
  <c r="Q79" i="103"/>
  <c r="Q78" i="103"/>
  <c r="E109" i="93"/>
  <c r="Q77" i="103"/>
  <c r="Q76" i="103"/>
  <c r="Q75" i="103"/>
  <c r="Q74" i="103"/>
  <c r="Q73" i="103"/>
  <c r="Q72" i="103"/>
  <c r="Q71" i="103"/>
  <c r="Q70" i="103"/>
  <c r="Q69" i="103"/>
  <c r="Q68" i="103"/>
  <c r="Q67" i="103"/>
  <c r="Q66" i="103"/>
  <c r="P62" i="103"/>
  <c r="O62" i="103"/>
  <c r="N62" i="103"/>
  <c r="Q61" i="103"/>
  <c r="E276" i="93" s="1"/>
  <c r="Q60" i="103"/>
  <c r="Q59" i="103"/>
  <c r="E274" i="93" s="1"/>
  <c r="Q58" i="103"/>
  <c r="Q57" i="103"/>
  <c r="E272" i="93" s="1"/>
  <c r="Q56" i="103"/>
  <c r="Q55" i="103"/>
  <c r="E270" i="93"/>
  <c r="Q54" i="103"/>
  <c r="Q53" i="103"/>
  <c r="Q52" i="103"/>
  <c r="P51" i="103"/>
  <c r="O51" i="103"/>
  <c r="N51" i="103"/>
  <c r="Q50" i="103"/>
  <c r="Q49" i="103"/>
  <c r="Q48" i="103"/>
  <c r="Q47" i="103"/>
  <c r="Q46" i="103"/>
  <c r="P43" i="103"/>
  <c r="P44" i="103" s="1"/>
  <c r="O43" i="103"/>
  <c r="O44" i="103" s="1"/>
  <c r="N43" i="103"/>
  <c r="N44" i="103" s="1"/>
  <c r="M43" i="103"/>
  <c r="M44" i="103"/>
  <c r="L43" i="103"/>
  <c r="L44" i="103" s="1"/>
  <c r="K43" i="103"/>
  <c r="K44" i="103" s="1"/>
  <c r="J43" i="103"/>
  <c r="J44" i="103" s="1"/>
  <c r="I43" i="103"/>
  <c r="I44" i="103"/>
  <c r="H43" i="103"/>
  <c r="H44" i="103" s="1"/>
  <c r="G43" i="103"/>
  <c r="G44" i="103" s="1"/>
  <c r="F43" i="103"/>
  <c r="F44" i="103" s="1"/>
  <c r="E43" i="103"/>
  <c r="E44" i="103"/>
  <c r="Q42" i="103"/>
  <c r="Q41" i="103"/>
  <c r="Q40" i="103"/>
  <c r="Q39" i="103"/>
  <c r="E73" i="93"/>
  <c r="Q38" i="103"/>
  <c r="E72" i="93" s="1"/>
  <c r="Q37" i="103"/>
  <c r="E71" i="93" s="1"/>
  <c r="Q36" i="103"/>
  <c r="Q35" i="103"/>
  <c r="E69" i="93" s="1"/>
  <c r="Q34" i="103"/>
  <c r="Q33" i="103"/>
  <c r="Q32" i="103"/>
  <c r="Q31" i="103"/>
  <c r="Q30" i="103"/>
  <c r="Q29" i="103"/>
  <c r="Q28" i="103"/>
  <c r="Q27" i="103"/>
  <c r="Q26" i="103"/>
  <c r="Q24" i="103"/>
  <c r="Q23" i="103"/>
  <c r="P22" i="103"/>
  <c r="O22" i="103"/>
  <c r="N22" i="103"/>
  <c r="M22" i="103"/>
  <c r="L22" i="103"/>
  <c r="K22" i="103"/>
  <c r="J22" i="103"/>
  <c r="I22" i="103"/>
  <c r="H22" i="103"/>
  <c r="G22" i="103"/>
  <c r="F22" i="103"/>
  <c r="E22" i="103"/>
  <c r="Q21" i="103"/>
  <c r="Q20" i="103"/>
  <c r="Q19" i="103"/>
  <c r="Q18" i="103"/>
  <c r="Q17" i="103"/>
  <c r="E34" i="93"/>
  <c r="Q16" i="103"/>
  <c r="E33" i="93"/>
  <c r="Q15" i="103"/>
  <c r="E32" i="93" s="1"/>
  <c r="Q14" i="103"/>
  <c r="T14" i="103" s="1"/>
  <c r="Q13" i="103"/>
  <c r="Q12" i="103"/>
  <c r="Q11" i="103"/>
  <c r="Q10" i="103"/>
  <c r="Q9" i="103"/>
  <c r="Q8" i="103"/>
  <c r="Q7" i="103"/>
  <c r="Q6" i="103"/>
  <c r="AC425" i="102"/>
  <c r="AA425" i="102"/>
  <c r="Y425" i="102"/>
  <c r="W425" i="102"/>
  <c r="U425" i="102"/>
  <c r="S425" i="102"/>
  <c r="Q425" i="102"/>
  <c r="O425" i="102"/>
  <c r="M425" i="102"/>
  <c r="K425" i="102"/>
  <c r="I425" i="102"/>
  <c r="G425" i="102"/>
  <c r="AD424" i="102"/>
  <c r="AD423" i="102"/>
  <c r="AC422" i="102"/>
  <c r="AA422" i="102"/>
  <c r="Y422" i="102"/>
  <c r="W422" i="102"/>
  <c r="U422" i="102"/>
  <c r="S422" i="102"/>
  <c r="Q422" i="102"/>
  <c r="O422" i="102"/>
  <c r="M422" i="102"/>
  <c r="K422" i="102"/>
  <c r="I422" i="102"/>
  <c r="G422" i="102"/>
  <c r="AD421" i="102"/>
  <c r="AD420" i="102"/>
  <c r="AD419" i="102"/>
  <c r="E577" i="93" s="1"/>
  <c r="C577" i="93" s="1"/>
  <c r="K577" i="93" s="1"/>
  <c r="AD418" i="102"/>
  <c r="E576" i="93" s="1"/>
  <c r="C576" i="93"/>
  <c r="K576" i="93" s="1"/>
  <c r="AD417" i="102"/>
  <c r="E575" i="93"/>
  <c r="C575" i="93" s="1"/>
  <c r="K575" i="93" s="1"/>
  <c r="M575" i="93" s="1"/>
  <c r="AD416" i="102"/>
  <c r="AD415" i="102"/>
  <c r="AC412" i="102"/>
  <c r="AA412" i="102"/>
  <c r="Y412" i="102"/>
  <c r="W412" i="102"/>
  <c r="U412" i="102"/>
  <c r="S412" i="102"/>
  <c r="Q412" i="102"/>
  <c r="O412" i="102"/>
  <c r="M412" i="102"/>
  <c r="K412" i="102"/>
  <c r="I412" i="102"/>
  <c r="G412" i="102"/>
  <c r="AD411" i="102"/>
  <c r="AD410" i="102"/>
  <c r="AC409" i="102"/>
  <c r="AA409" i="102"/>
  <c r="Y409" i="102"/>
  <c r="W409" i="102"/>
  <c r="U409" i="102"/>
  <c r="S409" i="102"/>
  <c r="Q409" i="102"/>
  <c r="O409" i="102"/>
  <c r="M409" i="102"/>
  <c r="K409" i="102"/>
  <c r="I409" i="102"/>
  <c r="G409" i="102"/>
  <c r="AD408" i="102"/>
  <c r="AD407" i="102"/>
  <c r="E566" i="93" s="1"/>
  <c r="AD406" i="102"/>
  <c r="E565" i="93" s="1"/>
  <c r="AD405" i="102"/>
  <c r="E563" i="93"/>
  <c r="AD404" i="102"/>
  <c r="AD403" i="102"/>
  <c r="AD402" i="102"/>
  <c r="AD401" i="102"/>
  <c r="AD400" i="102"/>
  <c r="E554" i="93" s="1"/>
  <c r="AD399" i="102"/>
  <c r="E553" i="93"/>
  <c r="C553" i="93" s="1"/>
  <c r="K553" i="93" s="1"/>
  <c r="AC396" i="102"/>
  <c r="AB396" i="102"/>
  <c r="AA396" i="102"/>
  <c r="Z396" i="102"/>
  <c r="Y396" i="102"/>
  <c r="X396" i="102"/>
  <c r="W396" i="102"/>
  <c r="V396" i="102"/>
  <c r="U396" i="102"/>
  <c r="S396" i="102"/>
  <c r="Q396" i="102"/>
  <c r="O396" i="102"/>
  <c r="M396" i="102"/>
  <c r="K396" i="102"/>
  <c r="I396" i="102"/>
  <c r="G396" i="102"/>
  <c r="AD395" i="102"/>
  <c r="AD394" i="102"/>
  <c r="AC393" i="102"/>
  <c r="AA393" i="102"/>
  <c r="Y393" i="102"/>
  <c r="W393" i="102"/>
  <c r="U393" i="102"/>
  <c r="S393" i="102"/>
  <c r="Q393" i="102"/>
  <c r="O393" i="102"/>
  <c r="M393" i="102"/>
  <c r="K393" i="102"/>
  <c r="I393" i="102"/>
  <c r="G393" i="102"/>
  <c r="AD392" i="102"/>
  <c r="E545" i="93"/>
  <c r="AD391" i="102"/>
  <c r="E544" i="93" s="1"/>
  <c r="E548" i="93" s="1"/>
  <c r="E550" i="93" s="1"/>
  <c r="C550" i="93" s="1"/>
  <c r="AD390" i="102"/>
  <c r="AD389" i="102"/>
  <c r="E538" i="93" s="1"/>
  <c r="C538" i="93"/>
  <c r="K538" i="93" s="1"/>
  <c r="AD388" i="102"/>
  <c r="AD387" i="102"/>
  <c r="E536" i="93" s="1"/>
  <c r="AD386" i="102"/>
  <c r="AD385" i="102"/>
  <c r="AC382" i="102"/>
  <c r="AA382" i="102"/>
  <c r="Y382" i="102"/>
  <c r="W382" i="102"/>
  <c r="U382" i="102"/>
  <c r="S382" i="102"/>
  <c r="Q382" i="102"/>
  <c r="O382" i="102"/>
  <c r="M382" i="102"/>
  <c r="K382" i="102"/>
  <c r="I382" i="102"/>
  <c r="G382" i="102"/>
  <c r="AD381" i="102"/>
  <c r="AD380" i="102"/>
  <c r="AC379" i="102"/>
  <c r="AA379" i="102"/>
  <c r="Y379" i="102"/>
  <c r="W379" i="102"/>
  <c r="U379" i="102"/>
  <c r="S379" i="102"/>
  <c r="Q379" i="102"/>
  <c r="O379" i="102"/>
  <c r="M379" i="102"/>
  <c r="K379" i="102"/>
  <c r="I379" i="102"/>
  <c r="G379" i="102"/>
  <c r="AD378" i="102"/>
  <c r="E526" i="93"/>
  <c r="AD377" i="102"/>
  <c r="E525" i="93" s="1"/>
  <c r="AD376" i="102"/>
  <c r="AD375" i="102"/>
  <c r="AD374" i="102"/>
  <c r="AD373" i="102"/>
  <c r="E521" i="93" s="1"/>
  <c r="AD372" i="102"/>
  <c r="AD371" i="102"/>
  <c r="AD370" i="102"/>
  <c r="E518" i="93" s="1"/>
  <c r="AD369" i="102"/>
  <c r="E517" i="93" s="1"/>
  <c r="AD368" i="102"/>
  <c r="AD367" i="102"/>
  <c r="E515" i="93" s="1"/>
  <c r="AD366" i="102"/>
  <c r="AD365" i="102"/>
  <c r="AD364" i="102"/>
  <c r="E512" i="93"/>
  <c r="AD363" i="102"/>
  <c r="E508" i="93" s="1"/>
  <c r="C508" i="93" s="1"/>
  <c r="AB363" i="102"/>
  <c r="Z77" i="104"/>
  <c r="Z363" i="102"/>
  <c r="X77" i="104" s="1"/>
  <c r="X363" i="102"/>
  <c r="V77" i="104"/>
  <c r="V363" i="102"/>
  <c r="T77" i="104"/>
  <c r="T363" i="102"/>
  <c r="R77" i="104"/>
  <c r="R363" i="102"/>
  <c r="P77" i="104" s="1"/>
  <c r="P363" i="102"/>
  <c r="N77" i="104" s="1"/>
  <c r="N363" i="102"/>
  <c r="L77" i="104"/>
  <c r="L363" i="102"/>
  <c r="J77" i="104"/>
  <c r="J363" i="102"/>
  <c r="H77" i="104" s="1"/>
  <c r="H363" i="102"/>
  <c r="F77" i="104"/>
  <c r="F363" i="102"/>
  <c r="D77" i="104"/>
  <c r="AD362" i="102"/>
  <c r="AB362" i="102"/>
  <c r="Z76" i="104"/>
  <c r="Z362" i="102"/>
  <c r="X76" i="104"/>
  <c r="X362" i="102"/>
  <c r="V76" i="104" s="1"/>
  <c r="V362" i="102"/>
  <c r="T76" i="104" s="1"/>
  <c r="T362" i="102"/>
  <c r="R76" i="104"/>
  <c r="R362" i="102"/>
  <c r="P76" i="104"/>
  <c r="P362" i="102"/>
  <c r="N76" i="104" s="1"/>
  <c r="N362" i="102"/>
  <c r="L76" i="104" s="1"/>
  <c r="L362" i="102"/>
  <c r="J76" i="104"/>
  <c r="J362" i="102"/>
  <c r="H76" i="104"/>
  <c r="H362" i="102"/>
  <c r="F76" i="104" s="1"/>
  <c r="F362" i="102"/>
  <c r="D76" i="104" s="1"/>
  <c r="AD361" i="102"/>
  <c r="AB361" i="102"/>
  <c r="Z75" i="104" s="1"/>
  <c r="Z361" i="102"/>
  <c r="X75" i="104" s="1"/>
  <c r="X361" i="102"/>
  <c r="V75" i="104"/>
  <c r="V361" i="102"/>
  <c r="T75" i="104"/>
  <c r="T361" i="102"/>
  <c r="R75" i="104" s="1"/>
  <c r="R361" i="102"/>
  <c r="P75" i="104"/>
  <c r="P361" i="102"/>
  <c r="N75" i="104"/>
  <c r="N361" i="102"/>
  <c r="L75" i="104"/>
  <c r="L361" i="102"/>
  <c r="J75" i="104" s="1"/>
  <c r="J361" i="102"/>
  <c r="H75" i="104" s="1"/>
  <c r="H361" i="102"/>
  <c r="F75" i="104"/>
  <c r="F361" i="102"/>
  <c r="D75" i="104"/>
  <c r="AD360" i="102"/>
  <c r="E505" i="93" s="1"/>
  <c r="C505" i="93" s="1"/>
  <c r="AB360" i="102"/>
  <c r="Z74" i="104" s="1"/>
  <c r="Z360" i="102"/>
  <c r="X74" i="104" s="1"/>
  <c r="X78" i="104" s="1"/>
  <c r="X360" i="102"/>
  <c r="V74" i="104" s="1"/>
  <c r="V360" i="102"/>
  <c r="T74" i="104"/>
  <c r="T360" i="102"/>
  <c r="R74" i="104"/>
  <c r="R360" i="102"/>
  <c r="P74" i="104"/>
  <c r="P360" i="102"/>
  <c r="N74" i="104" s="1"/>
  <c r="N360" i="102"/>
  <c r="L74" i="104" s="1"/>
  <c r="L360" i="102"/>
  <c r="J74" i="104"/>
  <c r="J360" i="102"/>
  <c r="H74" i="104"/>
  <c r="H78" i="104" s="1"/>
  <c r="H360" i="102"/>
  <c r="F74" i="104"/>
  <c r="F360" i="102"/>
  <c r="D74" i="104" s="1"/>
  <c r="AD359" i="102"/>
  <c r="E504" i="93" s="1"/>
  <c r="C504" i="93" s="1"/>
  <c r="AB359" i="102"/>
  <c r="Z359" i="102"/>
  <c r="X359" i="102"/>
  <c r="V359" i="102"/>
  <c r="T359" i="102"/>
  <c r="R359" i="102"/>
  <c r="P359" i="102"/>
  <c r="N359" i="102"/>
  <c r="L359" i="102"/>
  <c r="J359" i="102"/>
  <c r="H359" i="102"/>
  <c r="F359" i="102"/>
  <c r="AD358" i="102"/>
  <c r="E503" i="93"/>
  <c r="C503" i="93" s="1"/>
  <c r="AB358" i="102"/>
  <c r="Z358" i="102"/>
  <c r="X358" i="102"/>
  <c r="V358" i="102"/>
  <c r="T358" i="102"/>
  <c r="R358" i="102"/>
  <c r="P358" i="102"/>
  <c r="N358" i="102"/>
  <c r="L358" i="102"/>
  <c r="J358" i="102"/>
  <c r="H358" i="102"/>
  <c r="F358" i="102"/>
  <c r="AC355" i="102"/>
  <c r="AA355" i="102"/>
  <c r="Y355" i="102"/>
  <c r="W355" i="102"/>
  <c r="U355" i="102"/>
  <c r="S355" i="102"/>
  <c r="Q355" i="102"/>
  <c r="O355" i="102"/>
  <c r="M355" i="102"/>
  <c r="K355" i="102"/>
  <c r="I355" i="102"/>
  <c r="G355" i="102"/>
  <c r="AD354" i="102"/>
  <c r="AD353" i="102"/>
  <c r="AC352" i="102"/>
  <c r="AA352" i="102"/>
  <c r="Y352" i="102"/>
  <c r="W352" i="102"/>
  <c r="U352" i="102"/>
  <c r="S352" i="102"/>
  <c r="Q352" i="102"/>
  <c r="O352" i="102"/>
  <c r="M352" i="102"/>
  <c r="K352" i="102"/>
  <c r="I352" i="102"/>
  <c r="G352" i="102"/>
  <c r="AD351" i="102"/>
  <c r="E493" i="93"/>
  <c r="AD350" i="102"/>
  <c r="E492" i="93"/>
  <c r="AD349" i="102"/>
  <c r="E491" i="93" s="1"/>
  <c r="AD348" i="102"/>
  <c r="AD347" i="102"/>
  <c r="E489" i="93" s="1"/>
  <c r="AD346" i="102"/>
  <c r="AD345" i="102"/>
  <c r="AB345" i="102"/>
  <c r="Z67" i="104"/>
  <c r="Z345" i="102"/>
  <c r="X67" i="104"/>
  <c r="X345" i="102"/>
  <c r="V67" i="104" s="1"/>
  <c r="V345" i="102"/>
  <c r="T67" i="104" s="1"/>
  <c r="T345" i="102"/>
  <c r="R67" i="104"/>
  <c r="R345" i="102"/>
  <c r="P67" i="104"/>
  <c r="P345" i="102"/>
  <c r="N67" i="104" s="1"/>
  <c r="N345" i="102"/>
  <c r="L67" i="104" s="1"/>
  <c r="L345" i="102"/>
  <c r="J67" i="104"/>
  <c r="J345" i="102"/>
  <c r="H67" i="104"/>
  <c r="H345" i="102"/>
  <c r="F67" i="104" s="1"/>
  <c r="F71" i="104" s="1"/>
  <c r="F345" i="102"/>
  <c r="D67" i="104" s="1"/>
  <c r="AD344" i="102"/>
  <c r="AB344" i="102"/>
  <c r="Z66" i="104" s="1"/>
  <c r="Z344" i="102"/>
  <c r="X66" i="104" s="1"/>
  <c r="X70" i="104" s="1"/>
  <c r="X344" i="102"/>
  <c r="V66" i="104"/>
  <c r="V344" i="102"/>
  <c r="T66" i="104"/>
  <c r="T344" i="102"/>
  <c r="R66" i="104" s="1"/>
  <c r="R344" i="102"/>
  <c r="P66" i="104" s="1"/>
  <c r="P70" i="104" s="1"/>
  <c r="P344" i="102"/>
  <c r="N66" i="104"/>
  <c r="N344" i="102"/>
  <c r="L66" i="104"/>
  <c r="L344" i="102"/>
  <c r="J66" i="104" s="1"/>
  <c r="J344" i="102"/>
  <c r="H66" i="104"/>
  <c r="H344" i="102"/>
  <c r="F66" i="104"/>
  <c r="F344" i="102"/>
  <c r="D66" i="104"/>
  <c r="AD343" i="102"/>
  <c r="E482" i="93" s="1"/>
  <c r="C482" i="93" s="1"/>
  <c r="AB343" i="102"/>
  <c r="Z65" i="104" s="1"/>
  <c r="Z69" i="104"/>
  <c r="Z343" i="102"/>
  <c r="X65" i="104"/>
  <c r="X343" i="102"/>
  <c r="V65" i="104" s="1"/>
  <c r="V343" i="102"/>
  <c r="T65" i="104"/>
  <c r="T343" i="102"/>
  <c r="R65" i="104"/>
  <c r="R343" i="102"/>
  <c r="P65" i="104"/>
  <c r="P343" i="102"/>
  <c r="N65" i="104" s="1"/>
  <c r="N343" i="102"/>
  <c r="L65" i="104" s="1"/>
  <c r="L69" i="104" s="1"/>
  <c r="L343" i="102"/>
  <c r="J65" i="104"/>
  <c r="J69" i="104" s="1"/>
  <c r="J343" i="102"/>
  <c r="H65" i="104"/>
  <c r="H343" i="102"/>
  <c r="F65" i="104"/>
  <c r="F343" i="102"/>
  <c r="D65" i="104" s="1"/>
  <c r="AD342" i="102"/>
  <c r="AB342" i="102"/>
  <c r="Z64" i="104"/>
  <c r="Z342" i="102"/>
  <c r="X64" i="104" s="1"/>
  <c r="X342" i="102"/>
  <c r="V64" i="104" s="1"/>
  <c r="V342" i="102"/>
  <c r="T64" i="104"/>
  <c r="T342" i="102"/>
  <c r="R64" i="104"/>
  <c r="R342" i="102"/>
  <c r="P64" i="104"/>
  <c r="P342" i="102"/>
  <c r="N64" i="104" s="1"/>
  <c r="N342" i="102"/>
  <c r="L64" i="104" s="1"/>
  <c r="L342" i="102"/>
  <c r="J64" i="104"/>
  <c r="J342" i="102"/>
  <c r="H64" i="104"/>
  <c r="H68" i="104" s="1"/>
  <c r="H342" i="102"/>
  <c r="F64" i="104" s="1"/>
  <c r="F342" i="102"/>
  <c r="D64" i="104" s="1"/>
  <c r="AD341" i="102"/>
  <c r="E480" i="93" s="1"/>
  <c r="C480" i="93" s="1"/>
  <c r="AB341" i="102"/>
  <c r="Z341" i="102"/>
  <c r="X341" i="102"/>
  <c r="V341" i="102"/>
  <c r="T341" i="102"/>
  <c r="R341" i="102"/>
  <c r="P341" i="102"/>
  <c r="N341" i="102"/>
  <c r="L341" i="102"/>
  <c r="J341" i="102"/>
  <c r="H341" i="102"/>
  <c r="F341" i="102"/>
  <c r="AD340" i="102"/>
  <c r="AB340" i="102"/>
  <c r="Z340" i="102"/>
  <c r="X340" i="102"/>
  <c r="V340" i="102"/>
  <c r="T340" i="102"/>
  <c r="R340" i="102"/>
  <c r="P340" i="102"/>
  <c r="N340" i="102"/>
  <c r="L340" i="102"/>
  <c r="J340" i="102"/>
  <c r="H340" i="102"/>
  <c r="F340" i="102"/>
  <c r="AD339" i="102"/>
  <c r="E478" i="93"/>
  <c r="C478" i="93" s="1"/>
  <c r="G478" i="93" s="1"/>
  <c r="AB339" i="102"/>
  <c r="Z339" i="102"/>
  <c r="X339" i="102"/>
  <c r="V339" i="102"/>
  <c r="T339" i="102"/>
  <c r="R339" i="102"/>
  <c r="P339" i="102"/>
  <c r="N339" i="102"/>
  <c r="L339" i="102"/>
  <c r="J339" i="102"/>
  <c r="H339" i="102"/>
  <c r="F339" i="102"/>
  <c r="AC336" i="102"/>
  <c r="AA336" i="102"/>
  <c r="Y336" i="102"/>
  <c r="W336" i="102"/>
  <c r="U336" i="102"/>
  <c r="S336" i="102"/>
  <c r="Q336" i="102"/>
  <c r="O336" i="102"/>
  <c r="M336" i="102"/>
  <c r="K336" i="102"/>
  <c r="I336" i="102"/>
  <c r="G336" i="102"/>
  <c r="AD335" i="102"/>
  <c r="AD334" i="102"/>
  <c r="AC333" i="102"/>
  <c r="AA333" i="102"/>
  <c r="Y333" i="102"/>
  <c r="W333" i="102"/>
  <c r="U333" i="102"/>
  <c r="S333" i="102"/>
  <c r="Q333" i="102"/>
  <c r="O333" i="102"/>
  <c r="M333" i="102"/>
  <c r="K333" i="102"/>
  <c r="I333" i="102"/>
  <c r="G333" i="102"/>
  <c r="AD332" i="102"/>
  <c r="AD331" i="102"/>
  <c r="E466" i="93"/>
  <c r="AD330" i="102"/>
  <c r="AD329" i="102"/>
  <c r="AD328" i="102"/>
  <c r="AD327" i="102"/>
  <c r="E462" i="93"/>
  <c r="AD326" i="102"/>
  <c r="E461" i="93"/>
  <c r="AD325" i="102"/>
  <c r="AB325" i="102"/>
  <c r="Z57" i="104"/>
  <c r="Z325" i="102"/>
  <c r="X57" i="104" s="1"/>
  <c r="X325" i="102"/>
  <c r="V57" i="104" s="1"/>
  <c r="V325" i="102"/>
  <c r="T57" i="104"/>
  <c r="T325" i="102"/>
  <c r="R57" i="104"/>
  <c r="R325" i="102"/>
  <c r="P57" i="104" s="1"/>
  <c r="P325" i="102"/>
  <c r="N57" i="104" s="1"/>
  <c r="N325" i="102"/>
  <c r="L57" i="104"/>
  <c r="L325" i="102"/>
  <c r="J57" i="104"/>
  <c r="J325" i="102"/>
  <c r="H57" i="104" s="1"/>
  <c r="H325" i="102"/>
  <c r="F57" i="104" s="1"/>
  <c r="F61" i="104" s="1"/>
  <c r="F325" i="102"/>
  <c r="D57" i="104"/>
  <c r="AD324" i="102"/>
  <c r="E456" i="93"/>
  <c r="C456" i="93" s="1"/>
  <c r="G456" i="93" s="1"/>
  <c r="AB324" i="102"/>
  <c r="Z56" i="104" s="1"/>
  <c r="Z324" i="102"/>
  <c r="X56" i="104"/>
  <c r="X324" i="102"/>
  <c r="V56" i="104"/>
  <c r="V324" i="102"/>
  <c r="T56" i="104" s="1"/>
  <c r="T324" i="102"/>
  <c r="R56" i="104" s="1"/>
  <c r="R324" i="102"/>
  <c r="P56" i="104"/>
  <c r="P324" i="102"/>
  <c r="N56" i="104"/>
  <c r="N324" i="102"/>
  <c r="L56" i="104" s="1"/>
  <c r="L324" i="102"/>
  <c r="J56" i="104" s="1"/>
  <c r="J324" i="102"/>
  <c r="H56" i="104"/>
  <c r="H324" i="102"/>
  <c r="F56" i="104"/>
  <c r="F324" i="102"/>
  <c r="D56" i="104" s="1"/>
  <c r="AD323" i="102"/>
  <c r="E455" i="93" s="1"/>
  <c r="C455" i="93" s="1"/>
  <c r="G455" i="93" s="1"/>
  <c r="I455" i="93" s="1"/>
  <c r="AB323" i="102"/>
  <c r="Z55" i="104"/>
  <c r="Z323" i="102"/>
  <c r="X55" i="104" s="1"/>
  <c r="X323" i="102"/>
  <c r="V55" i="104" s="1"/>
  <c r="V323" i="102"/>
  <c r="T55" i="104"/>
  <c r="T323" i="102"/>
  <c r="R55" i="104"/>
  <c r="R323" i="102"/>
  <c r="P55" i="104" s="1"/>
  <c r="P323" i="102"/>
  <c r="N55" i="104" s="1"/>
  <c r="N323" i="102"/>
  <c r="L55" i="104"/>
  <c r="L323" i="102"/>
  <c r="J55" i="104"/>
  <c r="J323" i="102"/>
  <c r="H55" i="104" s="1"/>
  <c r="H323" i="102"/>
  <c r="F55" i="104" s="1"/>
  <c r="F59" i="104" s="1"/>
  <c r="F323" i="102"/>
  <c r="D55" i="104"/>
  <c r="AD322" i="102"/>
  <c r="E454" i="93"/>
  <c r="C454" i="93" s="1"/>
  <c r="AB322" i="102"/>
  <c r="Z54" i="104"/>
  <c r="Z322" i="102"/>
  <c r="X54" i="104"/>
  <c r="X322" i="102"/>
  <c r="V54" i="104" s="1"/>
  <c r="V322" i="102"/>
  <c r="T54" i="104" s="1"/>
  <c r="T322" i="102"/>
  <c r="R54" i="104"/>
  <c r="R322" i="102"/>
  <c r="P54" i="104"/>
  <c r="P322" i="102"/>
  <c r="N54" i="104" s="1"/>
  <c r="N322" i="102"/>
  <c r="L54" i="104"/>
  <c r="L58" i="104" s="1"/>
  <c r="L322" i="102"/>
  <c r="J54" i="104" s="1"/>
  <c r="J322" i="102"/>
  <c r="H54" i="104"/>
  <c r="H322" i="102"/>
  <c r="F54" i="104"/>
  <c r="F322" i="102"/>
  <c r="D54" i="104" s="1"/>
  <c r="AD321" i="102"/>
  <c r="AB321" i="102"/>
  <c r="Z321" i="102"/>
  <c r="X321" i="102"/>
  <c r="V321" i="102"/>
  <c r="T321" i="102"/>
  <c r="R321" i="102"/>
  <c r="P321" i="102"/>
  <c r="N321" i="102"/>
  <c r="L321" i="102"/>
  <c r="J321" i="102"/>
  <c r="H321" i="102"/>
  <c r="F321" i="102"/>
  <c r="AD320" i="102"/>
  <c r="AB320" i="102"/>
  <c r="Z320" i="102"/>
  <c r="X320" i="102"/>
  <c r="V320" i="102"/>
  <c r="T320" i="102"/>
  <c r="R320" i="102"/>
  <c r="P320" i="102"/>
  <c r="N320" i="102"/>
  <c r="L320" i="102"/>
  <c r="J320" i="102"/>
  <c r="H320" i="102"/>
  <c r="F320" i="102"/>
  <c r="AD319" i="102"/>
  <c r="E451" i="93"/>
  <c r="C451" i="93" s="1"/>
  <c r="AB319" i="102"/>
  <c r="Z319" i="102"/>
  <c r="X319" i="102"/>
  <c r="V319" i="102"/>
  <c r="T319" i="102"/>
  <c r="R319" i="102"/>
  <c r="P319" i="102"/>
  <c r="N319" i="102"/>
  <c r="L319" i="102"/>
  <c r="J319" i="102"/>
  <c r="H319" i="102"/>
  <c r="F319" i="102"/>
  <c r="AC316" i="102"/>
  <c r="AA316" i="102"/>
  <c r="Y316" i="102"/>
  <c r="W316" i="102"/>
  <c r="U316" i="102"/>
  <c r="S316" i="102"/>
  <c r="Q316" i="102"/>
  <c r="O316" i="102"/>
  <c r="M316" i="102"/>
  <c r="K316" i="102"/>
  <c r="I316" i="102"/>
  <c r="G316" i="102"/>
  <c r="AD315" i="102"/>
  <c r="AD314" i="102"/>
  <c r="AC313" i="102"/>
  <c r="AA313" i="102"/>
  <c r="Y313" i="102"/>
  <c r="W313" i="102"/>
  <c r="U313" i="102"/>
  <c r="S313" i="102"/>
  <c r="Q313" i="102"/>
  <c r="O313" i="102"/>
  <c r="M313" i="102"/>
  <c r="K313" i="102"/>
  <c r="I313" i="102"/>
  <c r="G313" i="102"/>
  <c r="AD312" i="102"/>
  <c r="AD311" i="102"/>
  <c r="E442" i="93"/>
  <c r="AD310" i="102"/>
  <c r="AD309" i="102"/>
  <c r="E436" i="93"/>
  <c r="AD308" i="102"/>
  <c r="AD307" i="102"/>
  <c r="E434" i="93"/>
  <c r="C434" i="93" s="1"/>
  <c r="K434" i="93" s="1"/>
  <c r="AD306" i="102"/>
  <c r="AD305" i="102"/>
  <c r="AC302" i="102"/>
  <c r="AA302" i="102"/>
  <c r="Y302" i="102"/>
  <c r="W302" i="102"/>
  <c r="U302" i="102"/>
  <c r="S302" i="102"/>
  <c r="Q302" i="102"/>
  <c r="O302" i="102"/>
  <c r="M302" i="102"/>
  <c r="K302" i="102"/>
  <c r="I302" i="102"/>
  <c r="G302" i="102"/>
  <c r="AD301" i="102"/>
  <c r="AD300" i="102"/>
  <c r="AC299" i="102"/>
  <c r="AA299" i="102"/>
  <c r="Y299" i="102"/>
  <c r="W299" i="102"/>
  <c r="U299" i="102"/>
  <c r="S299" i="102"/>
  <c r="Q299" i="102"/>
  <c r="O299" i="102"/>
  <c r="M299" i="102"/>
  <c r="K299" i="102"/>
  <c r="I299" i="102"/>
  <c r="AD299" i="102" s="1"/>
  <c r="G299" i="102"/>
  <c r="AD298" i="102"/>
  <c r="E423" i="93"/>
  <c r="AD297" i="102"/>
  <c r="AD296" i="102"/>
  <c r="AD295" i="102"/>
  <c r="E417" i="93"/>
  <c r="AD294" i="102"/>
  <c r="AD293" i="102"/>
  <c r="AD292" i="102"/>
  <c r="AD291" i="102"/>
  <c r="E413" i="93"/>
  <c r="AC288" i="102"/>
  <c r="AA288" i="102"/>
  <c r="Y288" i="102"/>
  <c r="W288" i="102"/>
  <c r="U288" i="102"/>
  <c r="S288" i="102"/>
  <c r="Q288" i="102"/>
  <c r="O288" i="102"/>
  <c r="M288" i="102"/>
  <c r="K288" i="102"/>
  <c r="I288" i="102"/>
  <c r="G288" i="102"/>
  <c r="AD287" i="102"/>
  <c r="AD286" i="102"/>
  <c r="AC285" i="102"/>
  <c r="AA285" i="102"/>
  <c r="Y285" i="102"/>
  <c r="W285" i="102"/>
  <c r="U285" i="102"/>
  <c r="S285" i="102"/>
  <c r="Q285" i="102"/>
  <c r="O285" i="102"/>
  <c r="M285" i="102"/>
  <c r="K285" i="102"/>
  <c r="I285" i="102"/>
  <c r="G285" i="102"/>
  <c r="AD284" i="102"/>
  <c r="AD283" i="102"/>
  <c r="E404" i="93"/>
  <c r="AD282" i="102"/>
  <c r="AD281" i="102"/>
  <c r="E400" i="93"/>
  <c r="AD280" i="102"/>
  <c r="AD279" i="102"/>
  <c r="AD278" i="102"/>
  <c r="E396" i="93" s="1"/>
  <c r="C396" i="93" s="1"/>
  <c r="K396" i="93" s="1"/>
  <c r="AD277" i="102"/>
  <c r="E395" i="93"/>
  <c r="AC274" i="102"/>
  <c r="AA274" i="102"/>
  <c r="Y274" i="102"/>
  <c r="W274" i="102"/>
  <c r="U274" i="102"/>
  <c r="S274" i="102"/>
  <c r="Q274" i="102"/>
  <c r="O274" i="102"/>
  <c r="M274" i="102"/>
  <c r="K274" i="102"/>
  <c r="I274" i="102"/>
  <c r="G274" i="102"/>
  <c r="AD273" i="102"/>
  <c r="AD272" i="102"/>
  <c r="AC271" i="102"/>
  <c r="AA271" i="102"/>
  <c r="Y271" i="102"/>
  <c r="W271" i="102"/>
  <c r="U271" i="102"/>
  <c r="S271" i="102"/>
  <c r="Q271" i="102"/>
  <c r="O271" i="102"/>
  <c r="M271" i="102"/>
  <c r="K271" i="102"/>
  <c r="I271" i="102"/>
  <c r="G271" i="102"/>
  <c r="AD270" i="102"/>
  <c r="AD269" i="102"/>
  <c r="AD268" i="102"/>
  <c r="AD267" i="102"/>
  <c r="E380" i="93" s="1"/>
  <c r="AD266" i="102"/>
  <c r="E379" i="93" s="1"/>
  <c r="C379" i="93" s="1"/>
  <c r="K379" i="93" s="1"/>
  <c r="AD265" i="102"/>
  <c r="E378" i="93"/>
  <c r="C378" i="93"/>
  <c r="K378" i="93" s="1"/>
  <c r="AD264" i="102"/>
  <c r="AD263" i="102"/>
  <c r="AC260" i="102"/>
  <c r="Y260" i="102"/>
  <c r="W260" i="102"/>
  <c r="U260" i="102"/>
  <c r="S260" i="102"/>
  <c r="Q260" i="102"/>
  <c r="O260" i="102"/>
  <c r="M260" i="102"/>
  <c r="K260" i="102"/>
  <c r="I260" i="102"/>
  <c r="G260" i="102"/>
  <c r="AD259" i="102"/>
  <c r="AD258" i="102"/>
  <c r="AC257" i="102"/>
  <c r="AA257" i="102"/>
  <c r="Y257" i="102"/>
  <c r="W257" i="102"/>
  <c r="S257" i="102"/>
  <c r="Q257" i="102"/>
  <c r="O257" i="102"/>
  <c r="M257" i="102"/>
  <c r="K257" i="102"/>
  <c r="I257" i="102"/>
  <c r="G257" i="102"/>
  <c r="AD256" i="102"/>
  <c r="AD255" i="102"/>
  <c r="AD254" i="102"/>
  <c r="AB254" i="102"/>
  <c r="Z254" i="102"/>
  <c r="X254" i="102"/>
  <c r="V254" i="102"/>
  <c r="T254" i="102"/>
  <c r="R254" i="102"/>
  <c r="P254" i="102"/>
  <c r="N254" i="102"/>
  <c r="L254" i="102"/>
  <c r="J254" i="102"/>
  <c r="H254" i="102"/>
  <c r="F254" i="102"/>
  <c r="AD253" i="102"/>
  <c r="AB253" i="102"/>
  <c r="Z86" i="104"/>
  <c r="Z253" i="102"/>
  <c r="X86" i="104"/>
  <c r="X253" i="102"/>
  <c r="V86" i="104" s="1"/>
  <c r="V253" i="102"/>
  <c r="T86" i="104"/>
  <c r="T253" i="102"/>
  <c r="R86" i="104"/>
  <c r="R253" i="102"/>
  <c r="P86" i="104"/>
  <c r="P253" i="102"/>
  <c r="N86" i="104" s="1"/>
  <c r="N253" i="102"/>
  <c r="L86" i="104" s="1"/>
  <c r="L253" i="102"/>
  <c r="J86" i="104"/>
  <c r="J253" i="102"/>
  <c r="H86" i="104"/>
  <c r="H253" i="102"/>
  <c r="F86" i="104" s="1"/>
  <c r="F253" i="102"/>
  <c r="D86" i="104" s="1"/>
  <c r="AD252" i="102"/>
  <c r="AB252" i="102"/>
  <c r="Z85" i="104" s="1"/>
  <c r="Z252" i="102"/>
  <c r="X85" i="104"/>
  <c r="X252" i="102"/>
  <c r="V85" i="104"/>
  <c r="V252" i="102"/>
  <c r="T85" i="104" s="1"/>
  <c r="T252" i="102"/>
  <c r="R85" i="104" s="1"/>
  <c r="R252" i="102"/>
  <c r="P85" i="104"/>
  <c r="P252" i="102"/>
  <c r="N85" i="104"/>
  <c r="N252" i="102"/>
  <c r="L85" i="104" s="1"/>
  <c r="L252" i="102"/>
  <c r="J85" i="104" s="1"/>
  <c r="J252" i="102"/>
  <c r="H85" i="104"/>
  <c r="H252" i="102"/>
  <c r="F85" i="104"/>
  <c r="F252" i="102"/>
  <c r="D85" i="104" s="1"/>
  <c r="AD251" i="102"/>
  <c r="AD250" i="102"/>
  <c r="AB250" i="102"/>
  <c r="Z250" i="102"/>
  <c r="X250" i="102"/>
  <c r="V250" i="102"/>
  <c r="T250" i="102"/>
  <c r="R250" i="102"/>
  <c r="P250" i="102"/>
  <c r="N250" i="102"/>
  <c r="L250" i="102"/>
  <c r="J250" i="102"/>
  <c r="H250" i="102"/>
  <c r="F250" i="102"/>
  <c r="AD249" i="102"/>
  <c r="AB249" i="102"/>
  <c r="Z249" i="102"/>
  <c r="X249" i="102"/>
  <c r="V249" i="102"/>
  <c r="T249" i="102"/>
  <c r="R249" i="102"/>
  <c r="P249" i="102"/>
  <c r="N249" i="102"/>
  <c r="L249" i="102"/>
  <c r="J249" i="102"/>
  <c r="H249" i="102"/>
  <c r="F249" i="102"/>
  <c r="AC246" i="102"/>
  <c r="AB246" i="102"/>
  <c r="AA246" i="102"/>
  <c r="Z246" i="102"/>
  <c r="Y246" i="102"/>
  <c r="X246" i="102"/>
  <c r="W246" i="102"/>
  <c r="V246" i="102"/>
  <c r="U246" i="102"/>
  <c r="T246" i="102"/>
  <c r="S246" i="102"/>
  <c r="R246" i="102"/>
  <c r="Q246" i="102"/>
  <c r="P246" i="102"/>
  <c r="O246" i="102"/>
  <c r="N246" i="102"/>
  <c r="M246" i="102"/>
  <c r="L246" i="102"/>
  <c r="K246" i="102"/>
  <c r="J246" i="102"/>
  <c r="I246" i="102"/>
  <c r="G246" i="102"/>
  <c r="AD246" i="102" s="1"/>
  <c r="AD245" i="102"/>
  <c r="AD244" i="102"/>
  <c r="AC243" i="102"/>
  <c r="AA243" i="102"/>
  <c r="Y243" i="102"/>
  <c r="W243" i="102"/>
  <c r="U243" i="102"/>
  <c r="S243" i="102"/>
  <c r="AD243" i="102" s="1"/>
  <c r="Q243" i="102"/>
  <c r="O243" i="102"/>
  <c r="M243" i="102"/>
  <c r="K243" i="102"/>
  <c r="I243" i="102"/>
  <c r="G243" i="102"/>
  <c r="AD242" i="102"/>
  <c r="AD241" i="102"/>
  <c r="E338" i="93" s="1"/>
  <c r="AD240" i="102"/>
  <c r="E337" i="93"/>
  <c r="AD239" i="102"/>
  <c r="E336" i="93" s="1"/>
  <c r="AD238" i="102"/>
  <c r="E335" i="93" s="1"/>
  <c r="AD237" i="102"/>
  <c r="E334" i="93"/>
  <c r="AD236" i="102"/>
  <c r="AD235" i="102"/>
  <c r="E332" i="93"/>
  <c r="AD234" i="102"/>
  <c r="AD233" i="102"/>
  <c r="AD232" i="102"/>
  <c r="AD231" i="102"/>
  <c r="E328" i="93"/>
  <c r="AD230" i="102"/>
  <c r="E327" i="93"/>
  <c r="AD229" i="102"/>
  <c r="E326" i="93" s="1"/>
  <c r="AD228" i="102"/>
  <c r="AD227" i="102"/>
  <c r="E324" i="93" s="1"/>
  <c r="AD226" i="102"/>
  <c r="AB226" i="102"/>
  <c r="Z47" i="104"/>
  <c r="Z226" i="102"/>
  <c r="X47" i="104" s="1"/>
  <c r="X51" i="104" s="1"/>
  <c r="X226" i="102"/>
  <c r="V47" i="104"/>
  <c r="V226" i="102"/>
  <c r="T47" i="104"/>
  <c r="T226" i="102"/>
  <c r="R47" i="104"/>
  <c r="R226" i="102"/>
  <c r="P47" i="104" s="1"/>
  <c r="P226" i="102"/>
  <c r="N47" i="104" s="1"/>
  <c r="N226" i="102"/>
  <c r="L47" i="104"/>
  <c r="L226" i="102"/>
  <c r="J47" i="104"/>
  <c r="J226" i="102"/>
  <c r="H47" i="104" s="1"/>
  <c r="H226" i="102"/>
  <c r="F47" i="104"/>
  <c r="F226" i="102"/>
  <c r="D47" i="104"/>
  <c r="AD225" i="102"/>
  <c r="E319" i="93"/>
  <c r="C319" i="93"/>
  <c r="AB225" i="102"/>
  <c r="Z46" i="104"/>
  <c r="Z225" i="102"/>
  <c r="X46" i="104" s="1"/>
  <c r="X225" i="102"/>
  <c r="V46" i="104" s="1"/>
  <c r="V225" i="102"/>
  <c r="T46" i="104"/>
  <c r="T225" i="102"/>
  <c r="R46" i="104"/>
  <c r="R225" i="102"/>
  <c r="P46" i="104" s="1"/>
  <c r="P225" i="102"/>
  <c r="N46" i="104" s="1"/>
  <c r="N225" i="102"/>
  <c r="L46" i="104"/>
  <c r="L225" i="102"/>
  <c r="J46" i="104"/>
  <c r="J225" i="102"/>
  <c r="H46" i="104" s="1"/>
  <c r="H225" i="102"/>
  <c r="F46" i="104" s="1"/>
  <c r="F225" i="102"/>
  <c r="D46" i="104"/>
  <c r="AD224" i="102"/>
  <c r="E318" i="93"/>
  <c r="C318" i="93"/>
  <c r="AB224" i="102"/>
  <c r="Z45" i="104"/>
  <c r="Z224" i="102"/>
  <c r="X45" i="104"/>
  <c r="X224" i="102"/>
  <c r="V45" i="104" s="1"/>
  <c r="V224" i="102"/>
  <c r="T45" i="104" s="1"/>
  <c r="T224" i="102"/>
  <c r="R45" i="104"/>
  <c r="R224" i="102"/>
  <c r="P45" i="104"/>
  <c r="P224" i="102"/>
  <c r="N45" i="104" s="1"/>
  <c r="N224" i="102"/>
  <c r="L45" i="104"/>
  <c r="L224" i="102"/>
  <c r="J45" i="104"/>
  <c r="J224" i="102"/>
  <c r="H45" i="104"/>
  <c r="H224" i="102"/>
  <c r="F45" i="104" s="1"/>
  <c r="F224" i="102"/>
  <c r="D45" i="104" s="1"/>
  <c r="AD223" i="102"/>
  <c r="AB223" i="102"/>
  <c r="Z44" i="104" s="1"/>
  <c r="Z223" i="102"/>
  <c r="X44" i="104"/>
  <c r="AA44" i="104" s="1"/>
  <c r="X223" i="102"/>
  <c r="V44" i="104"/>
  <c r="V223" i="102"/>
  <c r="T44" i="104" s="1"/>
  <c r="T223" i="102"/>
  <c r="R44" i="104" s="1"/>
  <c r="R223" i="102"/>
  <c r="P44" i="104"/>
  <c r="P223" i="102"/>
  <c r="N44" i="104"/>
  <c r="N223" i="102"/>
  <c r="L44" i="104" s="1"/>
  <c r="L223" i="102"/>
  <c r="J44" i="104" s="1"/>
  <c r="J223" i="102"/>
  <c r="H44" i="104"/>
  <c r="H223" i="102"/>
  <c r="F44" i="104"/>
  <c r="F223" i="102"/>
  <c r="D44" i="104" s="1"/>
  <c r="AD222" i="102"/>
  <c r="E316" i="93" s="1"/>
  <c r="C316" i="93" s="1"/>
  <c r="L222" i="102"/>
  <c r="T222" i="102"/>
  <c r="AD221" i="102"/>
  <c r="X221" i="102"/>
  <c r="AD220" i="102"/>
  <c r="E314" i="93"/>
  <c r="C314" i="93" s="1"/>
  <c r="AB220" i="102"/>
  <c r="Z220" i="102"/>
  <c r="X220" i="102"/>
  <c r="V220" i="102"/>
  <c r="T220" i="102"/>
  <c r="R220" i="102"/>
  <c r="P220" i="102"/>
  <c r="N220" i="102"/>
  <c r="L220" i="102"/>
  <c r="J220" i="102"/>
  <c r="H220" i="102"/>
  <c r="F220" i="102"/>
  <c r="AC217" i="102"/>
  <c r="AA217" i="102"/>
  <c r="Y217" i="102"/>
  <c r="W217" i="102"/>
  <c r="U217" i="102"/>
  <c r="S217" i="102"/>
  <c r="Q217" i="102"/>
  <c r="O217" i="102"/>
  <c r="M217" i="102"/>
  <c r="K217" i="102"/>
  <c r="I217" i="102"/>
  <c r="AD217" i="102" s="1"/>
  <c r="G217" i="102"/>
  <c r="AD216" i="102"/>
  <c r="AD215" i="102"/>
  <c r="AC214" i="102"/>
  <c r="AA214" i="102"/>
  <c r="Y214" i="102"/>
  <c r="W214" i="102"/>
  <c r="U214" i="102"/>
  <c r="U428" i="102" s="1"/>
  <c r="S214" i="102"/>
  <c r="Q214" i="102"/>
  <c r="O214" i="102"/>
  <c r="M214" i="102"/>
  <c r="K214" i="102"/>
  <c r="I214" i="102"/>
  <c r="G214" i="102"/>
  <c r="AD213" i="102"/>
  <c r="E300" i="93" s="1"/>
  <c r="AD212" i="102"/>
  <c r="E299" i="93"/>
  <c r="AD211" i="102"/>
  <c r="E298" i="93" s="1"/>
  <c r="AD210" i="102"/>
  <c r="E297" i="93" s="1"/>
  <c r="AD209" i="102"/>
  <c r="E296" i="93"/>
  <c r="AD208" i="102"/>
  <c r="AD207" i="102"/>
  <c r="AD206" i="102"/>
  <c r="AD205" i="102"/>
  <c r="AD204" i="102"/>
  <c r="E291" i="93" s="1"/>
  <c r="AD203" i="102"/>
  <c r="E290" i="93"/>
  <c r="AD202" i="102"/>
  <c r="E287" i="93"/>
  <c r="AD201" i="102"/>
  <c r="E284" i="93" s="1"/>
  <c r="C284" i="93"/>
  <c r="K284" i="93" s="1"/>
  <c r="M284" i="93" s="1"/>
  <c r="AB201" i="102"/>
  <c r="Z39" i="104" s="1"/>
  <c r="Z201" i="102"/>
  <c r="X39" i="104"/>
  <c r="X201" i="102"/>
  <c r="V39" i="104"/>
  <c r="V201" i="102"/>
  <c r="T39" i="104" s="1"/>
  <c r="T201" i="102"/>
  <c r="R39" i="104" s="1"/>
  <c r="R201" i="102"/>
  <c r="P39" i="104"/>
  <c r="P201" i="102"/>
  <c r="N39" i="104"/>
  <c r="N201" i="102"/>
  <c r="L39" i="104" s="1"/>
  <c r="L201" i="102"/>
  <c r="J39" i="104" s="1"/>
  <c r="J201" i="102"/>
  <c r="H39" i="104"/>
  <c r="H201" i="102"/>
  <c r="F39" i="104"/>
  <c r="F201" i="102"/>
  <c r="D39" i="104" s="1"/>
  <c r="AD200" i="102"/>
  <c r="AB200" i="102"/>
  <c r="Z38" i="104"/>
  <c r="Z200" i="102"/>
  <c r="X38" i="104" s="1"/>
  <c r="X200" i="102"/>
  <c r="V38" i="104" s="1"/>
  <c r="V200" i="102"/>
  <c r="T38" i="104"/>
  <c r="T200" i="102"/>
  <c r="R38" i="104"/>
  <c r="R200" i="102"/>
  <c r="P38" i="104" s="1"/>
  <c r="P200" i="102"/>
  <c r="N38" i="104"/>
  <c r="N200" i="102"/>
  <c r="L38" i="104"/>
  <c r="L200" i="102"/>
  <c r="J38" i="104"/>
  <c r="J200" i="102"/>
  <c r="H38" i="104" s="1"/>
  <c r="H200" i="102"/>
  <c r="F38" i="104"/>
  <c r="F200" i="102"/>
  <c r="D38" i="104"/>
  <c r="AD199" i="102"/>
  <c r="AB199" i="102"/>
  <c r="Z199" i="102"/>
  <c r="X199" i="102"/>
  <c r="V199" i="102"/>
  <c r="T199" i="102"/>
  <c r="R199" i="102"/>
  <c r="P199" i="102"/>
  <c r="N199" i="102"/>
  <c r="L199" i="102"/>
  <c r="J199" i="102"/>
  <c r="H199" i="102"/>
  <c r="F199" i="102"/>
  <c r="AC196" i="102"/>
  <c r="Y196" i="102"/>
  <c r="W196" i="102"/>
  <c r="U196" i="102"/>
  <c r="S196" i="102"/>
  <c r="Q196" i="102"/>
  <c r="O196" i="102"/>
  <c r="M196" i="102"/>
  <c r="K196" i="102"/>
  <c r="I196" i="102"/>
  <c r="G196" i="102"/>
  <c r="AD195" i="102"/>
  <c r="AD194" i="102"/>
  <c r="AC193" i="102"/>
  <c r="AA193" i="102"/>
  <c r="Y193" i="102"/>
  <c r="W193" i="102"/>
  <c r="U193" i="102"/>
  <c r="S193" i="102"/>
  <c r="Q193" i="102"/>
  <c r="O193" i="102"/>
  <c r="M193" i="102"/>
  <c r="K193" i="102"/>
  <c r="I193" i="102"/>
  <c r="G193" i="102"/>
  <c r="AD192" i="102"/>
  <c r="E233" i="93"/>
  <c r="AD191" i="102"/>
  <c r="AD190" i="102"/>
  <c r="AD189" i="102"/>
  <c r="AD188" i="102"/>
  <c r="AD187" i="102"/>
  <c r="E228" i="93"/>
  <c r="AD186" i="102"/>
  <c r="AD185" i="102"/>
  <c r="E226" i="93" s="1"/>
  <c r="AD184" i="102"/>
  <c r="E225" i="93"/>
  <c r="AD183" i="102"/>
  <c r="AD182" i="102"/>
  <c r="E218" i="93" s="1"/>
  <c r="AB182" i="102"/>
  <c r="Z14" i="104" s="1"/>
  <c r="Z182" i="102"/>
  <c r="X14" i="104" s="1"/>
  <c r="X182" i="102"/>
  <c r="V14" i="104"/>
  <c r="V182" i="102"/>
  <c r="T14" i="104"/>
  <c r="T182" i="102"/>
  <c r="R14" i="104" s="1"/>
  <c r="R182" i="102"/>
  <c r="P14" i="104" s="1"/>
  <c r="P182" i="102"/>
  <c r="N14" i="104"/>
  <c r="N182" i="102"/>
  <c r="L14" i="104"/>
  <c r="L182" i="102"/>
  <c r="J14" i="104" s="1"/>
  <c r="J182" i="102"/>
  <c r="H14" i="104" s="1"/>
  <c r="H182" i="102"/>
  <c r="F14" i="104"/>
  <c r="F182" i="102"/>
  <c r="D14" i="104"/>
  <c r="AD181" i="102"/>
  <c r="E217" i="93" s="1"/>
  <c r="C217" i="93" s="1"/>
  <c r="AB181" i="102"/>
  <c r="Z13" i="104"/>
  <c r="Z181" i="102"/>
  <c r="X13" i="104" s="1"/>
  <c r="X181" i="102"/>
  <c r="V13" i="104" s="1"/>
  <c r="V181" i="102"/>
  <c r="T13" i="104"/>
  <c r="T181" i="102"/>
  <c r="R13" i="104"/>
  <c r="R181" i="102"/>
  <c r="P13" i="104" s="1"/>
  <c r="P181" i="102"/>
  <c r="N13" i="104" s="1"/>
  <c r="N181" i="102"/>
  <c r="L13" i="104"/>
  <c r="L181" i="102"/>
  <c r="J13" i="104"/>
  <c r="J181" i="102"/>
  <c r="H13" i="104" s="1"/>
  <c r="H181" i="102"/>
  <c r="F13" i="104" s="1"/>
  <c r="F181" i="102"/>
  <c r="D13" i="104"/>
  <c r="AD180" i="102"/>
  <c r="AB180" i="102"/>
  <c r="Z180" i="102"/>
  <c r="X180" i="102"/>
  <c r="V180" i="102"/>
  <c r="T180" i="102"/>
  <c r="R180" i="102"/>
  <c r="P180" i="102"/>
  <c r="N180" i="102"/>
  <c r="L180" i="102"/>
  <c r="J180" i="102"/>
  <c r="H180" i="102"/>
  <c r="F180" i="102"/>
  <c r="AC177" i="102"/>
  <c r="AA177" i="102"/>
  <c r="Y177" i="102"/>
  <c r="W177" i="102"/>
  <c r="U177" i="102"/>
  <c r="S177" i="102"/>
  <c r="Q177" i="102"/>
  <c r="O177" i="102"/>
  <c r="M177" i="102"/>
  <c r="K177" i="102"/>
  <c r="I177" i="102"/>
  <c r="H177" i="102"/>
  <c r="G177" i="102"/>
  <c r="AD176" i="102"/>
  <c r="AD175" i="102"/>
  <c r="AC174" i="102"/>
  <c r="AA174" i="102"/>
  <c r="Y174" i="102"/>
  <c r="W174" i="102"/>
  <c r="U174" i="102"/>
  <c r="S174" i="102"/>
  <c r="Q174" i="102"/>
  <c r="O174" i="102"/>
  <c r="M174" i="102"/>
  <c r="K174" i="102"/>
  <c r="I174" i="102"/>
  <c r="G174" i="102"/>
  <c r="AD173" i="102"/>
  <c r="AD172" i="102"/>
  <c r="E172" i="93"/>
  <c r="AD171" i="102"/>
  <c r="E171" i="93"/>
  <c r="AD170" i="102"/>
  <c r="E170" i="93"/>
  <c r="AD169" i="102"/>
  <c r="E169" i="93" s="1"/>
  <c r="AD168" i="102"/>
  <c r="E168" i="93" s="1"/>
  <c r="AD167" i="102"/>
  <c r="AD166" i="102"/>
  <c r="AD165" i="102"/>
  <c r="AD164" i="102"/>
  <c r="E164" i="93" s="1"/>
  <c r="AD163" i="102"/>
  <c r="E163" i="93" s="1"/>
  <c r="AD162" i="102"/>
  <c r="E162" i="93" s="1"/>
  <c r="E180" i="93" s="1"/>
  <c r="AD161" i="102"/>
  <c r="E161" i="93"/>
  <c r="AD160" i="102"/>
  <c r="AD159" i="102"/>
  <c r="AD158" i="102"/>
  <c r="AD157" i="102"/>
  <c r="AB157" i="102"/>
  <c r="Z157" i="102"/>
  <c r="X157" i="102"/>
  <c r="V157" i="102"/>
  <c r="T157" i="102"/>
  <c r="R157" i="102"/>
  <c r="P157" i="102"/>
  <c r="N157" i="102"/>
  <c r="L157" i="102"/>
  <c r="J157" i="102"/>
  <c r="H157" i="102"/>
  <c r="F157" i="102"/>
  <c r="AD156" i="102"/>
  <c r="AB156" i="102"/>
  <c r="Z156" i="102"/>
  <c r="X156" i="102"/>
  <c r="V156" i="102"/>
  <c r="T156" i="102"/>
  <c r="R156" i="102"/>
  <c r="P156" i="102"/>
  <c r="N156" i="102"/>
  <c r="L156" i="102"/>
  <c r="J156" i="102"/>
  <c r="H156" i="102"/>
  <c r="F156" i="102"/>
  <c r="AD155" i="102"/>
  <c r="E151" i="93" s="1"/>
  <c r="C151" i="93"/>
  <c r="G151" i="93" s="1"/>
  <c r="AB155" i="102"/>
  <c r="Z155" i="102"/>
  <c r="X155" i="102"/>
  <c r="V155" i="102"/>
  <c r="T155" i="102"/>
  <c r="R155" i="102"/>
  <c r="P155" i="102"/>
  <c r="N155" i="102"/>
  <c r="L30" i="104" s="1"/>
  <c r="L155" i="102"/>
  <c r="J155" i="102"/>
  <c r="H155" i="102"/>
  <c r="F155" i="102"/>
  <c r="AD154" i="102"/>
  <c r="AB154" i="102"/>
  <c r="H6" i="108" s="1"/>
  <c r="Z154" i="102"/>
  <c r="X154" i="102"/>
  <c r="V154" i="102"/>
  <c r="T154" i="102"/>
  <c r="R154" i="102"/>
  <c r="P154" i="102"/>
  <c r="N154" i="102"/>
  <c r="L154" i="102"/>
  <c r="J154" i="102"/>
  <c r="H154" i="102"/>
  <c r="F154" i="102"/>
  <c r="AC151" i="102"/>
  <c r="AA151" i="102"/>
  <c r="Y151" i="102"/>
  <c r="W151" i="102"/>
  <c r="U151" i="102"/>
  <c r="S151" i="102"/>
  <c r="Q151" i="102"/>
  <c r="O151" i="102"/>
  <c r="M151" i="102"/>
  <c r="K151" i="102"/>
  <c r="I151" i="102"/>
  <c r="H151" i="102"/>
  <c r="G151" i="102"/>
  <c r="AD150" i="102"/>
  <c r="AD149" i="102"/>
  <c r="AC148" i="102"/>
  <c r="AA148" i="102"/>
  <c r="Y148" i="102"/>
  <c r="W148" i="102"/>
  <c r="U148" i="102"/>
  <c r="S148" i="102"/>
  <c r="Q148" i="102"/>
  <c r="O148" i="102"/>
  <c r="M148" i="102"/>
  <c r="K148" i="102"/>
  <c r="I148" i="102"/>
  <c r="G148" i="102"/>
  <c r="AD147" i="102"/>
  <c r="AD146" i="102"/>
  <c r="AD145" i="102"/>
  <c r="E136" i="93" s="1"/>
  <c r="AD144" i="102"/>
  <c r="E135" i="93"/>
  <c r="AD143" i="102"/>
  <c r="E134" i="93"/>
  <c r="AD142" i="102"/>
  <c r="E133" i="93" s="1"/>
  <c r="AD141" i="102"/>
  <c r="AD140" i="102"/>
  <c r="AD139" i="102"/>
  <c r="AD138" i="102"/>
  <c r="E129" i="93" s="1"/>
  <c r="AD137" i="102"/>
  <c r="E128" i="93"/>
  <c r="AD136" i="102"/>
  <c r="AD135" i="102"/>
  <c r="E126" i="93"/>
  <c r="AD134" i="102"/>
  <c r="E125" i="93" s="1"/>
  <c r="AD133" i="102"/>
  <c r="AD132" i="102"/>
  <c r="AD131" i="102"/>
  <c r="AB131" i="102"/>
  <c r="Z131" i="102"/>
  <c r="X131" i="102"/>
  <c r="V131" i="102"/>
  <c r="T131" i="102"/>
  <c r="R131" i="102"/>
  <c r="P32" i="104" s="1"/>
  <c r="P131" i="102"/>
  <c r="N32" i="104" s="1"/>
  <c r="N131" i="102"/>
  <c r="L131" i="102"/>
  <c r="J131" i="102"/>
  <c r="H131" i="102"/>
  <c r="F131" i="102"/>
  <c r="AD130" i="102"/>
  <c r="E117" i="93"/>
  <c r="AB130" i="102"/>
  <c r="Z31" i="104"/>
  <c r="Z130" i="102"/>
  <c r="X130" i="102"/>
  <c r="V130" i="102"/>
  <c r="T130" i="102"/>
  <c r="R130" i="102"/>
  <c r="P31" i="104" s="1"/>
  <c r="P130" i="102"/>
  <c r="N130" i="102"/>
  <c r="L130" i="102"/>
  <c r="J31" i="104"/>
  <c r="J130" i="102"/>
  <c r="H130" i="102"/>
  <c r="F130" i="102"/>
  <c r="AD129" i="102"/>
  <c r="E116" i="93"/>
  <c r="C116" i="93" s="1"/>
  <c r="AB129" i="102"/>
  <c r="Z129" i="102"/>
  <c r="X129" i="102"/>
  <c r="V129" i="102"/>
  <c r="T30" i="104"/>
  <c r="T129" i="102"/>
  <c r="R30" i="104"/>
  <c r="R129" i="102"/>
  <c r="P129" i="102"/>
  <c r="N129" i="102"/>
  <c r="L129" i="102"/>
  <c r="J129" i="102"/>
  <c r="H129" i="102"/>
  <c r="F129" i="102"/>
  <c r="D30" i="104"/>
  <c r="AD128" i="102"/>
  <c r="AB128" i="102"/>
  <c r="Z128" i="102"/>
  <c r="X128" i="102"/>
  <c r="V128" i="102"/>
  <c r="T128" i="102"/>
  <c r="R128" i="102"/>
  <c r="P128" i="102"/>
  <c r="AF128" i="102" s="1"/>
  <c r="N128" i="102"/>
  <c r="L128" i="102"/>
  <c r="J128" i="102"/>
  <c r="H128" i="102"/>
  <c r="F128" i="102"/>
  <c r="C149" i="102"/>
  <c r="AC125" i="102"/>
  <c r="AA125" i="102"/>
  <c r="Y125" i="102"/>
  <c r="W125" i="102"/>
  <c r="U125" i="102"/>
  <c r="S125" i="102"/>
  <c r="Q125" i="102"/>
  <c r="O125" i="102"/>
  <c r="M125" i="102"/>
  <c r="K125" i="102"/>
  <c r="AD125" i="102" s="1"/>
  <c r="I125" i="102"/>
  <c r="H125" i="102"/>
  <c r="G125" i="102"/>
  <c r="AD124" i="102"/>
  <c r="AD123" i="102"/>
  <c r="AC122" i="102"/>
  <c r="AA122" i="102"/>
  <c r="Y122" i="102"/>
  <c r="Y428" i="102" s="1"/>
  <c r="Y430" i="102" s="1"/>
  <c r="W122" i="102"/>
  <c r="U122" i="102"/>
  <c r="S122" i="102"/>
  <c r="Q122" i="102"/>
  <c r="O122" i="102"/>
  <c r="M122" i="102"/>
  <c r="K122" i="102"/>
  <c r="I122" i="102"/>
  <c r="AD122" i="102" s="1"/>
  <c r="G122" i="102"/>
  <c r="AD121" i="102"/>
  <c r="AD120" i="102"/>
  <c r="AD119" i="102"/>
  <c r="AD118" i="102"/>
  <c r="E101" i="93"/>
  <c r="AD117" i="102"/>
  <c r="E100" i="93"/>
  <c r="AD116" i="102"/>
  <c r="E99" i="93" s="1"/>
  <c r="AD115" i="102"/>
  <c r="E98" i="93" s="1"/>
  <c r="AD114" i="102"/>
  <c r="AD113" i="102"/>
  <c r="AD112" i="102"/>
  <c r="AD111" i="102"/>
  <c r="AD110" i="102"/>
  <c r="E93" i="93" s="1"/>
  <c r="AD109" i="102"/>
  <c r="E92" i="93" s="1"/>
  <c r="E110" i="93" s="1"/>
  <c r="AD108" i="102"/>
  <c r="E91" i="93"/>
  <c r="AD107" i="102"/>
  <c r="E90" i="93"/>
  <c r="AD106" i="102"/>
  <c r="AD105" i="102"/>
  <c r="AD104" i="102"/>
  <c r="AB104" i="102"/>
  <c r="Z18" i="104"/>
  <c r="Z104" i="102"/>
  <c r="X18" i="104" s="1"/>
  <c r="X104" i="102"/>
  <c r="V18" i="104" s="1"/>
  <c r="V104" i="102"/>
  <c r="T18" i="104"/>
  <c r="T104" i="102"/>
  <c r="R18" i="104"/>
  <c r="R104" i="102"/>
  <c r="P18" i="104" s="1"/>
  <c r="P22" i="104" s="1"/>
  <c r="P104" i="102"/>
  <c r="N18" i="104" s="1"/>
  <c r="N104" i="102"/>
  <c r="L18" i="104"/>
  <c r="L104" i="102"/>
  <c r="J18" i="104"/>
  <c r="J104" i="102"/>
  <c r="H18" i="104" s="1"/>
  <c r="H104" i="102"/>
  <c r="F18" i="104" s="1"/>
  <c r="F104" i="102"/>
  <c r="D18" i="104"/>
  <c r="AD103" i="102"/>
  <c r="E82" i="93"/>
  <c r="C82" i="93" s="1"/>
  <c r="AB103" i="102"/>
  <c r="Z17" i="104"/>
  <c r="Z103" i="102"/>
  <c r="X17" i="104" s="1"/>
  <c r="X103" i="102"/>
  <c r="V17" i="104" s="1"/>
  <c r="V103" i="102"/>
  <c r="T17" i="104"/>
  <c r="T103" i="102"/>
  <c r="R17" i="104"/>
  <c r="R103" i="102"/>
  <c r="P17" i="104" s="1"/>
  <c r="P103" i="102"/>
  <c r="N17" i="104" s="1"/>
  <c r="N103" i="102"/>
  <c r="L17" i="104"/>
  <c r="L103" i="102"/>
  <c r="J17" i="104"/>
  <c r="J103" i="102"/>
  <c r="H17" i="104" s="1"/>
  <c r="H103" i="102"/>
  <c r="F17" i="104" s="1"/>
  <c r="F103" i="102"/>
  <c r="D17" i="104"/>
  <c r="AD102" i="102"/>
  <c r="E81" i="93"/>
  <c r="AB102" i="102"/>
  <c r="Z16" i="104"/>
  <c r="Z102" i="102"/>
  <c r="X16" i="104"/>
  <c r="X102" i="102"/>
  <c r="V16" i="104" s="1"/>
  <c r="V102" i="102"/>
  <c r="T16" i="104" s="1"/>
  <c r="T102" i="102"/>
  <c r="R16" i="104"/>
  <c r="R102" i="102"/>
  <c r="P16" i="104"/>
  <c r="P102" i="102"/>
  <c r="N16" i="104" s="1"/>
  <c r="N102" i="102"/>
  <c r="L16" i="104" s="1"/>
  <c r="L102" i="102"/>
  <c r="J16" i="104"/>
  <c r="J102" i="102"/>
  <c r="H16" i="104"/>
  <c r="H20" i="104" s="1"/>
  <c r="H102" i="102"/>
  <c r="F16" i="104" s="1"/>
  <c r="F102" i="102"/>
  <c r="D16" i="104" s="1"/>
  <c r="AD101" i="102"/>
  <c r="AB101" i="102"/>
  <c r="Z101" i="102"/>
  <c r="X101" i="102"/>
  <c r="V101" i="102"/>
  <c r="T101" i="102"/>
  <c r="R101" i="102"/>
  <c r="P101" i="102"/>
  <c r="N101" i="102"/>
  <c r="L101" i="102"/>
  <c r="J101" i="102"/>
  <c r="H101" i="102"/>
  <c r="F101" i="102"/>
  <c r="AC98" i="102"/>
  <c r="AA98" i="102"/>
  <c r="Y98" i="102"/>
  <c r="W98" i="102"/>
  <c r="U98" i="102"/>
  <c r="S98" i="102"/>
  <c r="Q98" i="102"/>
  <c r="O98" i="102"/>
  <c r="M98" i="102"/>
  <c r="K98" i="102"/>
  <c r="I98" i="102"/>
  <c r="AD97" i="102"/>
  <c r="AD96" i="102"/>
  <c r="AC95" i="102"/>
  <c r="AA95" i="102"/>
  <c r="AD95" i="102" s="1"/>
  <c r="AD94" i="102"/>
  <c r="AD93" i="102"/>
  <c r="AD92" i="102"/>
  <c r="AD91" i="102"/>
  <c r="AD90" i="102"/>
  <c r="AD89" i="102"/>
  <c r="AD88" i="102"/>
  <c r="AD87" i="102"/>
  <c r="E266" i="93" s="1"/>
  <c r="AD86" i="102"/>
  <c r="E265" i="93" s="1"/>
  <c r="AD85" i="102"/>
  <c r="E264" i="93"/>
  <c r="AD84" i="102"/>
  <c r="AD83" i="102"/>
  <c r="AD82" i="102"/>
  <c r="AD81" i="102"/>
  <c r="AD80" i="102"/>
  <c r="AD79" i="102"/>
  <c r="E258" i="93"/>
  <c r="AD78" i="102"/>
  <c r="E255" i="93" s="1"/>
  <c r="AD77" i="102"/>
  <c r="E252" i="93" s="1"/>
  <c r="AB77" i="102"/>
  <c r="Z28" i="104"/>
  <c r="Z77" i="102"/>
  <c r="X28" i="104" s="1"/>
  <c r="X77" i="102"/>
  <c r="V28" i="104"/>
  <c r="V77" i="102"/>
  <c r="T28" i="104"/>
  <c r="T77" i="102"/>
  <c r="R28" i="104" s="1"/>
  <c r="R77" i="102"/>
  <c r="P28" i="104" s="1"/>
  <c r="P77" i="102"/>
  <c r="N28" i="104"/>
  <c r="N77" i="102"/>
  <c r="L28" i="104"/>
  <c r="L77" i="102"/>
  <c r="J28" i="104" s="1"/>
  <c r="J77" i="102"/>
  <c r="H28" i="104" s="1"/>
  <c r="H77" i="102"/>
  <c r="F28" i="104"/>
  <c r="F77" i="102"/>
  <c r="D28" i="104"/>
  <c r="AD76" i="102"/>
  <c r="AB76" i="102"/>
  <c r="Z27" i="104"/>
  <c r="Z76" i="102"/>
  <c r="X27" i="104"/>
  <c r="X76" i="102"/>
  <c r="V27" i="104" s="1"/>
  <c r="V76" i="102"/>
  <c r="T27" i="104" s="1"/>
  <c r="T76" i="102"/>
  <c r="R27" i="104"/>
  <c r="R76" i="102"/>
  <c r="P27" i="104"/>
  <c r="P76" i="102"/>
  <c r="N27" i="104" s="1"/>
  <c r="N76" i="102"/>
  <c r="L27" i="104" s="1"/>
  <c r="L76" i="102"/>
  <c r="J27" i="104"/>
  <c r="J76" i="102"/>
  <c r="H27" i="104"/>
  <c r="H76" i="102"/>
  <c r="F27" i="104" s="1"/>
  <c r="F76" i="102"/>
  <c r="D27" i="104" s="1"/>
  <c r="AD75" i="102"/>
  <c r="AB75" i="102"/>
  <c r="Z26" i="104" s="1"/>
  <c r="Z75" i="102"/>
  <c r="X26" i="104" s="1"/>
  <c r="X75" i="102"/>
  <c r="V26" i="104"/>
  <c r="V75" i="102"/>
  <c r="T26" i="104"/>
  <c r="T75" i="102"/>
  <c r="R26" i="104" s="1"/>
  <c r="R75" i="102"/>
  <c r="P26" i="104"/>
  <c r="P75" i="102"/>
  <c r="N26" i="104"/>
  <c r="N75" i="102"/>
  <c r="L26" i="104"/>
  <c r="L75" i="102"/>
  <c r="J26" i="104" s="1"/>
  <c r="J75" i="102"/>
  <c r="H26" i="104" s="1"/>
  <c r="H75" i="102"/>
  <c r="F26" i="104"/>
  <c r="F75" i="102"/>
  <c r="D26" i="104"/>
  <c r="AD74" i="102"/>
  <c r="E249" i="93" s="1"/>
  <c r="AB74" i="102"/>
  <c r="AC116" i="104" s="1"/>
  <c r="Z74" i="102"/>
  <c r="X74" i="102"/>
  <c r="V74" i="102"/>
  <c r="T74" i="102"/>
  <c r="R74" i="102"/>
  <c r="P74" i="102"/>
  <c r="N74" i="102"/>
  <c r="L74" i="102"/>
  <c r="J74" i="102"/>
  <c r="H74" i="102"/>
  <c r="F74" i="102"/>
  <c r="AC71" i="102"/>
  <c r="AA71" i="102"/>
  <c r="Y71" i="102"/>
  <c r="W71" i="102"/>
  <c r="U71" i="102"/>
  <c r="S71" i="102"/>
  <c r="Q71" i="102"/>
  <c r="O71" i="102"/>
  <c r="M71" i="102"/>
  <c r="K71" i="102"/>
  <c r="I71" i="102"/>
  <c r="G71" i="102"/>
  <c r="AD70" i="102"/>
  <c r="AD69" i="102"/>
  <c r="AC68" i="102"/>
  <c r="AA68" i="102"/>
  <c r="Y68" i="102"/>
  <c r="W68" i="102"/>
  <c r="U68" i="102"/>
  <c r="S68" i="102"/>
  <c r="Q68" i="102"/>
  <c r="O68" i="102"/>
  <c r="M68" i="102"/>
  <c r="K68" i="102"/>
  <c r="I68" i="102"/>
  <c r="G68" i="102"/>
  <c r="AD67" i="102"/>
  <c r="E67" i="93"/>
  <c r="AD66" i="102"/>
  <c r="AD65" i="102"/>
  <c r="E65" i="93"/>
  <c r="AD64" i="102"/>
  <c r="E64" i="93" s="1"/>
  <c r="AD63" i="102"/>
  <c r="E63" i="93" s="1"/>
  <c r="AD62" i="102"/>
  <c r="AD61" i="102"/>
  <c r="AD60" i="102"/>
  <c r="AD59" i="102"/>
  <c r="E59" i="93"/>
  <c r="AD58" i="102"/>
  <c r="AD57" i="102"/>
  <c r="E57" i="93"/>
  <c r="AD56" i="102"/>
  <c r="E56" i="93"/>
  <c r="AD55" i="102"/>
  <c r="AD54" i="102"/>
  <c r="AD53" i="102"/>
  <c r="AD52" i="102"/>
  <c r="AD51" i="102"/>
  <c r="E49" i="93"/>
  <c r="AD50" i="102"/>
  <c r="E44" i="93"/>
  <c r="C44" i="93"/>
  <c r="AD49" i="102"/>
  <c r="AB49" i="102"/>
  <c r="Z49" i="102"/>
  <c r="X49" i="102"/>
  <c r="V49" i="102"/>
  <c r="T10" i="104" s="1"/>
  <c r="T49" i="102"/>
  <c r="R49" i="102"/>
  <c r="P49" i="102"/>
  <c r="N49" i="102"/>
  <c r="L49" i="102"/>
  <c r="J49" i="102"/>
  <c r="H49" i="102"/>
  <c r="F49" i="102"/>
  <c r="D10" i="104" s="1"/>
  <c r="AC46" i="102"/>
  <c r="AA46" i="102"/>
  <c r="Y46" i="102"/>
  <c r="W46" i="102"/>
  <c r="U46" i="102"/>
  <c r="S46" i="102"/>
  <c r="Q46" i="102"/>
  <c r="O46" i="102"/>
  <c r="AD46" i="102" s="1"/>
  <c r="M46" i="102"/>
  <c r="K46" i="102"/>
  <c r="I46" i="102"/>
  <c r="G46" i="102"/>
  <c r="AD45" i="102"/>
  <c r="AD44" i="102"/>
  <c r="AC43" i="102"/>
  <c r="AA43" i="102"/>
  <c r="Y43" i="102"/>
  <c r="W43" i="102"/>
  <c r="U43" i="102"/>
  <c r="S43" i="102"/>
  <c r="Q43" i="102"/>
  <c r="O43" i="102"/>
  <c r="M43" i="102"/>
  <c r="K43" i="102"/>
  <c r="I43" i="102"/>
  <c r="G43" i="102"/>
  <c r="AD42" i="102"/>
  <c r="E201" i="93" s="1"/>
  <c r="AD41" i="102"/>
  <c r="E200" i="93" s="1"/>
  <c r="AD40" i="102"/>
  <c r="E199" i="93"/>
  <c r="AD39" i="102"/>
  <c r="AD38" i="102"/>
  <c r="E197" i="93" s="1"/>
  <c r="AD37" i="102"/>
  <c r="AD36" i="102"/>
  <c r="AD35" i="102"/>
  <c r="E194" i="93" s="1"/>
  <c r="AD34" i="102"/>
  <c r="E193" i="93"/>
  <c r="AD33" i="102"/>
  <c r="E192" i="93"/>
  <c r="AD32" i="102"/>
  <c r="E189" i="93" s="1"/>
  <c r="AD31" i="102"/>
  <c r="AD30" i="102"/>
  <c r="AB30" i="102"/>
  <c r="Z30" i="102"/>
  <c r="X30" i="102"/>
  <c r="V30" i="102"/>
  <c r="T30" i="102"/>
  <c r="R30" i="102"/>
  <c r="P30" i="102"/>
  <c r="N30" i="102"/>
  <c r="L30" i="102"/>
  <c r="J30" i="102"/>
  <c r="H30" i="102"/>
  <c r="F30" i="102"/>
  <c r="AC27" i="102"/>
  <c r="AA27" i="102"/>
  <c r="Y27" i="102"/>
  <c r="W27" i="102"/>
  <c r="U27" i="102"/>
  <c r="S27" i="102"/>
  <c r="Q27" i="102"/>
  <c r="O27" i="102"/>
  <c r="N27" i="102"/>
  <c r="M27" i="102"/>
  <c r="L27" i="102"/>
  <c r="K27" i="102"/>
  <c r="J27" i="102"/>
  <c r="I27" i="102"/>
  <c r="H27" i="102"/>
  <c r="G27" i="102"/>
  <c r="AD26" i="102"/>
  <c r="AD25" i="102"/>
  <c r="AC24" i="102"/>
  <c r="AA24" i="102"/>
  <c r="Y24" i="102"/>
  <c r="W24" i="102"/>
  <c r="U24" i="102"/>
  <c r="S24" i="102"/>
  <c r="Q24" i="102"/>
  <c r="O24" i="102"/>
  <c r="M24" i="102"/>
  <c r="K24" i="102"/>
  <c r="I24" i="102"/>
  <c r="G24" i="102"/>
  <c r="AD23" i="102"/>
  <c r="E30" i="93"/>
  <c r="AD22" i="102"/>
  <c r="AD21" i="102"/>
  <c r="AD20" i="102"/>
  <c r="AI19" i="102" s="1"/>
  <c r="E27" i="93"/>
  <c r="AD19" i="102"/>
  <c r="AD18" i="102"/>
  <c r="AD17" i="102"/>
  <c r="AD16" i="102"/>
  <c r="AD15" i="102"/>
  <c r="AD14" i="102"/>
  <c r="AD13" i="102"/>
  <c r="E20" i="93"/>
  <c r="AD12" i="102"/>
  <c r="E19" i="93" s="1"/>
  <c r="AD11" i="102"/>
  <c r="AD10" i="102"/>
  <c r="AD9" i="102"/>
  <c r="AD8" i="102"/>
  <c r="AD7" i="102"/>
  <c r="AI6" i="102" s="1"/>
  <c r="E8" i="93"/>
  <c r="AD6" i="102"/>
  <c r="AI5" i="102" s="1"/>
  <c r="AB6" i="102"/>
  <c r="Z6" i="102"/>
  <c r="X6" i="102"/>
  <c r="V6" i="102"/>
  <c r="T6" i="102"/>
  <c r="R6" i="102"/>
  <c r="P6" i="102"/>
  <c r="N6" i="102"/>
  <c r="L6" i="102"/>
  <c r="J6" i="102"/>
  <c r="H6" i="102"/>
  <c r="F6" i="102"/>
  <c r="A8" i="99"/>
  <c r="A9" i="99"/>
  <c r="A10" i="99" s="1"/>
  <c r="A11" i="99" s="1"/>
  <c r="A12" i="99" s="1"/>
  <c r="A13" i="99" s="1"/>
  <c r="A14" i="99" s="1"/>
  <c r="A15" i="99" s="1"/>
  <c r="A16" i="99" s="1"/>
  <c r="A17" i="99" s="1"/>
  <c r="A18" i="99" s="1"/>
  <c r="A19" i="99" s="1"/>
  <c r="A20" i="99" s="1"/>
  <c r="A21" i="99" s="1"/>
  <c r="A22" i="99" s="1"/>
  <c r="A23" i="99" s="1"/>
  <c r="A24" i="99" s="1"/>
  <c r="A25" i="99" s="1"/>
  <c r="A26" i="99" s="1"/>
  <c r="A27" i="99" s="1"/>
  <c r="A28" i="99" s="1"/>
  <c r="A29" i="99" s="1"/>
  <c r="A30" i="99" s="1"/>
  <c r="A31" i="99" s="1"/>
  <c r="A32" i="99" s="1"/>
  <c r="A33" i="99" s="1"/>
  <c r="A34" i="99" s="1"/>
  <c r="A35" i="99" s="1"/>
  <c r="A36" i="99" s="1"/>
  <c r="A37" i="99" s="1"/>
  <c r="A38" i="99" s="1"/>
  <c r="A39" i="99" s="1"/>
  <c r="A40" i="99" s="1"/>
  <c r="A41" i="99" s="1"/>
  <c r="A42" i="99" s="1"/>
  <c r="A43" i="99" s="1"/>
  <c r="A44" i="99" s="1"/>
  <c r="A45" i="99" s="1"/>
  <c r="A46" i="99" s="1"/>
  <c r="A47" i="99" s="1"/>
  <c r="A48" i="99" s="1"/>
  <c r="A49" i="99" s="1"/>
  <c r="A50" i="99" s="1"/>
  <c r="A51" i="99" s="1"/>
  <c r="A52" i="99" s="1"/>
  <c r="A53" i="99" s="1"/>
  <c r="A54" i="99" s="1"/>
  <c r="A55" i="99" s="1"/>
  <c r="A56" i="99" s="1"/>
  <c r="A57" i="99" s="1"/>
  <c r="A58" i="99" s="1"/>
  <c r="A59" i="99" s="1"/>
  <c r="A60" i="99" s="1"/>
  <c r="A61" i="99" s="1"/>
  <c r="A62" i="99" s="1"/>
  <c r="A63" i="99" s="1"/>
  <c r="A64" i="99" s="1"/>
  <c r="A65" i="99" s="1"/>
  <c r="E37" i="97"/>
  <c r="E36" i="97"/>
  <c r="E35" i="97"/>
  <c r="E34" i="97"/>
  <c r="E28" i="97"/>
  <c r="E27" i="97"/>
  <c r="E23" i="97"/>
  <c r="E22" i="97"/>
  <c r="E21" i="97"/>
  <c r="E17" i="97"/>
  <c r="E16" i="97"/>
  <c r="E15" i="97"/>
  <c r="E596" i="93"/>
  <c r="E594" i="93"/>
  <c r="E592" i="93"/>
  <c r="E582" i="93"/>
  <c r="E581" i="93"/>
  <c r="L577" i="93"/>
  <c r="L576" i="93"/>
  <c r="L575" i="93"/>
  <c r="L574" i="93"/>
  <c r="E574" i="93"/>
  <c r="E567" i="93"/>
  <c r="E569" i="93" s="1"/>
  <c r="L559" i="93"/>
  <c r="E559" i="93"/>
  <c r="C559" i="93" s="1"/>
  <c r="K559" i="93" s="1"/>
  <c r="E558" i="93"/>
  <c r="C558" i="93"/>
  <c r="K558" i="93" s="1"/>
  <c r="L557" i="93"/>
  <c r="E557" i="93"/>
  <c r="C557" i="93"/>
  <c r="K557" i="93" s="1"/>
  <c r="M556" i="93"/>
  <c r="E556" i="93"/>
  <c r="M555" i="93"/>
  <c r="E555" i="93"/>
  <c r="L554" i="93"/>
  <c r="L553" i="93"/>
  <c r="E547" i="93"/>
  <c r="L540" i="93"/>
  <c r="E540" i="93"/>
  <c r="C540" i="93" s="1"/>
  <c r="K540" i="93" s="1"/>
  <c r="M540" i="93" s="1"/>
  <c r="E539" i="93"/>
  <c r="C539" i="93"/>
  <c r="K539" i="93" s="1"/>
  <c r="L538" i="93"/>
  <c r="M538" i="93" s="1"/>
  <c r="M537" i="93"/>
  <c r="E537" i="93"/>
  <c r="M536" i="93"/>
  <c r="L535" i="93"/>
  <c r="E535" i="93"/>
  <c r="C535" i="93"/>
  <c r="K535" i="93" s="1"/>
  <c r="L534" i="93"/>
  <c r="E534" i="93"/>
  <c r="C534" i="93"/>
  <c r="K534" i="93" s="1"/>
  <c r="E527" i="93"/>
  <c r="E524" i="93"/>
  <c r="E523" i="93"/>
  <c r="E522" i="93"/>
  <c r="E520" i="93"/>
  <c r="E519" i="93"/>
  <c r="E516" i="93"/>
  <c r="E514" i="93"/>
  <c r="E513" i="93"/>
  <c r="H508" i="93"/>
  <c r="H507" i="93"/>
  <c r="E507" i="93"/>
  <c r="C507" i="93" s="1"/>
  <c r="G507" i="93" s="1"/>
  <c r="I507" i="93" s="1"/>
  <c r="H506" i="93"/>
  <c r="E506" i="93"/>
  <c r="C506" i="93" s="1"/>
  <c r="G506" i="93" s="1"/>
  <c r="H505" i="93"/>
  <c r="L504" i="93"/>
  <c r="H504" i="93"/>
  <c r="L503" i="93"/>
  <c r="H503" i="93"/>
  <c r="E495" i="93"/>
  <c r="E494" i="93"/>
  <c r="E490" i="93"/>
  <c r="E488" i="93"/>
  <c r="H484" i="93"/>
  <c r="E484" i="93"/>
  <c r="C484" i="93"/>
  <c r="G484" i="93" s="1"/>
  <c r="H483" i="93"/>
  <c r="E483" i="93"/>
  <c r="C483" i="93"/>
  <c r="H482" i="93"/>
  <c r="H481" i="93"/>
  <c r="E481" i="93"/>
  <c r="C481" i="93"/>
  <c r="G481" i="93" s="1"/>
  <c r="I481" i="93" s="1"/>
  <c r="L480" i="93"/>
  <c r="H480" i="93"/>
  <c r="L479" i="93"/>
  <c r="H479" i="93"/>
  <c r="E479" i="93"/>
  <c r="C479" i="93" s="1"/>
  <c r="G479" i="93" s="1"/>
  <c r="I479" i="93" s="1"/>
  <c r="L478" i="93"/>
  <c r="H478" i="93"/>
  <c r="E469" i="93"/>
  <c r="E467" i="93"/>
  <c r="E465" i="93"/>
  <c r="E464" i="93"/>
  <c r="E463" i="93"/>
  <c r="H457" i="93"/>
  <c r="E457" i="93"/>
  <c r="C457" i="93" s="1"/>
  <c r="H456" i="93"/>
  <c r="I456" i="93" s="1"/>
  <c r="H455" i="93"/>
  <c r="H454" i="93"/>
  <c r="L453" i="93"/>
  <c r="H453" i="93"/>
  <c r="E453" i="93"/>
  <c r="C453" i="93"/>
  <c r="G453" i="93" s="1"/>
  <c r="L452" i="93"/>
  <c r="H452" i="93"/>
  <c r="E452" i="93"/>
  <c r="C452" i="93" s="1"/>
  <c r="L451" i="93"/>
  <c r="H451" i="93"/>
  <c r="E443" i="93"/>
  <c r="L438" i="93"/>
  <c r="E438" i="93"/>
  <c r="C438" i="93" s="1"/>
  <c r="K438" i="93" s="1"/>
  <c r="E437" i="93"/>
  <c r="C437" i="93"/>
  <c r="K437" i="93" s="1"/>
  <c r="M436" i="93"/>
  <c r="M435" i="93"/>
  <c r="E435" i="93"/>
  <c r="L434" i="93"/>
  <c r="L433" i="93"/>
  <c r="E433" i="93"/>
  <c r="C433" i="93"/>
  <c r="K433" i="93" s="1"/>
  <c r="L432" i="93"/>
  <c r="E432" i="93"/>
  <c r="E425" i="93"/>
  <c r="L419" i="93"/>
  <c r="E419" i="93"/>
  <c r="C419" i="93" s="1"/>
  <c r="K419" i="93" s="1"/>
  <c r="E418" i="93"/>
  <c r="C418" i="93"/>
  <c r="K418" i="93" s="1"/>
  <c r="L417" i="93"/>
  <c r="K417" i="93"/>
  <c r="L416" i="93"/>
  <c r="M416" i="93" s="1"/>
  <c r="K416" i="93"/>
  <c r="E416" i="93"/>
  <c r="L415" i="93"/>
  <c r="M415" i="93" s="1"/>
  <c r="E415" i="93"/>
  <c r="C415" i="93"/>
  <c r="K415" i="93" s="1"/>
  <c r="L414" i="93"/>
  <c r="M414" i="93" s="1"/>
  <c r="E414" i="93"/>
  <c r="C414" i="93"/>
  <c r="K414" i="93" s="1"/>
  <c r="L413" i="93"/>
  <c r="E407" i="93"/>
  <c r="E405" i="93"/>
  <c r="L400" i="93"/>
  <c r="K400" i="93"/>
  <c r="L399" i="93"/>
  <c r="E399" i="93"/>
  <c r="C399" i="93" s="1"/>
  <c r="K399" i="93" s="1"/>
  <c r="M399" i="93" s="1"/>
  <c r="E398" i="93"/>
  <c r="C398" i="93"/>
  <c r="K398" i="93" s="1"/>
  <c r="L397" i="93"/>
  <c r="E397" i="93"/>
  <c r="C397" i="93"/>
  <c r="K397" i="93" s="1"/>
  <c r="L396" i="93"/>
  <c r="M396" i="93" s="1"/>
  <c r="L395" i="93"/>
  <c r="B392" i="93"/>
  <c r="E389" i="93"/>
  <c r="E387" i="93"/>
  <c r="E386" i="93"/>
  <c r="L382" i="93"/>
  <c r="E382" i="93"/>
  <c r="C382" i="93"/>
  <c r="K382" i="93" s="1"/>
  <c r="E381" i="93"/>
  <c r="C381" i="93" s="1"/>
  <c r="K381" i="93" s="1"/>
  <c r="M380" i="93"/>
  <c r="L379" i="93"/>
  <c r="L378" i="93"/>
  <c r="K377" i="93"/>
  <c r="M377" i="93" s="1"/>
  <c r="E377" i="93"/>
  <c r="L376" i="93"/>
  <c r="E376" i="93"/>
  <c r="C376" i="93" s="1"/>
  <c r="K376" i="93" s="1"/>
  <c r="B373" i="93"/>
  <c r="E370" i="93"/>
  <c r="E368" i="93"/>
  <c r="E367" i="93"/>
  <c r="L363" i="93"/>
  <c r="H363" i="93"/>
  <c r="H362" i="93"/>
  <c r="E362" i="93"/>
  <c r="C362" i="93" s="1"/>
  <c r="L361" i="93"/>
  <c r="H361" i="93"/>
  <c r="E361" i="93"/>
  <c r="C361" i="93" s="1"/>
  <c r="H360" i="93"/>
  <c r="E360" i="93"/>
  <c r="C360" i="93"/>
  <c r="L359" i="93"/>
  <c r="H359" i="93"/>
  <c r="E359" i="93"/>
  <c r="C359" i="93"/>
  <c r="H358" i="93"/>
  <c r="E358" i="93"/>
  <c r="C358" i="93" s="1"/>
  <c r="H357" i="93"/>
  <c r="I357" i="93" s="1"/>
  <c r="G357" i="93"/>
  <c r="K357" i="93"/>
  <c r="E357" i="93"/>
  <c r="H356" i="93"/>
  <c r="G356" i="93"/>
  <c r="K356" i="93"/>
  <c r="E356" i="93"/>
  <c r="L355" i="93"/>
  <c r="H355" i="93"/>
  <c r="E355" i="93"/>
  <c r="C355" i="93" s="1"/>
  <c r="H354" i="93"/>
  <c r="E354" i="93"/>
  <c r="C354" i="93"/>
  <c r="G354" i="93" s="1"/>
  <c r="L353" i="93"/>
  <c r="H353" i="93"/>
  <c r="E353" i="93"/>
  <c r="C353" i="93" s="1"/>
  <c r="G353" i="93" s="1"/>
  <c r="E346" i="93"/>
  <c r="E342" i="93"/>
  <c r="E341" i="93"/>
  <c r="E340" i="93"/>
  <c r="E339" i="93"/>
  <c r="E333" i="93"/>
  <c r="E331" i="93"/>
  <c r="E330" i="93"/>
  <c r="E329" i="93"/>
  <c r="E325" i="93"/>
  <c r="Y320" i="93"/>
  <c r="P320" i="93"/>
  <c r="H320" i="93"/>
  <c r="E320" i="93"/>
  <c r="C320" i="93"/>
  <c r="H319" i="93"/>
  <c r="H318" i="93"/>
  <c r="H317" i="93"/>
  <c r="E317" i="93"/>
  <c r="C317" i="93" s="1"/>
  <c r="L316" i="93"/>
  <c r="E39" i="76" s="1"/>
  <c r="H39" i="76" s="1"/>
  <c r="AI316" i="93" s="1"/>
  <c r="H316" i="93"/>
  <c r="L315" i="93"/>
  <c r="E38" i="76" s="1"/>
  <c r="H38" i="76" s="1"/>
  <c r="AI315" i="93" s="1"/>
  <c r="H315" i="93"/>
  <c r="E315" i="93"/>
  <c r="C315" i="93" s="1"/>
  <c r="L314" i="93"/>
  <c r="E37" i="76" s="1"/>
  <c r="H37" i="76" s="1"/>
  <c r="AI314" i="93" s="1"/>
  <c r="H314" i="93"/>
  <c r="B311" i="93"/>
  <c r="E304" i="93"/>
  <c r="E302" i="93"/>
  <c r="E301" i="93"/>
  <c r="E295" i="93"/>
  <c r="E309" i="93" s="1"/>
  <c r="E294" i="93"/>
  <c r="E293" i="93"/>
  <c r="E292" i="93"/>
  <c r="E283" i="93"/>
  <c r="L282" i="93"/>
  <c r="E49" i="76" s="1"/>
  <c r="H49" i="76" s="1"/>
  <c r="AI282" i="93" s="1"/>
  <c r="E282" i="93"/>
  <c r="C282" i="93" s="1"/>
  <c r="K282" i="93" s="1"/>
  <c r="M282" i="93" s="1"/>
  <c r="E275" i="93"/>
  <c r="E273" i="93"/>
  <c r="E271" i="93"/>
  <c r="E269" i="93"/>
  <c r="E268" i="93"/>
  <c r="E267" i="93"/>
  <c r="E263" i="93"/>
  <c r="E262" i="93"/>
  <c r="E261" i="93"/>
  <c r="E260" i="93"/>
  <c r="E259" i="93"/>
  <c r="H252" i="93"/>
  <c r="H251" i="93"/>
  <c r="E251" i="93"/>
  <c r="C251" i="93" s="1"/>
  <c r="G251" i="93" s="1"/>
  <c r="I251" i="93" s="1"/>
  <c r="H250" i="93"/>
  <c r="E250" i="93"/>
  <c r="C250" i="93" s="1"/>
  <c r="L249" i="93"/>
  <c r="H249" i="93"/>
  <c r="E243" i="93"/>
  <c r="E242" i="93"/>
  <c r="E241" i="93"/>
  <c r="E240" i="93"/>
  <c r="E237" i="93"/>
  <c r="E232" i="93"/>
  <c r="E231" i="93"/>
  <c r="E230" i="93"/>
  <c r="E229" i="93"/>
  <c r="E227" i="93"/>
  <c r="E222" i="93"/>
  <c r="H219" i="93"/>
  <c r="C219" i="93"/>
  <c r="H218" i="93"/>
  <c r="H217" i="93"/>
  <c r="L216" i="93"/>
  <c r="H216" i="93"/>
  <c r="E216" i="93"/>
  <c r="E208" i="93"/>
  <c r="E207" i="93"/>
  <c r="E206" i="93"/>
  <c r="E205" i="93"/>
  <c r="E204" i="93"/>
  <c r="E198" i="93"/>
  <c r="E196" i="93"/>
  <c r="E195" i="93"/>
  <c r="H186" i="93"/>
  <c r="E186" i="93"/>
  <c r="C186" i="93" s="1"/>
  <c r="G186" i="93" s="1"/>
  <c r="L185" i="93"/>
  <c r="H185" i="93"/>
  <c r="E185" i="93"/>
  <c r="C185" i="93"/>
  <c r="G185" i="93" s="1"/>
  <c r="E179" i="93"/>
  <c r="E178" i="93"/>
  <c r="E176" i="93"/>
  <c r="E174" i="93"/>
  <c r="E173" i="93"/>
  <c r="E167" i="93"/>
  <c r="E166" i="93"/>
  <c r="E165" i="93"/>
  <c r="E160" i="93"/>
  <c r="E159" i="93"/>
  <c r="E156" i="93"/>
  <c r="H153" i="93"/>
  <c r="E153" i="93"/>
  <c r="C153" i="93"/>
  <c r="G153" i="93" s="1"/>
  <c r="I153" i="93" s="1"/>
  <c r="H152" i="93"/>
  <c r="I152" i="93" s="1"/>
  <c r="E152" i="93"/>
  <c r="C152" i="93"/>
  <c r="G152" i="93" s="1"/>
  <c r="H151" i="93"/>
  <c r="L150" i="93"/>
  <c r="H150" i="93"/>
  <c r="E150" i="93"/>
  <c r="C150" i="93"/>
  <c r="E143" i="93"/>
  <c r="E139" i="93"/>
  <c r="E138" i="93"/>
  <c r="E137" i="93"/>
  <c r="E132" i="93"/>
  <c r="E131" i="93"/>
  <c r="E130" i="93"/>
  <c r="E127" i="93"/>
  <c r="E124" i="93"/>
  <c r="E121" i="93"/>
  <c r="X118" i="93"/>
  <c r="H118" i="93"/>
  <c r="E118" i="93"/>
  <c r="C118" i="93" s="1"/>
  <c r="X117" i="93"/>
  <c r="H117" i="93"/>
  <c r="X116" i="93"/>
  <c r="H116" i="93"/>
  <c r="L115" i="93"/>
  <c r="E29" i="76" s="1"/>
  <c r="H29" i="76" s="1"/>
  <c r="AI115" i="93" s="1"/>
  <c r="H115" i="93"/>
  <c r="E115" i="93"/>
  <c r="C115" i="93" s="1"/>
  <c r="B111" i="93"/>
  <c r="E108" i="93"/>
  <c r="E107" i="93"/>
  <c r="E106" i="93"/>
  <c r="E105" i="93"/>
  <c r="E104" i="93"/>
  <c r="E103" i="93"/>
  <c r="E102" i="93"/>
  <c r="E97" i="93"/>
  <c r="E96" i="93"/>
  <c r="E95" i="93"/>
  <c r="E94" i="93"/>
  <c r="E89" i="93"/>
  <c r="E86" i="93"/>
  <c r="H83" i="93"/>
  <c r="E83" i="93"/>
  <c r="C83" i="93"/>
  <c r="H82" i="93"/>
  <c r="H81" i="93"/>
  <c r="L80" i="93"/>
  <c r="E21" i="76" s="1"/>
  <c r="H21" i="76" s="1"/>
  <c r="AI80" i="93" s="1"/>
  <c r="H80" i="93"/>
  <c r="E80" i="93"/>
  <c r="C80" i="93"/>
  <c r="B76" i="93"/>
  <c r="E70" i="93"/>
  <c r="E68" i="93"/>
  <c r="E66" i="93"/>
  <c r="E62" i="93"/>
  <c r="E61" i="93"/>
  <c r="E60" i="93"/>
  <c r="E58" i="93"/>
  <c r="E55" i="93"/>
  <c r="E54" i="93"/>
  <c r="E53" i="93"/>
  <c r="E52" i="93"/>
  <c r="E11" i="97"/>
  <c r="L47" i="93"/>
  <c r="H44" i="93"/>
  <c r="L43" i="93"/>
  <c r="E15" i="76" s="1"/>
  <c r="H15" i="76" s="1"/>
  <c r="AI43" i="93" s="1"/>
  <c r="H43" i="93"/>
  <c r="E43" i="93"/>
  <c r="C43" i="93"/>
  <c r="B39" i="93"/>
  <c r="E36" i="93"/>
  <c r="E31" i="93"/>
  <c r="E26" i="93"/>
  <c r="E25" i="93"/>
  <c r="E24" i="93"/>
  <c r="E23" i="93"/>
  <c r="E18" i="93"/>
  <c r="E17" i="93"/>
  <c r="E16" i="93"/>
  <c r="L13" i="93"/>
  <c r="E7" i="97"/>
  <c r="E13" i="93"/>
  <c r="L11" i="93"/>
  <c r="L7" i="93"/>
  <c r="E9" i="76" s="1"/>
  <c r="H9" i="76" s="1"/>
  <c r="AI7" i="93" s="1"/>
  <c r="H131" i="107"/>
  <c r="V71" i="104"/>
  <c r="N79" i="104"/>
  <c r="D80" i="104"/>
  <c r="T80" i="104"/>
  <c r="M576" i="93"/>
  <c r="O91" i="107"/>
  <c r="E129" i="107"/>
  <c r="M129" i="107"/>
  <c r="H91" i="107"/>
  <c r="H93" i="107" s="1"/>
  <c r="H159" i="107"/>
  <c r="H161" i="107" s="1"/>
  <c r="N148" i="107"/>
  <c r="AB71" i="107"/>
  <c r="J129" i="107"/>
  <c r="P144" i="107"/>
  <c r="P146" i="107" s="1"/>
  <c r="W117" i="93"/>
  <c r="W318" i="93" s="1"/>
  <c r="Y318" i="93" s="1"/>
  <c r="J30" i="104"/>
  <c r="J33" i="104" s="1"/>
  <c r="Z30" i="104"/>
  <c r="F32" i="104"/>
  <c r="F35" i="104" s="1"/>
  <c r="F109" i="104" s="1"/>
  <c r="V32" i="104"/>
  <c r="D7" i="104"/>
  <c r="E93" i="107"/>
  <c r="E94" i="107" s="1"/>
  <c r="M91" i="107"/>
  <c r="J32" i="104"/>
  <c r="L7" i="104"/>
  <c r="N93" i="107"/>
  <c r="O51" i="107"/>
  <c r="R221" i="102"/>
  <c r="N7" i="104"/>
  <c r="N8" i="104" s="1"/>
  <c r="F20" i="105"/>
  <c r="AD88" i="107"/>
  <c r="AE88" i="107"/>
  <c r="F159" i="107"/>
  <c r="F161" i="107"/>
  <c r="O159" i="107"/>
  <c r="O161" i="107"/>
  <c r="I478" i="93"/>
  <c r="X79" i="104"/>
  <c r="T7" i="104"/>
  <c r="T8" i="104" s="1"/>
  <c r="F144" i="107"/>
  <c r="O144" i="107"/>
  <c r="E425" i="103"/>
  <c r="M425" i="103"/>
  <c r="Q51" i="103"/>
  <c r="V7" i="104"/>
  <c r="V8" i="104"/>
  <c r="I63" i="107"/>
  <c r="F129" i="107"/>
  <c r="O129" i="107"/>
  <c r="G22" i="107"/>
  <c r="G23" i="107" s="1"/>
  <c r="AD196" i="102"/>
  <c r="P89" i="104"/>
  <c r="V48" i="107"/>
  <c r="I159" i="107"/>
  <c r="I161" i="107" s="1"/>
  <c r="K151" i="93"/>
  <c r="M151" i="93" s="1"/>
  <c r="O425" i="103"/>
  <c r="W30" i="107"/>
  <c r="L144" i="107"/>
  <c r="L146" i="107"/>
  <c r="AD355" i="102"/>
  <c r="J81" i="104"/>
  <c r="N30" i="104"/>
  <c r="D31" i="104"/>
  <c r="D34" i="104" s="1"/>
  <c r="T31" i="104"/>
  <c r="T34" i="104" s="1"/>
  <c r="Z32" i="104"/>
  <c r="T59" i="104"/>
  <c r="H71" i="104"/>
  <c r="X71" i="104"/>
  <c r="M553" i="93"/>
  <c r="H425" i="103"/>
  <c r="N428" i="103"/>
  <c r="R7" i="104"/>
  <c r="R8" i="104" s="1"/>
  <c r="P63" i="107"/>
  <c r="L129" i="107"/>
  <c r="M144" i="107"/>
  <c r="I144" i="107"/>
  <c r="I146" i="107" s="1"/>
  <c r="I178" i="107" s="1"/>
  <c r="H32" i="104"/>
  <c r="H35" i="104" s="1"/>
  <c r="H109" i="104" s="1"/>
  <c r="E371" i="93"/>
  <c r="M417" i="93"/>
  <c r="F89" i="104"/>
  <c r="V89" i="104"/>
  <c r="I425" i="103"/>
  <c r="F428" i="103"/>
  <c r="I51" i="107"/>
  <c r="K51" i="107"/>
  <c r="H63" i="107"/>
  <c r="M434" i="93"/>
  <c r="AD27" i="102"/>
  <c r="R31" i="104"/>
  <c r="R34" i="104" s="1"/>
  <c r="Z81" i="104"/>
  <c r="V221" i="102"/>
  <c r="Q162" i="103"/>
  <c r="X46" i="107"/>
  <c r="AB46" i="107" s="1"/>
  <c r="X32" i="104"/>
  <c r="E363" i="93"/>
  <c r="C363" i="93" s="1"/>
  <c r="G363" i="93"/>
  <c r="E154" i="93"/>
  <c r="E187" i="93"/>
  <c r="E390" i="93"/>
  <c r="Z7" i="104"/>
  <c r="M378" i="93"/>
  <c r="R10" i="104"/>
  <c r="H30" i="104"/>
  <c r="N31" i="104"/>
  <c r="D32" i="104"/>
  <c r="D35" i="104" s="1"/>
  <c r="T32" i="104"/>
  <c r="J222" i="102"/>
  <c r="D78" i="104"/>
  <c r="J7" i="104"/>
  <c r="J8" i="104" s="1"/>
  <c r="H20" i="105"/>
  <c r="H38" i="107"/>
  <c r="D63" i="107"/>
  <c r="L63" i="107"/>
  <c r="K73" i="107"/>
  <c r="K75" i="107" s="1"/>
  <c r="N108" i="107"/>
  <c r="X125" i="107"/>
  <c r="AB125" i="107" s="1"/>
  <c r="I129" i="107"/>
  <c r="J144" i="107"/>
  <c r="J146" i="107"/>
  <c r="J178" i="107" s="1"/>
  <c r="J159" i="107"/>
  <c r="J161" i="107"/>
  <c r="G480" i="93"/>
  <c r="I480" i="93" s="1"/>
  <c r="G504" i="93"/>
  <c r="K504" i="93"/>
  <c r="M504" i="93"/>
  <c r="C8" i="93"/>
  <c r="K8" i="93" s="1"/>
  <c r="E211" i="93"/>
  <c r="E509" i="93"/>
  <c r="G451" i="93"/>
  <c r="K451" i="93" s="1"/>
  <c r="M451" i="93" s="1"/>
  <c r="G482" i="93"/>
  <c r="M535" i="93"/>
  <c r="M400" i="93"/>
  <c r="E541" i="93"/>
  <c r="AD68" i="102"/>
  <c r="H22" i="104"/>
  <c r="X22" i="104"/>
  <c r="AC112" i="104"/>
  <c r="Z221" i="102"/>
  <c r="N222" i="102"/>
  <c r="P58" i="104"/>
  <c r="V59" i="104"/>
  <c r="L60" i="104"/>
  <c r="R61" i="104"/>
  <c r="AD333" i="102"/>
  <c r="X68" i="104"/>
  <c r="N69" i="104"/>
  <c r="D70" i="104"/>
  <c r="T70" i="104"/>
  <c r="J71" i="104"/>
  <c r="Z71" i="104"/>
  <c r="R79" i="104"/>
  <c r="L425" i="103"/>
  <c r="N15" i="107"/>
  <c r="X33" i="107"/>
  <c r="AB33" i="107" s="1"/>
  <c r="I38" i="107"/>
  <c r="K38" i="107"/>
  <c r="AB102" i="107"/>
  <c r="V126" i="107"/>
  <c r="V10" i="104"/>
  <c r="V100" i="104" s="1"/>
  <c r="E39" i="99" s="1"/>
  <c r="O429" i="103"/>
  <c r="G219" i="93"/>
  <c r="G83" i="93"/>
  <c r="E408" i="93"/>
  <c r="E446" i="93"/>
  <c r="AD24" i="102"/>
  <c r="D21" i="104"/>
  <c r="T21" i="104"/>
  <c r="J22" i="104"/>
  <c r="Z22" i="104"/>
  <c r="AB221" i="102"/>
  <c r="P222" i="102"/>
  <c r="R87" i="104"/>
  <c r="AD260" i="102"/>
  <c r="AD274" i="102"/>
  <c r="AD285" i="102"/>
  <c r="H59" i="104"/>
  <c r="X59" i="104"/>
  <c r="T61" i="104"/>
  <c r="P69" i="104"/>
  <c r="L71" i="104"/>
  <c r="D79" i="104"/>
  <c r="T79" i="104"/>
  <c r="AD393" i="102"/>
  <c r="U430" i="102"/>
  <c r="J425" i="103"/>
  <c r="Q122" i="103"/>
  <c r="V35" i="107"/>
  <c r="D51" i="107"/>
  <c r="D53" i="107" s="1"/>
  <c r="L51" i="107"/>
  <c r="W121" i="107"/>
  <c r="K129" i="107"/>
  <c r="V138" i="107"/>
  <c r="K159" i="107"/>
  <c r="K161" i="107" s="1"/>
  <c r="E473" i="93"/>
  <c r="W136" i="107"/>
  <c r="M433" i="93"/>
  <c r="K478" i="93"/>
  <c r="M478" i="93"/>
  <c r="AD177" i="102"/>
  <c r="R19" i="104"/>
  <c r="R23" i="104" s="1"/>
  <c r="V222" i="102"/>
  <c r="P49" i="104"/>
  <c r="D87" i="104"/>
  <c r="T87" i="104"/>
  <c r="J59" i="104"/>
  <c r="Z59" i="104"/>
  <c r="P60" i="104"/>
  <c r="V61" i="104"/>
  <c r="L68" i="104"/>
  <c r="H70" i="104"/>
  <c r="P78" i="104"/>
  <c r="K425" i="103"/>
  <c r="L72" i="107"/>
  <c r="L73" i="107" s="1"/>
  <c r="V101" i="107"/>
  <c r="V139" i="107"/>
  <c r="H144" i="107"/>
  <c r="D159" i="107"/>
  <c r="D161" i="107"/>
  <c r="L159" i="107"/>
  <c r="L161" i="107" s="1"/>
  <c r="H29" i="105"/>
  <c r="W96" i="107"/>
  <c r="M557" i="93"/>
  <c r="AD148" i="102"/>
  <c r="C174" i="102"/>
  <c r="P40" i="104"/>
  <c r="F221" i="102"/>
  <c r="X222" i="102"/>
  <c r="L89" i="104"/>
  <c r="AD257" i="102"/>
  <c r="AD271" i="102"/>
  <c r="D62" i="104"/>
  <c r="H61" i="104"/>
  <c r="P71" i="104"/>
  <c r="D81" i="104"/>
  <c r="T81" i="104"/>
  <c r="H7" i="104"/>
  <c r="X7" i="104"/>
  <c r="X8" i="104"/>
  <c r="J16" i="106"/>
  <c r="E131" i="107"/>
  <c r="E177" i="107"/>
  <c r="M131" i="107"/>
  <c r="E159" i="107"/>
  <c r="E161" i="107"/>
  <c r="M159" i="107"/>
  <c r="M161" i="107" s="1"/>
  <c r="I451" i="93"/>
  <c r="P21" i="104"/>
  <c r="AD151" i="102"/>
  <c r="AD336" i="102"/>
  <c r="P7" i="104"/>
  <c r="P8" i="104" s="1"/>
  <c r="I83" i="93"/>
  <c r="E144" i="93"/>
  <c r="E277" i="93"/>
  <c r="E348" i="93"/>
  <c r="I353" i="93"/>
  <c r="M419" i="93"/>
  <c r="E496" i="93"/>
  <c r="E585" i="93"/>
  <c r="AD98" i="102"/>
  <c r="D20" i="104"/>
  <c r="T20" i="104"/>
  <c r="J21" i="104"/>
  <c r="Z21" i="104"/>
  <c r="X41" i="104"/>
  <c r="J221" i="102"/>
  <c r="F222" i="102"/>
  <c r="Z222" i="102"/>
  <c r="N89" i="104"/>
  <c r="H87" i="104"/>
  <c r="X87" i="104"/>
  <c r="H58" i="104"/>
  <c r="X58" i="104"/>
  <c r="P68" i="104"/>
  <c r="P72" i="104" s="1"/>
  <c r="T78" i="104"/>
  <c r="P80" i="104"/>
  <c r="F81" i="104"/>
  <c r="V81" i="104"/>
  <c r="E429" i="103"/>
  <c r="J28" i="105"/>
  <c r="G20" i="105"/>
  <c r="O20" i="105"/>
  <c r="F27" i="105"/>
  <c r="F28" i="105"/>
  <c r="F29" i="105" s="1"/>
  <c r="H23" i="107"/>
  <c r="H25" i="107"/>
  <c r="W43" i="107"/>
  <c r="J131" i="107"/>
  <c r="J177" i="107" s="1"/>
  <c r="C218" i="93"/>
  <c r="G218" i="93"/>
  <c r="I504" i="93"/>
  <c r="AB116" i="104"/>
  <c r="S314" i="93" s="1"/>
  <c r="AJ314" i="93" s="1"/>
  <c r="L221" i="102"/>
  <c r="H222" i="102"/>
  <c r="AB222" i="102"/>
  <c r="J87" i="104"/>
  <c r="Z87" i="104"/>
  <c r="AD313" i="102"/>
  <c r="F78" i="104"/>
  <c r="V78" i="104"/>
  <c r="R80" i="104"/>
  <c r="H81" i="104"/>
  <c r="F425" i="103"/>
  <c r="F429" i="103" s="1"/>
  <c r="N425" i="103"/>
  <c r="N429" i="103"/>
  <c r="Q422" i="103"/>
  <c r="M428" i="103"/>
  <c r="M429" i="103" s="1"/>
  <c r="G27" i="105"/>
  <c r="G28" i="105"/>
  <c r="O38" i="107"/>
  <c r="O175" i="107" s="1"/>
  <c r="O192" i="107" s="1"/>
  <c r="I73" i="107"/>
  <c r="I75" i="107"/>
  <c r="F25" i="107"/>
  <c r="D38" i="107"/>
  <c r="L38" i="107"/>
  <c r="L175" i="107" s="1"/>
  <c r="L192" i="107"/>
  <c r="E51" i="107"/>
  <c r="E175" i="107" s="1"/>
  <c r="M51" i="107"/>
  <c r="M175" i="107" s="1"/>
  <c r="M192" i="107" s="1"/>
  <c r="K63" i="107"/>
  <c r="K146" i="107"/>
  <c r="K178" i="107" s="1"/>
  <c r="G91" i="107"/>
  <c r="G93" i="107"/>
  <c r="K131" i="107"/>
  <c r="K177" i="107"/>
  <c r="G25" i="107"/>
  <c r="G38" i="107"/>
  <c r="P38" i="107"/>
  <c r="P175" i="107" s="1"/>
  <c r="H51" i="107"/>
  <c r="H175" i="107"/>
  <c r="D73" i="107"/>
  <c r="D75" i="107"/>
  <c r="D77" i="107"/>
  <c r="D91" i="107"/>
  <c r="D93" i="107"/>
  <c r="L131" i="107"/>
  <c r="L177" i="107" s="1"/>
  <c r="L194" i="107" s="1"/>
  <c r="F146" i="107"/>
  <c r="O146" i="107"/>
  <c r="O178" i="107"/>
  <c r="O195" i="107" s="1"/>
  <c r="L75" i="107"/>
  <c r="J91" i="107"/>
  <c r="J93" i="107" s="1"/>
  <c r="N118" i="107"/>
  <c r="I131" i="107"/>
  <c r="I177" i="107"/>
  <c r="H146" i="107"/>
  <c r="H178" i="107" s="1"/>
  <c r="D163" i="107"/>
  <c r="E162" i="107"/>
  <c r="E163" i="107" s="1"/>
  <c r="E164" i="107" s="1"/>
  <c r="P91" i="107"/>
  <c r="N133" i="107"/>
  <c r="N178" i="107"/>
  <c r="E45" i="93"/>
  <c r="K83" i="93"/>
  <c r="M83" i="93" s="1"/>
  <c r="G361" i="93"/>
  <c r="I361" i="93"/>
  <c r="I354" i="93"/>
  <c r="E182" i="93"/>
  <c r="C182" i="93" s="1"/>
  <c r="G508" i="93"/>
  <c r="I508" i="93" s="1"/>
  <c r="K354" i="93"/>
  <c r="E420" i="93"/>
  <c r="C413" i="93"/>
  <c r="K413" i="93"/>
  <c r="M413" i="93" s="1"/>
  <c r="K186" i="93"/>
  <c r="M186" i="93" s="1"/>
  <c r="G362" i="93"/>
  <c r="K362" i="93" s="1"/>
  <c r="G457" i="93"/>
  <c r="M8" i="93"/>
  <c r="I185" i="93"/>
  <c r="M592" i="93"/>
  <c r="G250" i="93"/>
  <c r="C283" i="93"/>
  <c r="K283" i="93"/>
  <c r="M283" i="93"/>
  <c r="E285" i="93"/>
  <c r="E74" i="93"/>
  <c r="E244" i="93"/>
  <c r="AF320" i="93"/>
  <c r="AG320" i="93" s="1"/>
  <c r="AG321" i="93" s="1"/>
  <c r="Q320" i="93"/>
  <c r="Q321" i="93" s="1"/>
  <c r="Q589" i="93" s="1"/>
  <c r="K353" i="93"/>
  <c r="M353" i="93" s="1"/>
  <c r="I356" i="93"/>
  <c r="M376" i="93"/>
  <c r="K152" i="93"/>
  <c r="M152" i="93"/>
  <c r="C249" i="93"/>
  <c r="E321" i="93"/>
  <c r="G355" i="93"/>
  <c r="I355" i="93" s="1"/>
  <c r="E383" i="93"/>
  <c r="C395" i="93"/>
  <c r="K395" i="93" s="1"/>
  <c r="M395" i="93" s="1"/>
  <c r="E401" i="93"/>
  <c r="E410" i="93" s="1"/>
  <c r="C410" i="93" s="1"/>
  <c r="I484" i="93"/>
  <c r="E560" i="93"/>
  <c r="C554" i="93"/>
  <c r="K554" i="93" s="1"/>
  <c r="M554" i="93" s="1"/>
  <c r="M560" i="93" s="1"/>
  <c r="E439" i="93"/>
  <c r="E448" i="93"/>
  <c r="C448" i="93" s="1"/>
  <c r="C432" i="93"/>
  <c r="K432" i="93"/>
  <c r="M432" i="93" s="1"/>
  <c r="E485" i="93"/>
  <c r="G360" i="93"/>
  <c r="I360" i="93"/>
  <c r="M379" i="93"/>
  <c r="I453" i="93"/>
  <c r="G483" i="93"/>
  <c r="M534" i="93"/>
  <c r="M577" i="93"/>
  <c r="M397" i="93"/>
  <c r="K453" i="93"/>
  <c r="M453" i="93"/>
  <c r="K481" i="93"/>
  <c r="M481" i="93"/>
  <c r="G359" i="93"/>
  <c r="I359" i="93" s="1"/>
  <c r="E458" i="93"/>
  <c r="E475" i="93" s="1"/>
  <c r="C475" i="93" s="1"/>
  <c r="K456" i="93"/>
  <c r="M456" i="93"/>
  <c r="K479" i="93"/>
  <c r="M479" i="93"/>
  <c r="K484" i="93"/>
  <c r="M484" i="93" s="1"/>
  <c r="M559" i="93"/>
  <c r="E578" i="93"/>
  <c r="C574" i="93"/>
  <c r="K574" i="93"/>
  <c r="M574" i="93" s="1"/>
  <c r="M578" i="93" s="1"/>
  <c r="K455" i="93"/>
  <c r="M455" i="93" s="1"/>
  <c r="S115" i="93"/>
  <c r="T115" i="93" s="1"/>
  <c r="F6" i="108"/>
  <c r="F7" i="108"/>
  <c r="F8" i="108" s="1"/>
  <c r="F9" i="108" s="1"/>
  <c r="F10" i="108" s="1"/>
  <c r="F11" i="108" s="1"/>
  <c r="F12" i="108" s="1"/>
  <c r="F13" i="108" s="1"/>
  <c r="F14" i="108" s="1"/>
  <c r="F15" i="108" s="1"/>
  <c r="F16" i="108" s="1"/>
  <c r="F17" i="108" s="1"/>
  <c r="F18" i="108" s="1"/>
  <c r="H90" i="104"/>
  <c r="H48" i="104"/>
  <c r="J35" i="104"/>
  <c r="H41" i="104"/>
  <c r="AD316" i="102"/>
  <c r="AD409" i="102"/>
  <c r="G428" i="102"/>
  <c r="G430" i="102" s="1"/>
  <c r="W428" i="102"/>
  <c r="W430" i="102" s="1"/>
  <c r="F40" i="104"/>
  <c r="F42" i="104"/>
  <c r="F100" i="104"/>
  <c r="E31" i="99" s="1"/>
  <c r="AD43" i="102"/>
  <c r="AD71" i="102"/>
  <c r="AD214" i="102"/>
  <c r="V91" i="104"/>
  <c r="V49" i="104"/>
  <c r="J36" i="104"/>
  <c r="AB36" i="104"/>
  <c r="AB33" i="104"/>
  <c r="Z33" i="104"/>
  <c r="J19" i="104"/>
  <c r="J23" i="104" s="1"/>
  <c r="Z19" i="104"/>
  <c r="Z23" i="104" s="1"/>
  <c r="F52" i="104"/>
  <c r="H434" i="102"/>
  <c r="H435" i="102" s="1"/>
  <c r="H436" i="102"/>
  <c r="V52" i="104"/>
  <c r="X436" i="102"/>
  <c r="X434" i="102"/>
  <c r="X435" i="102" s="1"/>
  <c r="P88" i="104"/>
  <c r="L33" i="104"/>
  <c r="AA35" i="104"/>
  <c r="AD193" i="102"/>
  <c r="D90" i="104"/>
  <c r="D48" i="104"/>
  <c r="T90" i="104"/>
  <c r="T48" i="104"/>
  <c r="J91" i="104"/>
  <c r="J49" i="104"/>
  <c r="Z91" i="104"/>
  <c r="Z49" i="104"/>
  <c r="AB45" i="104"/>
  <c r="P92" i="104"/>
  <c r="P50" i="104"/>
  <c r="F93" i="104"/>
  <c r="F51" i="104"/>
  <c r="V93" i="104"/>
  <c r="V51" i="104"/>
  <c r="AD288" i="102"/>
  <c r="AD302" i="102"/>
  <c r="AB35" i="104"/>
  <c r="Z35" i="104"/>
  <c r="J42" i="104"/>
  <c r="J40" i="104"/>
  <c r="Z40" i="104"/>
  <c r="Z42" i="104"/>
  <c r="P41" i="104"/>
  <c r="H93" i="104"/>
  <c r="H51" i="104"/>
  <c r="AB100" i="104"/>
  <c r="R20" i="104"/>
  <c r="H21" i="104"/>
  <c r="X21" i="104"/>
  <c r="N22" i="104"/>
  <c r="V35" i="104"/>
  <c r="H42" i="104"/>
  <c r="H40" i="104"/>
  <c r="X42" i="104"/>
  <c r="X40" i="104"/>
  <c r="N41" i="104"/>
  <c r="D52" i="104"/>
  <c r="F436" i="102"/>
  <c r="F434" i="102"/>
  <c r="F435" i="102"/>
  <c r="T52" i="104"/>
  <c r="V436" i="102"/>
  <c r="V434" i="102"/>
  <c r="V435" i="102" s="1"/>
  <c r="R90" i="104"/>
  <c r="R48" i="104"/>
  <c r="H91" i="104"/>
  <c r="H49" i="104"/>
  <c r="X91" i="104"/>
  <c r="X49" i="104"/>
  <c r="AA45" i="104"/>
  <c r="N92" i="104"/>
  <c r="N50" i="104"/>
  <c r="D93" i="104"/>
  <c r="D51" i="104"/>
  <c r="T93" i="104"/>
  <c r="T51" i="104"/>
  <c r="N88" i="104"/>
  <c r="R62" i="104"/>
  <c r="D58" i="104"/>
  <c r="AD352" i="102"/>
  <c r="P83" i="104"/>
  <c r="L78" i="104"/>
  <c r="S428" i="102"/>
  <c r="S430" i="102" s="1"/>
  <c r="AD425" i="102"/>
  <c r="Q62" i="103"/>
  <c r="L8" i="104"/>
  <c r="C6" i="108"/>
  <c r="C7" i="108"/>
  <c r="C8" i="108" s="1"/>
  <c r="C9" i="108" s="1"/>
  <c r="C10" i="108" s="1"/>
  <c r="C11" i="108" s="1"/>
  <c r="C12" i="108" s="1"/>
  <c r="C13" i="108" s="1"/>
  <c r="C14" i="108" s="1"/>
  <c r="C15" i="108" s="1"/>
  <c r="C16" i="108" s="1"/>
  <c r="C17" i="108" s="1"/>
  <c r="C18" i="108" s="1"/>
  <c r="AB99" i="104"/>
  <c r="J8" i="99" s="1"/>
  <c r="AC100" i="104"/>
  <c r="AF74" i="102"/>
  <c r="F20" i="104"/>
  <c r="V20" i="104"/>
  <c r="L21" i="104"/>
  <c r="R22" i="104"/>
  <c r="N33" i="104"/>
  <c r="D19" i="104"/>
  <c r="D23" i="104"/>
  <c r="T19" i="104"/>
  <c r="T23" i="104"/>
  <c r="L42" i="104"/>
  <c r="L40" i="104"/>
  <c r="R41" i="104"/>
  <c r="H52" i="104"/>
  <c r="J436" i="102"/>
  <c r="J434" i="102"/>
  <c r="J435" i="102" s="1"/>
  <c r="X52" i="104"/>
  <c r="Z436" i="102"/>
  <c r="Z434" i="102"/>
  <c r="Z435" i="102"/>
  <c r="N221" i="102"/>
  <c r="R222" i="102"/>
  <c r="F90" i="104"/>
  <c r="F48" i="104"/>
  <c r="V90" i="104"/>
  <c r="V48" i="104"/>
  <c r="L91" i="104"/>
  <c r="L49" i="104"/>
  <c r="R92" i="104"/>
  <c r="R50" i="104"/>
  <c r="X93" i="104"/>
  <c r="AA93" i="104"/>
  <c r="X149" i="104" s="1"/>
  <c r="X150" i="104" s="1"/>
  <c r="AA47" i="104"/>
  <c r="AA51" i="104" s="1"/>
  <c r="R89" i="104"/>
  <c r="L87" i="104"/>
  <c r="R88" i="104"/>
  <c r="F62" i="104"/>
  <c r="V62" i="104"/>
  <c r="N59" i="104"/>
  <c r="L80" i="104"/>
  <c r="H429" i="103"/>
  <c r="P10" i="104"/>
  <c r="N21" i="104"/>
  <c r="D22" i="104"/>
  <c r="T22" i="104"/>
  <c r="P30" i="104"/>
  <c r="F31" i="104"/>
  <c r="F34" i="104" s="1"/>
  <c r="V31" i="104"/>
  <c r="V34" i="104" s="1"/>
  <c r="V108" i="104" s="1"/>
  <c r="L32" i="104"/>
  <c r="L35" i="104" s="1"/>
  <c r="L109" i="104" s="1"/>
  <c r="L110" i="104" s="1"/>
  <c r="G34" i="99" s="1"/>
  <c r="F19" i="104"/>
  <c r="F23" i="104" s="1"/>
  <c r="V19" i="104"/>
  <c r="V23" i="104" s="1"/>
  <c r="N42" i="104"/>
  <c r="N40" i="104"/>
  <c r="D41" i="104"/>
  <c r="T41" i="104"/>
  <c r="J52" i="104"/>
  <c r="L436" i="102"/>
  <c r="L434" i="102"/>
  <c r="L435" i="102" s="1"/>
  <c r="Z52" i="104"/>
  <c r="AB436" i="102"/>
  <c r="AB434" i="102"/>
  <c r="AB435" i="102"/>
  <c r="P221" i="102"/>
  <c r="X90" i="104"/>
  <c r="X48" i="104"/>
  <c r="N91" i="104"/>
  <c r="N49" i="104"/>
  <c r="D92" i="104"/>
  <c r="D50" i="104"/>
  <c r="T92" i="104"/>
  <c r="T50" i="104"/>
  <c r="J93" i="104"/>
  <c r="J51" i="104"/>
  <c r="AB93" i="104"/>
  <c r="Z93" i="104"/>
  <c r="Z119" i="104" s="1"/>
  <c r="AB47" i="104"/>
  <c r="AB51" i="104"/>
  <c r="Z51" i="104"/>
  <c r="D89" i="104"/>
  <c r="T89" i="104"/>
  <c r="N87" i="104"/>
  <c r="D88" i="104"/>
  <c r="T88" i="104"/>
  <c r="H62" i="104"/>
  <c r="X62" i="104"/>
  <c r="J58" i="104"/>
  <c r="H79" i="104"/>
  <c r="K428" i="102"/>
  <c r="K430" i="102" s="1"/>
  <c r="AA428" i="102"/>
  <c r="AA430" i="102" s="1"/>
  <c r="I429" i="103"/>
  <c r="H10" i="104"/>
  <c r="X10" i="104"/>
  <c r="X61" i="104"/>
  <c r="AC102" i="104"/>
  <c r="J20" i="104"/>
  <c r="Z20" i="104"/>
  <c r="F22" i="104"/>
  <c r="V22" i="104"/>
  <c r="AA34" i="104"/>
  <c r="X34" i="104"/>
  <c r="N35" i="104"/>
  <c r="AD174" i="102"/>
  <c r="H19" i="104"/>
  <c r="H23" i="104" s="1"/>
  <c r="X19" i="104"/>
  <c r="X23" i="104" s="1"/>
  <c r="I6" i="108"/>
  <c r="AB112" i="104"/>
  <c r="P42" i="104"/>
  <c r="F41" i="104"/>
  <c r="V41" i="104"/>
  <c r="N436" i="102"/>
  <c r="N434" i="102"/>
  <c r="N435" i="102"/>
  <c r="L52" i="104"/>
  <c r="J90" i="104"/>
  <c r="J48" i="104"/>
  <c r="Z90" i="104"/>
  <c r="Z116" i="104" s="1"/>
  <c r="AB44" i="104"/>
  <c r="AB90" i="104" s="1"/>
  <c r="Z146" i="104" s="1"/>
  <c r="Z48" i="104"/>
  <c r="P91" i="104"/>
  <c r="F92" i="104"/>
  <c r="F50" i="104"/>
  <c r="V50" i="104"/>
  <c r="V92" i="104"/>
  <c r="L51" i="104"/>
  <c r="L93" i="104"/>
  <c r="P87" i="104"/>
  <c r="F88" i="104"/>
  <c r="V88" i="104"/>
  <c r="J62" i="104"/>
  <c r="Z62" i="104"/>
  <c r="H83" i="104"/>
  <c r="X83" i="104"/>
  <c r="J79" i="104"/>
  <c r="Z79" i="104"/>
  <c r="J429" i="103"/>
  <c r="J10" i="104"/>
  <c r="Z10" i="104"/>
  <c r="D100" i="104"/>
  <c r="E30" i="99" s="1"/>
  <c r="T100" i="104"/>
  <c r="E38" i="99" s="1"/>
  <c r="L20" i="104"/>
  <c r="R21" i="104"/>
  <c r="T33" i="104"/>
  <c r="J34" i="104"/>
  <c r="AB34" i="104"/>
  <c r="Z34" i="104"/>
  <c r="P35" i="104"/>
  <c r="R42" i="104"/>
  <c r="R40" i="104"/>
  <c r="N52" i="104"/>
  <c r="P436" i="102"/>
  <c r="P434" i="102"/>
  <c r="P435" i="102"/>
  <c r="T221" i="102"/>
  <c r="L90" i="104"/>
  <c r="L48" i="104"/>
  <c r="R91" i="104"/>
  <c r="R49" i="104"/>
  <c r="H50" i="104"/>
  <c r="H92" i="104"/>
  <c r="AA46" i="104"/>
  <c r="X50" i="104"/>
  <c r="N93" i="104"/>
  <c r="N51" i="104"/>
  <c r="H89" i="104"/>
  <c r="X89" i="104"/>
  <c r="H88" i="104"/>
  <c r="X88" i="104"/>
  <c r="L62" i="104"/>
  <c r="D59" i="104"/>
  <c r="J83" i="104"/>
  <c r="Z83" i="104"/>
  <c r="L79" i="104"/>
  <c r="X81" i="104"/>
  <c r="AD382" i="102"/>
  <c r="M428" i="102"/>
  <c r="M430" i="102"/>
  <c r="AC428" i="102"/>
  <c r="AC430" i="102" s="1"/>
  <c r="Q402" i="103"/>
  <c r="L10" i="104"/>
  <c r="Z36" i="104"/>
  <c r="N20" i="104"/>
  <c r="AC107" i="104"/>
  <c r="F30" i="104"/>
  <c r="V30" i="104"/>
  <c r="L31" i="104"/>
  <c r="L34" i="104"/>
  <c r="R32" i="104"/>
  <c r="R35" i="104" s="1"/>
  <c r="L19" i="104"/>
  <c r="L23" i="104" s="1"/>
  <c r="D40" i="104"/>
  <c r="D42" i="104"/>
  <c r="T42" i="104"/>
  <c r="T40" i="104"/>
  <c r="J41" i="104"/>
  <c r="Z41" i="104"/>
  <c r="P52" i="104"/>
  <c r="R436" i="102"/>
  <c r="R434" i="102"/>
  <c r="R435" i="102" s="1"/>
  <c r="N90" i="104"/>
  <c r="N48" i="104"/>
  <c r="D49" i="104"/>
  <c r="D91" i="104"/>
  <c r="T91" i="104"/>
  <c r="T49" i="104"/>
  <c r="J92" i="104"/>
  <c r="J50" i="104"/>
  <c r="Z92" i="104"/>
  <c r="AB46" i="104"/>
  <c r="Z50" i="104"/>
  <c r="P93" i="104"/>
  <c r="P51" i="104"/>
  <c r="J89" i="104"/>
  <c r="Z89" i="104"/>
  <c r="J88" i="104"/>
  <c r="Z88" i="104"/>
  <c r="O428" i="102"/>
  <c r="O430" i="102" s="1"/>
  <c r="H8" i="104"/>
  <c r="N10" i="104"/>
  <c r="X92" i="104"/>
  <c r="X118" i="104" s="1"/>
  <c r="X120" i="104" s="1"/>
  <c r="AC99" i="104"/>
  <c r="D8" i="104"/>
  <c r="E6" i="108"/>
  <c r="E7" i="108"/>
  <c r="E8" i="108"/>
  <c r="E9" i="108" s="1"/>
  <c r="E10" i="108" s="1"/>
  <c r="E11" i="108" s="1"/>
  <c r="E12" i="108" s="1"/>
  <c r="E13" i="108" s="1"/>
  <c r="E14" i="108" s="1"/>
  <c r="E15" i="108" s="1"/>
  <c r="E16" i="108" s="1"/>
  <c r="E17" i="108" s="1"/>
  <c r="E18" i="108" s="1"/>
  <c r="AB102" i="104"/>
  <c r="J12" i="99" s="1"/>
  <c r="P20" i="104"/>
  <c r="F21" i="104"/>
  <c r="V21" i="104"/>
  <c r="L22" i="104"/>
  <c r="H33" i="104"/>
  <c r="T35" i="104"/>
  <c r="T109" i="104" s="1"/>
  <c r="AF154" i="102"/>
  <c r="N19" i="104"/>
  <c r="N23" i="104"/>
  <c r="V42" i="104"/>
  <c r="V40" i="104"/>
  <c r="L41" i="104"/>
  <c r="L113" i="104" s="1"/>
  <c r="R52" i="104"/>
  <c r="T436" i="102"/>
  <c r="T434" i="102"/>
  <c r="T435" i="102" s="1"/>
  <c r="H221" i="102"/>
  <c r="P48" i="104"/>
  <c r="P90" i="104"/>
  <c r="F91" i="104"/>
  <c r="F49" i="104"/>
  <c r="L92" i="104"/>
  <c r="L50" i="104"/>
  <c r="R93" i="104"/>
  <c r="R51" i="104"/>
  <c r="F87" i="104"/>
  <c r="V87" i="104"/>
  <c r="L88" i="104"/>
  <c r="P62" i="104"/>
  <c r="R58" i="104"/>
  <c r="N60" i="104"/>
  <c r="D61" i="104"/>
  <c r="F68" i="104"/>
  <c r="V68" i="104"/>
  <c r="R70" i="104"/>
  <c r="AD379" i="102"/>
  <c r="AD396" i="102"/>
  <c r="AD412" i="102"/>
  <c r="Q428" i="102"/>
  <c r="Q430" i="102" s="1"/>
  <c r="P425" i="103"/>
  <c r="Z8" i="104"/>
  <c r="AD422" i="102"/>
  <c r="Q22" i="103"/>
  <c r="F58" i="104"/>
  <c r="V58" i="104"/>
  <c r="L59" i="104"/>
  <c r="R60" i="104"/>
  <c r="J68" i="104"/>
  <c r="Z68" i="104"/>
  <c r="F70" i="104"/>
  <c r="V70" i="104"/>
  <c r="N83" i="104"/>
  <c r="J78" i="104"/>
  <c r="Z78" i="104"/>
  <c r="P79" i="104"/>
  <c r="F80" i="104"/>
  <c r="V80" i="104"/>
  <c r="L81" i="104"/>
  <c r="D60" i="104"/>
  <c r="T60" i="104"/>
  <c r="J61" i="104"/>
  <c r="Z61" i="104"/>
  <c r="R69" i="104"/>
  <c r="N71" i="104"/>
  <c r="H80" i="104"/>
  <c r="X80" i="104"/>
  <c r="N81" i="104"/>
  <c r="N175" i="107"/>
  <c r="N40" i="107"/>
  <c r="Z58" i="104"/>
  <c r="P59" i="104"/>
  <c r="F60" i="104"/>
  <c r="V60" i="104"/>
  <c r="L61" i="104"/>
  <c r="N68" i="104"/>
  <c r="D69" i="104"/>
  <c r="T69" i="104"/>
  <c r="J70" i="104"/>
  <c r="Z70" i="104"/>
  <c r="R83" i="104"/>
  <c r="N78" i="104"/>
  <c r="J80" i="104"/>
  <c r="Z80" i="104"/>
  <c r="P81" i="104"/>
  <c r="R59" i="104"/>
  <c r="H60" i="104"/>
  <c r="X60" i="104"/>
  <c r="N61" i="104"/>
  <c r="F69" i="104"/>
  <c r="V69" i="104"/>
  <c r="L70" i="104"/>
  <c r="R71" i="104"/>
  <c r="D83" i="104"/>
  <c r="T83" i="104"/>
  <c r="F79" i="104"/>
  <c r="V79" i="104"/>
  <c r="R81" i="104"/>
  <c r="N58" i="104"/>
  <c r="J60" i="104"/>
  <c r="Z60" i="104"/>
  <c r="P61" i="104"/>
  <c r="R68" i="104"/>
  <c r="H69" i="104"/>
  <c r="X69" i="104"/>
  <c r="N70" i="104"/>
  <c r="D71" i="104"/>
  <c r="T71" i="104"/>
  <c r="F83" i="104"/>
  <c r="V83" i="104"/>
  <c r="R78" i="104"/>
  <c r="N80" i="104"/>
  <c r="E52" i="107"/>
  <c r="M177" i="107"/>
  <c r="M194" i="107" s="1"/>
  <c r="K15" i="107"/>
  <c r="D65" i="107"/>
  <c r="F174" i="107"/>
  <c r="D26" i="105"/>
  <c r="P9" i="105"/>
  <c r="J22" i="107"/>
  <c r="J23" i="107"/>
  <c r="J25" i="107" s="1"/>
  <c r="J174" i="107" s="1"/>
  <c r="I23" i="107"/>
  <c r="I25" i="107"/>
  <c r="I174" i="107" s="1"/>
  <c r="G175" i="107"/>
  <c r="E76" i="107"/>
  <c r="N28" i="105"/>
  <c r="N29" i="105" s="1"/>
  <c r="K20" i="105"/>
  <c r="K29" i="105"/>
  <c r="E16" i="106"/>
  <c r="I175" i="107"/>
  <c r="R116" i="107"/>
  <c r="D118" i="107"/>
  <c r="D20" i="105"/>
  <c r="L20" i="105"/>
  <c r="L29" i="105" s="1"/>
  <c r="N20" i="105"/>
  <c r="H174" i="107"/>
  <c r="H15" i="107"/>
  <c r="L23" i="107"/>
  <c r="L25" i="107" s="1"/>
  <c r="L174" i="107" s="1"/>
  <c r="L191" i="107" s="1"/>
  <c r="J38" i="107"/>
  <c r="F63" i="107"/>
  <c r="O63" i="107"/>
  <c r="E73" i="107"/>
  <c r="E75" i="107" s="1"/>
  <c r="M73" i="107"/>
  <c r="M75" i="107"/>
  <c r="E20" i="105"/>
  <c r="E27" i="105"/>
  <c r="E28" i="105"/>
  <c r="M20" i="105"/>
  <c r="M27" i="105"/>
  <c r="M28" i="105" s="1"/>
  <c r="I15" i="107"/>
  <c r="D168" i="107"/>
  <c r="N53" i="107"/>
  <c r="I20" i="105"/>
  <c r="I26" i="105"/>
  <c r="I28" i="105" s="1"/>
  <c r="G174" i="107"/>
  <c r="N27" i="107"/>
  <c r="D175" i="107"/>
  <c r="D40" i="107"/>
  <c r="G73" i="107"/>
  <c r="G75" i="107"/>
  <c r="H72" i="107"/>
  <c r="H73" i="107" s="1"/>
  <c r="H75" i="107" s="1"/>
  <c r="P73" i="107"/>
  <c r="P75" i="107" s="1"/>
  <c r="AD71" i="107"/>
  <c r="D15" i="107"/>
  <c r="D23" i="107"/>
  <c r="D25" i="107"/>
  <c r="D27" i="107" s="1"/>
  <c r="AD22" i="107"/>
  <c r="F175" i="107"/>
  <c r="N167" i="107"/>
  <c r="N173" i="107"/>
  <c r="N168" i="107"/>
  <c r="X19" i="107"/>
  <c r="AB19" i="107"/>
  <c r="AD21" i="107"/>
  <c r="K22" i="107"/>
  <c r="K23" i="107" s="1"/>
  <c r="K25" i="107" s="1"/>
  <c r="K174" i="107" s="1"/>
  <c r="E23" i="107"/>
  <c r="E25" i="107"/>
  <c r="X58" i="107"/>
  <c r="AB58" i="107" s="1"/>
  <c r="F178" i="107"/>
  <c r="M22" i="107"/>
  <c r="M23" i="107" s="1"/>
  <c r="M25" i="107" s="1"/>
  <c r="AD60" i="107"/>
  <c r="J73" i="107"/>
  <c r="J75" i="107"/>
  <c r="F104" i="107"/>
  <c r="F106" i="107"/>
  <c r="O104" i="107"/>
  <c r="O106" i="107" s="1"/>
  <c r="F131" i="107"/>
  <c r="O131" i="107"/>
  <c r="AD142" i="107"/>
  <c r="D144" i="107"/>
  <c r="D146" i="107" s="1"/>
  <c r="L178" i="107"/>
  <c r="L195" i="107" s="1"/>
  <c r="E146" i="107"/>
  <c r="J20" i="105"/>
  <c r="J29" i="105" s="1"/>
  <c r="R13" i="107"/>
  <c r="G104" i="107"/>
  <c r="G106" i="107" s="1"/>
  <c r="P104" i="107"/>
  <c r="P106" i="107" s="1"/>
  <c r="G129" i="107"/>
  <c r="G131" i="107"/>
  <c r="P129" i="107"/>
  <c r="P131" i="107"/>
  <c r="F94" i="107"/>
  <c r="H104" i="107"/>
  <c r="H106" i="107"/>
  <c r="I103" i="107"/>
  <c r="I104" i="107" s="1"/>
  <c r="I106" i="107" s="1"/>
  <c r="H177" i="107"/>
  <c r="N174" i="107"/>
  <c r="N176" i="107"/>
  <c r="J103" i="107"/>
  <c r="J104" i="107"/>
  <c r="J106" i="107" s="1"/>
  <c r="AB127" i="107"/>
  <c r="M146" i="107"/>
  <c r="G159" i="107"/>
  <c r="G161" i="107"/>
  <c r="P159" i="107"/>
  <c r="P161" i="107" s="1"/>
  <c r="V34" i="107"/>
  <c r="K175" i="107"/>
  <c r="V47" i="107"/>
  <c r="N77" i="107"/>
  <c r="N163" i="107"/>
  <c r="D104" i="107"/>
  <c r="D106" i="107"/>
  <c r="D108" i="107" s="1"/>
  <c r="L104" i="107"/>
  <c r="L106" i="107" s="1"/>
  <c r="V124" i="107"/>
  <c r="V99" i="107"/>
  <c r="E104" i="107"/>
  <c r="E106" i="107"/>
  <c r="M104" i="107"/>
  <c r="M106" i="107" s="1"/>
  <c r="X124" i="107"/>
  <c r="AB124" i="107" s="1"/>
  <c r="D129" i="107"/>
  <c r="D131" i="107"/>
  <c r="AD102" i="107"/>
  <c r="V100" i="107"/>
  <c r="N36" i="104"/>
  <c r="E350" i="93"/>
  <c r="C350" i="93"/>
  <c r="X36" i="104"/>
  <c r="E213" i="93"/>
  <c r="C213" i="93" s="1"/>
  <c r="AA33" i="104"/>
  <c r="I482" i="93"/>
  <c r="M420" i="93"/>
  <c r="G116" i="93"/>
  <c r="I151" i="93"/>
  <c r="N34" i="104"/>
  <c r="N108" i="104" s="1"/>
  <c r="E364" i="93"/>
  <c r="E373" i="93"/>
  <c r="C373" i="93" s="1"/>
  <c r="X72" i="104"/>
  <c r="D40" i="95"/>
  <c r="D10" i="73"/>
  <c r="R108" i="104"/>
  <c r="G320" i="93"/>
  <c r="I320" i="93" s="1"/>
  <c r="L72" i="104"/>
  <c r="M541" i="93"/>
  <c r="E53" i="107"/>
  <c r="E54" i="107"/>
  <c r="H72" i="104"/>
  <c r="I363" i="93"/>
  <c r="E392" i="93"/>
  <c r="C392" i="93" s="1"/>
  <c r="X116" i="104"/>
  <c r="X119" i="104"/>
  <c r="J72" i="104"/>
  <c r="Z118" i="104"/>
  <c r="Z117" i="104"/>
  <c r="E498" i="93"/>
  <c r="C498" i="93" s="1"/>
  <c r="X117" i="104"/>
  <c r="Z149" i="104"/>
  <c r="J167" i="107"/>
  <c r="J173" i="107"/>
  <c r="K11" i="93"/>
  <c r="M11" i="93" s="1"/>
  <c r="I35" i="77"/>
  <c r="R36" i="104"/>
  <c r="I250" i="93"/>
  <c r="K361" i="93"/>
  <c r="G29" i="105"/>
  <c r="K219" i="93"/>
  <c r="M219" i="93"/>
  <c r="R91" i="107"/>
  <c r="I29" i="105"/>
  <c r="R51" i="107"/>
  <c r="D112" i="104"/>
  <c r="R112" i="104"/>
  <c r="N113" i="104"/>
  <c r="E571" i="93"/>
  <c r="C571" i="93" s="1"/>
  <c r="G176" i="107"/>
  <c r="I219" i="93"/>
  <c r="K480" i="93"/>
  <c r="M480" i="93"/>
  <c r="Z113" i="104"/>
  <c r="V113" i="104"/>
  <c r="D113" i="104"/>
  <c r="R113" i="104"/>
  <c r="H112" i="104"/>
  <c r="I218" i="93"/>
  <c r="V112" i="104"/>
  <c r="J113" i="104"/>
  <c r="F113" i="104"/>
  <c r="R38" i="107"/>
  <c r="T112" i="104"/>
  <c r="G503" i="93"/>
  <c r="D174" i="107"/>
  <c r="G167" i="107"/>
  <c r="G173" i="107" s="1"/>
  <c r="R63" i="107"/>
  <c r="G94" i="107"/>
  <c r="H94" i="107" s="1"/>
  <c r="I94" i="107" s="1"/>
  <c r="J94" i="107" s="1"/>
  <c r="K94" i="107" s="1"/>
  <c r="L94" i="107" s="1"/>
  <c r="M92" i="107" s="1"/>
  <c r="D176" i="107"/>
  <c r="I167" i="107"/>
  <c r="I173" i="107" s="1"/>
  <c r="M167" i="107"/>
  <c r="M173" i="107" s="1"/>
  <c r="M190" i="107" s="1"/>
  <c r="F52" i="107"/>
  <c r="F53" i="107" s="1"/>
  <c r="F54" i="107" s="1"/>
  <c r="G178" i="107"/>
  <c r="E26" i="107"/>
  <c r="E27" i="107" s="1"/>
  <c r="E28" i="107" s="1"/>
  <c r="E77" i="107"/>
  <c r="E78" i="107" s="1"/>
  <c r="M176" i="107"/>
  <c r="M193" i="107" s="1"/>
  <c r="P146" i="104"/>
  <c r="P116" i="104"/>
  <c r="P102" i="104"/>
  <c r="N100" i="104"/>
  <c r="E35" i="99" s="1"/>
  <c r="J148" i="104"/>
  <c r="J118" i="104"/>
  <c r="F36" i="104"/>
  <c r="F33" i="104"/>
  <c r="D103" i="104"/>
  <c r="J108" i="104"/>
  <c r="V104" i="104"/>
  <c r="AA90" i="104"/>
  <c r="X146" i="104" s="1"/>
  <c r="AA48" i="104"/>
  <c r="AA52" i="104"/>
  <c r="D104" i="104"/>
  <c r="R118" i="104"/>
  <c r="R148" i="104"/>
  <c r="N107" i="104"/>
  <c r="R146" i="104"/>
  <c r="R116" i="104"/>
  <c r="AB91" i="104"/>
  <c r="Z147" i="104" s="1"/>
  <c r="AB49" i="104"/>
  <c r="D146" i="104"/>
  <c r="D116" i="104"/>
  <c r="L36" i="104"/>
  <c r="Z107" i="104"/>
  <c r="J109" i="104"/>
  <c r="J103" i="104"/>
  <c r="AG128" i="102"/>
  <c r="K359" i="93"/>
  <c r="M359" i="93"/>
  <c r="K508" i="93"/>
  <c r="M508" i="93"/>
  <c r="F147" i="104"/>
  <c r="F117" i="104"/>
  <c r="P147" i="104"/>
  <c r="P117" i="104"/>
  <c r="M178" i="107"/>
  <c r="M195" i="107"/>
  <c r="D148" i="107"/>
  <c r="D178" i="107"/>
  <c r="R146" i="107"/>
  <c r="O176" i="107"/>
  <c r="O193" i="107"/>
  <c r="E117" i="107"/>
  <c r="Z72" i="104"/>
  <c r="Z99" i="104"/>
  <c r="D41" i="99" s="1"/>
  <c r="V72" i="104"/>
  <c r="X107" i="104"/>
  <c r="X99" i="104"/>
  <c r="D40" i="99" s="1"/>
  <c r="T107" i="104"/>
  <c r="L149" i="104"/>
  <c r="L119" i="104"/>
  <c r="AB52" i="104"/>
  <c r="AB48" i="104"/>
  <c r="F104" i="104"/>
  <c r="J149" i="104"/>
  <c r="J119" i="104"/>
  <c r="N103" i="104"/>
  <c r="L112" i="104"/>
  <c r="L114" i="104" s="1"/>
  <c r="H34" i="99" s="1"/>
  <c r="R104" i="104"/>
  <c r="L99" i="104"/>
  <c r="D34" i="99" s="1"/>
  <c r="N148" i="104"/>
  <c r="N118" i="104"/>
  <c r="X112" i="104"/>
  <c r="Z112" i="104"/>
  <c r="L107" i="104"/>
  <c r="K483" i="93"/>
  <c r="M483" i="93"/>
  <c r="I116" i="93"/>
  <c r="K116" i="93"/>
  <c r="M116" i="93"/>
  <c r="G318" i="93"/>
  <c r="F103" i="104"/>
  <c r="E14" i="107"/>
  <c r="E39" i="107"/>
  <c r="F176" i="107"/>
  <c r="L176" i="107"/>
  <c r="L193" i="107" s="1"/>
  <c r="R72" i="104"/>
  <c r="J99" i="104"/>
  <c r="D33" i="99" s="1"/>
  <c r="F72" i="104"/>
  <c r="H99" i="104"/>
  <c r="D32" i="99" s="1"/>
  <c r="T147" i="104"/>
  <c r="T117" i="104"/>
  <c r="Z104" i="104"/>
  <c r="N102" i="104"/>
  <c r="R147" i="104"/>
  <c r="R117" i="104"/>
  <c r="R114" i="104"/>
  <c r="H37" i="99" s="1"/>
  <c r="Z102" i="104"/>
  <c r="T113" i="104"/>
  <c r="T114" i="104" s="1"/>
  <c r="H38" i="99" s="1"/>
  <c r="P100" i="104"/>
  <c r="E36" i="99" s="1"/>
  <c r="L117" i="104"/>
  <c r="L147" i="104"/>
  <c r="L103" i="104"/>
  <c r="AA91" i="104"/>
  <c r="X147" i="104"/>
  <c r="AA49" i="104"/>
  <c r="N104" i="104"/>
  <c r="X104" i="104"/>
  <c r="J107" i="104"/>
  <c r="J110" i="104" s="1"/>
  <c r="G33" i="99" s="1"/>
  <c r="V147" i="104"/>
  <c r="V117" i="104"/>
  <c r="P112" i="104"/>
  <c r="T102" i="104"/>
  <c r="I483" i="93"/>
  <c r="M401" i="93"/>
  <c r="K355" i="93"/>
  <c r="M355" i="93"/>
  <c r="K250" i="93"/>
  <c r="M250" i="93" s="1"/>
  <c r="E76" i="93"/>
  <c r="C76" i="93" s="1"/>
  <c r="E107" i="107"/>
  <c r="M174" i="107"/>
  <c r="M191" i="107" s="1"/>
  <c r="L167" i="107"/>
  <c r="L173" i="107"/>
  <c r="L190" i="107" s="1"/>
  <c r="F162" i="107"/>
  <c r="O177" i="107"/>
  <c r="O194" i="107"/>
  <c r="M29" i="105"/>
  <c r="E64" i="107"/>
  <c r="J176" i="107"/>
  <c r="R119" i="104"/>
  <c r="R149" i="104"/>
  <c r="H107" i="104"/>
  <c r="P119" i="104"/>
  <c r="P149" i="104"/>
  <c r="D147" i="104"/>
  <c r="D117" i="104"/>
  <c r="V148" i="104"/>
  <c r="V118" i="104"/>
  <c r="N109" i="104"/>
  <c r="J102" i="104"/>
  <c r="T118" i="104"/>
  <c r="T148" i="104"/>
  <c r="V102" i="104"/>
  <c r="X103" i="104"/>
  <c r="J112" i="104"/>
  <c r="J114" i="104" s="1"/>
  <c r="H33" i="99" s="1"/>
  <c r="V119" i="104"/>
  <c r="V149" i="104"/>
  <c r="X109" i="104"/>
  <c r="K13" i="93"/>
  <c r="M13" i="93" s="1"/>
  <c r="F177" i="107"/>
  <c r="L100" i="104"/>
  <c r="E34" i="99" s="1"/>
  <c r="L116" i="104"/>
  <c r="L146" i="104"/>
  <c r="J116" i="104"/>
  <c r="J146" i="104"/>
  <c r="F102" i="104"/>
  <c r="H103" i="104"/>
  <c r="J147" i="104"/>
  <c r="J117" i="104"/>
  <c r="H104" i="104"/>
  <c r="P103" i="104"/>
  <c r="P104" i="104"/>
  <c r="D102" i="104"/>
  <c r="D133" i="107"/>
  <c r="D177" i="107"/>
  <c r="R131" i="107"/>
  <c r="P177" i="107"/>
  <c r="P178" i="107"/>
  <c r="P20" i="105"/>
  <c r="N149" i="104"/>
  <c r="N119" i="104"/>
  <c r="V116" i="104"/>
  <c r="V146" i="104"/>
  <c r="E174" i="107"/>
  <c r="D167" i="107"/>
  <c r="G177" i="107"/>
  <c r="AD167" i="107"/>
  <c r="M593" i="93" s="1"/>
  <c r="AE22" i="107"/>
  <c r="P176" i="107"/>
  <c r="E29" i="105"/>
  <c r="J175" i="107"/>
  <c r="S175" i="107" s="1"/>
  <c r="L148" i="104"/>
  <c r="L118" i="104"/>
  <c r="L104" i="104"/>
  <c r="D99" i="104"/>
  <c r="D30" i="99" s="1"/>
  <c r="AB92" i="104"/>
  <c r="Z148" i="104" s="1"/>
  <c r="AB50" i="104"/>
  <c r="R109" i="104"/>
  <c r="P109" i="104"/>
  <c r="R103" i="104"/>
  <c r="Z100" i="104"/>
  <c r="E41" i="99" s="1"/>
  <c r="X108" i="104"/>
  <c r="D118" i="104"/>
  <c r="D148" i="104"/>
  <c r="F108" i="104"/>
  <c r="T149" i="104"/>
  <c r="T119" i="104"/>
  <c r="R102" i="104"/>
  <c r="H149" i="104"/>
  <c r="H119" i="104"/>
  <c r="F149" i="104"/>
  <c r="F119" i="104"/>
  <c r="H102" i="104"/>
  <c r="F112" i="104"/>
  <c r="F114" i="104" s="1"/>
  <c r="H31" i="99" s="1"/>
  <c r="I457" i="93"/>
  <c r="E167" i="107"/>
  <c r="E173" i="107" s="1"/>
  <c r="R161" i="107"/>
  <c r="E178" i="107"/>
  <c r="I176" i="107"/>
  <c r="E176" i="107"/>
  <c r="F167" i="107"/>
  <c r="F173" i="107"/>
  <c r="N72" i="104"/>
  <c r="D109" i="104"/>
  <c r="V103" i="104"/>
  <c r="N146" i="104"/>
  <c r="N116" i="104"/>
  <c r="L108" i="104"/>
  <c r="T103" i="104"/>
  <c r="AA92" i="104"/>
  <c r="X148" i="104" s="1"/>
  <c r="AA50" i="104"/>
  <c r="L102" i="104"/>
  <c r="J100" i="104"/>
  <c r="E33" i="99" s="1"/>
  <c r="F148" i="104"/>
  <c r="F118" i="104"/>
  <c r="S282" i="93"/>
  <c r="T282" i="93" s="1"/>
  <c r="X100" i="104"/>
  <c r="E40" i="99" s="1"/>
  <c r="N112" i="104"/>
  <c r="N114" i="104" s="1"/>
  <c r="H35" i="99" s="1"/>
  <c r="P36" i="104"/>
  <c r="P33" i="104"/>
  <c r="P107" i="104" s="1"/>
  <c r="F116" i="104"/>
  <c r="F120" i="104" s="1"/>
  <c r="F146" i="104"/>
  <c r="F150" i="104" s="1"/>
  <c r="T108" i="104"/>
  <c r="H147" i="104"/>
  <c r="H117" i="104"/>
  <c r="P113" i="104"/>
  <c r="T146" i="104"/>
  <c r="T116" i="104"/>
  <c r="T120" i="104" s="1"/>
  <c r="H113" i="104"/>
  <c r="H114" i="104" s="1"/>
  <c r="Z103" i="104"/>
  <c r="Z105" i="104" s="1"/>
  <c r="F41" i="99" s="1"/>
  <c r="H116" i="104"/>
  <c r="H146" i="104"/>
  <c r="K360" i="93"/>
  <c r="M361" i="93" s="1"/>
  <c r="G249" i="93"/>
  <c r="E311" i="93"/>
  <c r="C311" i="93"/>
  <c r="I362" i="93"/>
  <c r="K457" i="93"/>
  <c r="M457" i="93"/>
  <c r="K320" i="93"/>
  <c r="M320" i="93"/>
  <c r="V36" i="104"/>
  <c r="V33" i="104"/>
  <c r="H148" i="104"/>
  <c r="H118" i="104"/>
  <c r="Z108" i="104"/>
  <c r="H100" i="104"/>
  <c r="E32" i="99" s="1"/>
  <c r="N117" i="104"/>
  <c r="N147" i="104"/>
  <c r="T104" i="104"/>
  <c r="D108" i="104"/>
  <c r="D149" i="104"/>
  <c r="AA149" i="104" s="1"/>
  <c r="D119" i="104"/>
  <c r="V109" i="104"/>
  <c r="Z109" i="104"/>
  <c r="P148" i="104"/>
  <c r="P150" i="104" s="1"/>
  <c r="P118" i="104"/>
  <c r="E587" i="93"/>
  <c r="M285" i="93"/>
  <c r="D114" i="104"/>
  <c r="H30" i="99" s="1"/>
  <c r="I485" i="93"/>
  <c r="Z114" i="104"/>
  <c r="H41" i="99" s="1"/>
  <c r="T150" i="104"/>
  <c r="V114" i="104"/>
  <c r="H39" i="99" s="1"/>
  <c r="H120" i="104"/>
  <c r="V150" i="104"/>
  <c r="S174" i="107"/>
  <c r="AA117" i="104"/>
  <c r="V120" i="104"/>
  <c r="I503" i="93"/>
  <c r="G314" i="93"/>
  <c r="N120" i="104"/>
  <c r="AA119" i="104"/>
  <c r="S320" i="93" s="1"/>
  <c r="L105" i="104"/>
  <c r="F34" i="99" s="1"/>
  <c r="S177" i="107"/>
  <c r="F105" i="104"/>
  <c r="F31" i="99" s="1"/>
  <c r="K503" i="93"/>
  <c r="M503" i="93"/>
  <c r="H105" i="104"/>
  <c r="F32" i="99" s="1"/>
  <c r="T105" i="104"/>
  <c r="F38" i="99" s="1"/>
  <c r="R105" i="104"/>
  <c r="F37" i="99" s="1"/>
  <c r="F26" i="107"/>
  <c r="F27" i="107"/>
  <c r="F28" i="107" s="1"/>
  <c r="C587" i="93"/>
  <c r="E132" i="107"/>
  <c r="L150" i="104"/>
  <c r="AA147" i="104"/>
  <c r="AA318" i="93" s="1"/>
  <c r="E65" i="107"/>
  <c r="E66" i="107"/>
  <c r="P114" i="104"/>
  <c r="H36" i="99" s="1"/>
  <c r="E40" i="107"/>
  <c r="E41" i="107"/>
  <c r="Z110" i="104"/>
  <c r="G41" i="99" s="1"/>
  <c r="N150" i="104"/>
  <c r="H150" i="104"/>
  <c r="D173" i="107"/>
  <c r="L120" i="104"/>
  <c r="F163" i="107"/>
  <c r="F164" i="107"/>
  <c r="S178" i="107"/>
  <c r="P120" i="104"/>
  <c r="F107" i="104"/>
  <c r="F110" i="104" s="1"/>
  <c r="G31" i="99" s="1"/>
  <c r="N105" i="104"/>
  <c r="F35" i="99" s="1"/>
  <c r="E147" i="107"/>
  <c r="R120" i="104"/>
  <c r="I318" i="93"/>
  <c r="K318" i="93"/>
  <c r="M318" i="93" s="1"/>
  <c r="D120" i="104"/>
  <c r="R150" i="104"/>
  <c r="I249" i="93"/>
  <c r="V105" i="104"/>
  <c r="F39" i="99" s="1"/>
  <c r="E15" i="107"/>
  <c r="E16" i="107" s="1"/>
  <c r="T110" i="104"/>
  <c r="G38" i="99" s="1"/>
  <c r="E118" i="107"/>
  <c r="E119" i="107" s="1"/>
  <c r="D150" i="104"/>
  <c r="AA146" i="104"/>
  <c r="AA317" i="93" s="1"/>
  <c r="AC317" i="93" s="1"/>
  <c r="V107" i="104"/>
  <c r="K249" i="93"/>
  <c r="M249" i="93"/>
  <c r="M253" i="93" s="1"/>
  <c r="J150" i="104"/>
  <c r="M93" i="107"/>
  <c r="M94" i="107"/>
  <c r="N94" i="107" s="1"/>
  <c r="E108" i="107"/>
  <c r="E109" i="107" s="1"/>
  <c r="G52" i="107"/>
  <c r="D105" i="104"/>
  <c r="F30" i="99" s="1"/>
  <c r="J120" i="104"/>
  <c r="AJ282" i="93"/>
  <c r="AA103" i="104"/>
  <c r="AA82" i="93" s="1"/>
  <c r="P105" i="104"/>
  <c r="F36" i="99" s="1"/>
  <c r="F76" i="107"/>
  <c r="I314" i="93"/>
  <c r="K314" i="93"/>
  <c r="M314" i="93" s="1"/>
  <c r="G26" i="107"/>
  <c r="G27" i="107"/>
  <c r="G28" i="107" s="1"/>
  <c r="AC318" i="93"/>
  <c r="S318" i="93"/>
  <c r="F77" i="107"/>
  <c r="F78" i="107"/>
  <c r="E148" i="107"/>
  <c r="E149" i="107"/>
  <c r="G53" i="107"/>
  <c r="G54" i="107"/>
  <c r="E133" i="107"/>
  <c r="E134" i="107"/>
  <c r="F39" i="107"/>
  <c r="F14" i="107"/>
  <c r="O92" i="107"/>
  <c r="G162" i="107"/>
  <c r="F107" i="107"/>
  <c r="F117" i="107"/>
  <c r="E168" i="107"/>
  <c r="E169" i="107" s="1"/>
  <c r="F64" i="107"/>
  <c r="F147" i="107"/>
  <c r="H26" i="107"/>
  <c r="F15" i="107"/>
  <c r="F16" i="107" s="1"/>
  <c r="G163" i="107"/>
  <c r="G164" i="107"/>
  <c r="F40" i="107"/>
  <c r="F41" i="107" s="1"/>
  <c r="H52" i="107"/>
  <c r="F65" i="107"/>
  <c r="F66" i="107"/>
  <c r="G76" i="107"/>
  <c r="F118" i="107"/>
  <c r="F119" i="107"/>
  <c r="O93" i="107"/>
  <c r="O94" i="107"/>
  <c r="F132" i="107"/>
  <c r="F108" i="107"/>
  <c r="F109" i="107"/>
  <c r="F148" i="107"/>
  <c r="F149" i="107"/>
  <c r="G64" i="107"/>
  <c r="F133" i="107"/>
  <c r="F134" i="107" s="1"/>
  <c r="G39" i="107"/>
  <c r="G14" i="107"/>
  <c r="G16" i="107"/>
  <c r="H16" i="107" s="1"/>
  <c r="I16" i="107" s="1"/>
  <c r="J16" i="107" s="1"/>
  <c r="K16" i="107" s="1"/>
  <c r="L16" i="107" s="1"/>
  <c r="M16" i="107" s="1"/>
  <c r="N16" i="107" s="1"/>
  <c r="P92" i="107"/>
  <c r="F168" i="107"/>
  <c r="F169" i="107" s="1"/>
  <c r="G107" i="107"/>
  <c r="G108" i="107" s="1"/>
  <c r="G109" i="107" s="1"/>
  <c r="H162" i="107"/>
  <c r="G117" i="107"/>
  <c r="H27" i="107"/>
  <c r="H28" i="107" s="1"/>
  <c r="G77" i="107"/>
  <c r="G78" i="107"/>
  <c r="H53" i="107"/>
  <c r="H54" i="107" s="1"/>
  <c r="H107" i="107"/>
  <c r="H108" i="107"/>
  <c r="H109" i="107" s="1"/>
  <c r="H163" i="107"/>
  <c r="H164" i="107" s="1"/>
  <c r="G147" i="107"/>
  <c r="I26" i="107"/>
  <c r="G132" i="107"/>
  <c r="P93" i="107"/>
  <c r="P94" i="107" s="1"/>
  <c r="R92" i="107"/>
  <c r="R93" i="107" s="1"/>
  <c r="G118" i="107"/>
  <c r="G119" i="107"/>
  <c r="G40" i="107"/>
  <c r="G41" i="107" s="1"/>
  <c r="I52" i="107"/>
  <c r="H76" i="107"/>
  <c r="O14" i="107"/>
  <c r="G65" i="107"/>
  <c r="G66" i="107"/>
  <c r="G168" i="107"/>
  <c r="G169" i="107"/>
  <c r="I107" i="107"/>
  <c r="I108" i="107"/>
  <c r="I109" i="107"/>
  <c r="I53" i="107"/>
  <c r="I54" i="107" s="1"/>
  <c r="H77" i="107"/>
  <c r="H78" i="107"/>
  <c r="I27" i="107"/>
  <c r="I28" i="107" s="1"/>
  <c r="I162" i="107"/>
  <c r="I163" i="107"/>
  <c r="I164" i="107" s="1"/>
  <c r="H39" i="107"/>
  <c r="H64" i="107"/>
  <c r="G133" i="107"/>
  <c r="G134" i="107" s="1"/>
  <c r="O15" i="107"/>
  <c r="O16" i="107"/>
  <c r="H117" i="107"/>
  <c r="G148" i="107"/>
  <c r="G149" i="107" s="1"/>
  <c r="J162" i="107"/>
  <c r="J163" i="107" s="1"/>
  <c r="J164" i="107" s="1"/>
  <c r="J52" i="107"/>
  <c r="J53" i="107"/>
  <c r="J54" i="107" s="1"/>
  <c r="P14" i="107"/>
  <c r="H65" i="107"/>
  <c r="H66" i="107"/>
  <c r="J107" i="107"/>
  <c r="J108" i="107"/>
  <c r="J109" i="107" s="1"/>
  <c r="I76" i="107"/>
  <c r="I77" i="107" s="1"/>
  <c r="I78" i="107" s="1"/>
  <c r="H40" i="107"/>
  <c r="H41" i="107"/>
  <c r="H132" i="107"/>
  <c r="H133" i="107" s="1"/>
  <c r="H134" i="107"/>
  <c r="H147" i="107"/>
  <c r="H148" i="107" s="1"/>
  <c r="H149" i="107" s="1"/>
  <c r="H118" i="107"/>
  <c r="H119" i="107"/>
  <c r="J26" i="107"/>
  <c r="I147" i="107"/>
  <c r="I148" i="107"/>
  <c r="I149" i="107" s="1"/>
  <c r="K52" i="107"/>
  <c r="K53" i="107" s="1"/>
  <c r="K54" i="107" s="1"/>
  <c r="J76" i="107"/>
  <c r="J77" i="107" s="1"/>
  <c r="J78" i="107" s="1"/>
  <c r="K162" i="107"/>
  <c r="K163" i="107" s="1"/>
  <c r="K164" i="107" s="1"/>
  <c r="P15" i="107"/>
  <c r="P16" i="107" s="1"/>
  <c r="R14" i="107"/>
  <c r="I117" i="107"/>
  <c r="I64" i="107"/>
  <c r="K107" i="107"/>
  <c r="I39" i="107"/>
  <c r="J27" i="107"/>
  <c r="J28" i="107"/>
  <c r="H168" i="107"/>
  <c r="L162" i="107"/>
  <c r="L163" i="107"/>
  <c r="L164" i="107" s="1"/>
  <c r="L52" i="107"/>
  <c r="L53" i="107" s="1"/>
  <c r="L54" i="107" s="1"/>
  <c r="J147" i="107"/>
  <c r="J148" i="107" s="1"/>
  <c r="J149" i="107" s="1"/>
  <c r="K76" i="107"/>
  <c r="K77" i="107"/>
  <c r="K78" i="107"/>
  <c r="L76" i="107" s="1"/>
  <c r="L77" i="107" s="1"/>
  <c r="R15" i="107"/>
  <c r="I65" i="107"/>
  <c r="I66" i="107" s="1"/>
  <c r="I118" i="107"/>
  <c r="I119" i="107" s="1"/>
  <c r="K26" i="107"/>
  <c r="I40" i="107"/>
  <c r="I41" i="107" s="1"/>
  <c r="L78" i="107"/>
  <c r="K27" i="107"/>
  <c r="K28" i="107"/>
  <c r="J64" i="107"/>
  <c r="J39" i="107"/>
  <c r="J40" i="107" s="1"/>
  <c r="M76" i="107"/>
  <c r="M77" i="107"/>
  <c r="M78" i="107" s="1"/>
  <c r="N78" i="107" s="1"/>
  <c r="O76" i="107" s="1"/>
  <c r="J65" i="107"/>
  <c r="J66" i="107"/>
  <c r="L26" i="107"/>
  <c r="L27" i="107"/>
  <c r="L28" i="107" s="1"/>
  <c r="K64" i="107"/>
  <c r="K65" i="107"/>
  <c r="K66" i="107"/>
  <c r="A1" i="92"/>
  <c r="A1" i="91"/>
  <c r="A1" i="88"/>
  <c r="C37" i="80" s="1"/>
  <c r="A1" i="87"/>
  <c r="C29" i="80" s="1"/>
  <c r="A1" i="86"/>
  <c r="C20" i="80" s="1"/>
  <c r="A1" i="85"/>
  <c r="C16" i="80" s="1"/>
  <c r="C14" i="80"/>
  <c r="C13" i="80"/>
  <c r="C12" i="80"/>
  <c r="R174" i="81"/>
  <c r="Q174" i="81"/>
  <c r="A1" i="81"/>
  <c r="C11" i="80" s="1"/>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B37" i="80"/>
  <c r="A36" i="80"/>
  <c r="A35" i="80"/>
  <c r="A34" i="80"/>
  <c r="A33" i="80"/>
  <c r="A32" i="80"/>
  <c r="A31" i="80"/>
  <c r="A30" i="80"/>
  <c r="B29" i="80"/>
  <c r="A28" i="80"/>
  <c r="B20" i="80"/>
  <c r="A19" i="80"/>
  <c r="B16" i="80"/>
  <c r="A15" i="80"/>
  <c r="B14" i="80"/>
  <c r="B13" i="80"/>
  <c r="B12" i="80"/>
  <c r="B11" i="80"/>
  <c r="B10" i="80"/>
  <c r="A4" i="80"/>
  <c r="A1" i="80"/>
  <c r="C10" i="80" s="1"/>
  <c r="B5" i="79"/>
  <c r="A1" i="79"/>
  <c r="C9" i="80" s="1"/>
  <c r="B9" i="80"/>
  <c r="A9" i="80" s="1"/>
  <c r="C376" i="78"/>
  <c r="E368" i="78"/>
  <c r="E366" i="78"/>
  <c r="D366" i="78"/>
  <c r="E364" i="78"/>
  <c r="D364" i="78"/>
  <c r="B350" i="78"/>
  <c r="H348" i="78"/>
  <c r="A348" i="78"/>
  <c r="H346" i="78"/>
  <c r="C300" i="78"/>
  <c r="C301" i="78"/>
  <c r="C302" i="78" s="1"/>
  <c r="D291" i="78"/>
  <c r="E291" i="78"/>
  <c r="B279" i="78"/>
  <c r="H277" i="78"/>
  <c r="A277" i="78"/>
  <c r="H275" i="78"/>
  <c r="C227" i="78"/>
  <c r="C228" i="78"/>
  <c r="C229" i="78" s="1"/>
  <c r="D229" i="78" s="1"/>
  <c r="C230" i="78"/>
  <c r="D218" i="78"/>
  <c r="E218" i="78"/>
  <c r="B205" i="78"/>
  <c r="B211" i="78"/>
  <c r="H203" i="78"/>
  <c r="A203" i="78"/>
  <c r="H201" i="78"/>
  <c r="C153" i="78"/>
  <c r="C154" i="78"/>
  <c r="C155" i="78"/>
  <c r="C156" i="78" s="1"/>
  <c r="C158" i="78"/>
  <c r="C159" i="78" s="1"/>
  <c r="C160" i="78" s="1"/>
  <c r="C161" i="78" s="1"/>
  <c r="C162" i="78" s="1"/>
  <c r="C164" i="78" s="1"/>
  <c r="C165" i="78" s="1"/>
  <c r="C166" i="78" s="1"/>
  <c r="C167" i="78"/>
  <c r="C168" i="78" s="1"/>
  <c r="C170" i="78" s="1"/>
  <c r="C171" i="78" s="1"/>
  <c r="C172" i="78" s="1"/>
  <c r="C173" i="78" s="1"/>
  <c r="C174" i="78" s="1"/>
  <c r="C176" i="78" s="1"/>
  <c r="C177" i="78"/>
  <c r="C178" i="78" s="1"/>
  <c r="C179" i="78" s="1"/>
  <c r="C180" i="78" s="1"/>
  <c r="C182" i="78" s="1"/>
  <c r="C183" i="78" s="1"/>
  <c r="C184" i="78" s="1"/>
  <c r="C185" i="78" s="1"/>
  <c r="C186" i="78"/>
  <c r="C188" i="78" s="1"/>
  <c r="C189" i="78" s="1"/>
  <c r="C190" i="78" s="1"/>
  <c r="C191" i="78" s="1"/>
  <c r="C192" i="78" s="1"/>
  <c r="C194" i="78" s="1"/>
  <c r="C195" i="78" s="1"/>
  <c r="C196" i="78" s="1"/>
  <c r="D144" i="78"/>
  <c r="E144" i="78"/>
  <c r="B131" i="78"/>
  <c r="H129" i="78"/>
  <c r="A129" i="78"/>
  <c r="H127" i="78"/>
  <c r="B117" i="78"/>
  <c r="B112" i="78"/>
  <c r="B106" i="78"/>
  <c r="B100" i="78"/>
  <c r="B94" i="78"/>
  <c r="B88" i="78"/>
  <c r="B82" i="78"/>
  <c r="B80" i="78"/>
  <c r="D73" i="78"/>
  <c r="E73" i="78"/>
  <c r="B62" i="78"/>
  <c r="H60" i="78"/>
  <c r="A60" i="78"/>
  <c r="H58" i="78"/>
  <c r="E15" i="78"/>
  <c r="B5" i="78"/>
  <c r="B11" i="78" s="1"/>
  <c r="A2" i="78"/>
  <c r="A1" i="78"/>
  <c r="A58" i="78" s="1"/>
  <c r="D16" i="77"/>
  <c r="E16" i="77" s="1"/>
  <c r="A6" i="77"/>
  <c r="A2" i="77"/>
  <c r="A1" i="77"/>
  <c r="A12" i="77"/>
  <c r="C52" i="76"/>
  <c r="D289" i="78"/>
  <c r="D288" i="78"/>
  <c r="E285" i="78"/>
  <c r="D285" i="78"/>
  <c r="C44" i="76"/>
  <c r="D365" i="78"/>
  <c r="D363" i="78"/>
  <c r="D362" i="78"/>
  <c r="D361" i="78"/>
  <c r="E360" i="78"/>
  <c r="D360" i="78"/>
  <c r="E376" i="78" s="1"/>
  <c r="E357" i="78"/>
  <c r="F376" i="78" s="1"/>
  <c r="G376" i="78" s="1"/>
  <c r="H376" i="78" s="1"/>
  <c r="E356" i="78"/>
  <c r="D356" i="78"/>
  <c r="C33" i="76"/>
  <c r="E211" i="78"/>
  <c r="D211" i="78"/>
  <c r="C25" i="76"/>
  <c r="E137" i="78"/>
  <c r="D137" i="78"/>
  <c r="C17" i="76"/>
  <c r="D71" i="78"/>
  <c r="E69" i="78"/>
  <c r="D69" i="78"/>
  <c r="C11" i="76"/>
  <c r="D14" i="77"/>
  <c r="E12" i="77"/>
  <c r="D12" i="77"/>
  <c r="B3" i="76"/>
  <c r="B2" i="76"/>
  <c r="B1" i="76"/>
  <c r="B38" i="75"/>
  <c r="B33" i="75"/>
  <c r="B27" i="75"/>
  <c r="B22" i="75"/>
  <c r="B17" i="75"/>
  <c r="B12" i="75"/>
  <c r="D83" i="78"/>
  <c r="D214" i="78"/>
  <c r="D140" i="78"/>
  <c r="D216" i="78"/>
  <c r="D142" i="78"/>
  <c r="D215" i="78"/>
  <c r="D141" i="78"/>
  <c r="B137" i="78"/>
  <c r="D107" i="78"/>
  <c r="D79" i="78"/>
  <c r="D11" i="78"/>
  <c r="D87" i="78"/>
  <c r="E11" i="78"/>
  <c r="D95" i="78"/>
  <c r="D103" i="78"/>
  <c r="E374" i="78"/>
  <c r="D13" i="78"/>
  <c r="D121" i="78"/>
  <c r="D101" i="78"/>
  <c r="D97" i="78"/>
  <c r="D93" i="78"/>
  <c r="D108" i="78"/>
  <c r="D104" i="78"/>
  <c r="D84" i="78"/>
  <c r="D119" i="78"/>
  <c r="D115" i="78"/>
  <c r="D111" i="78"/>
  <c r="D102" i="78"/>
  <c r="D98" i="78"/>
  <c r="D113" i="78"/>
  <c r="D109" i="78"/>
  <c r="D105" i="78"/>
  <c r="D89" i="78"/>
  <c r="D85" i="78"/>
  <c r="D81" i="78"/>
  <c r="D120" i="78"/>
  <c r="D116" i="78"/>
  <c r="D96" i="78"/>
  <c r="D92" i="78"/>
  <c r="D118" i="78"/>
  <c r="D114" i="78"/>
  <c r="D110" i="78"/>
  <c r="D90" i="78"/>
  <c r="D86" i="78"/>
  <c r="A346" i="78"/>
  <c r="A275" i="78"/>
  <c r="A127" i="78"/>
  <c r="A201" i="78"/>
  <c r="D91" i="78"/>
  <c r="D300" i="78"/>
  <c r="D301" i="78"/>
  <c r="D297" i="78"/>
  <c r="D299" i="78"/>
  <c r="A347" i="78"/>
  <c r="A276" i="78"/>
  <c r="A59" i="78"/>
  <c r="A128" i="78"/>
  <c r="A202" i="78"/>
  <c r="D227" i="78"/>
  <c r="D228" i="78"/>
  <c r="D224" i="78"/>
  <c r="D226" i="78"/>
  <c r="F374" i="78"/>
  <c r="D99" i="78"/>
  <c r="B69" i="78"/>
  <c r="B356" i="78"/>
  <c r="B285" i="78"/>
  <c r="B287" i="78"/>
  <c r="B291" i="78" s="1"/>
  <c r="C377" i="78"/>
  <c r="E377" i="78" s="1"/>
  <c r="G374" i="78"/>
  <c r="H374" i="78" s="1"/>
  <c r="D190" i="78"/>
  <c r="B357" i="78"/>
  <c r="B359" i="78" s="1"/>
  <c r="B139" i="78"/>
  <c r="B144" i="78" s="1"/>
  <c r="C378" i="78"/>
  <c r="B71" i="78"/>
  <c r="B73" i="78" s="1"/>
  <c r="D51" i="78"/>
  <c r="D52" i="78"/>
  <c r="D43" i="78"/>
  <c r="D46" i="78"/>
  <c r="D37" i="78"/>
  <c r="D47" i="78"/>
  <c r="D53" i="78"/>
  <c r="D40" i="78"/>
  <c r="D38" i="78"/>
  <c r="D29" i="78"/>
  <c r="D35" i="78"/>
  <c r="D23" i="78"/>
  <c r="D26" i="78"/>
  <c r="D33" i="78"/>
  <c r="D27" i="78"/>
  <c r="D31" i="78"/>
  <c r="D44" i="78"/>
  <c r="D50" i="78"/>
  <c r="D45" i="78"/>
  <c r="D41" i="78"/>
  <c r="D39" i="78"/>
  <c r="D25" i="78"/>
  <c r="D34" i="78"/>
  <c r="D28" i="78"/>
  <c r="D49" i="78"/>
  <c r="D32" i="78"/>
  <c r="D21" i="78"/>
  <c r="D10" i="38"/>
  <c r="D12" i="38" s="1"/>
  <c r="F10" i="38"/>
  <c r="D11" i="38"/>
  <c r="F11" i="38" s="1"/>
  <c r="C12" i="38"/>
  <c r="A9" i="38"/>
  <c r="A10" i="38"/>
  <c r="A11" i="38" s="1"/>
  <c r="A12" i="38" s="1"/>
  <c r="A13" i="38" s="1"/>
  <c r="A14" i="38" s="1"/>
  <c r="A15" i="38" s="1"/>
  <c r="A16" i="38" s="1"/>
  <c r="I222" i="49"/>
  <c r="I221" i="49"/>
  <c r="I220" i="49"/>
  <c r="I219" i="49"/>
  <c r="I218" i="49"/>
  <c r="I217" i="49"/>
  <c r="I216" i="49"/>
  <c r="I215" i="49"/>
  <c r="I214" i="49"/>
  <c r="I213" i="49"/>
  <c r="I212" i="49"/>
  <c r="I211" i="49"/>
  <c r="I210" i="49"/>
  <c r="I209" i="49"/>
  <c r="I223" i="49" s="1"/>
  <c r="I208" i="49"/>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I135" i="31"/>
  <c r="V121" i="31"/>
  <c r="V123" i="31"/>
  <c r="V25" i="4" s="1"/>
  <c r="V107" i="31"/>
  <c r="V24" i="4" s="1"/>
  <c r="V100" i="31"/>
  <c r="V23" i="4" s="1"/>
  <c r="V84" i="31"/>
  <c r="V72" i="31"/>
  <c r="V85" i="31"/>
  <c r="M5" i="58"/>
  <c r="Y5" i="58" s="1"/>
  <c r="M3" i="58"/>
  <c r="Y3" i="58" s="1"/>
  <c r="M2" i="58"/>
  <c r="Y2" i="58"/>
  <c r="AD92" i="58"/>
  <c r="AD167" i="58" s="1"/>
  <c r="F53" i="67"/>
  <c r="G53" i="67" s="1"/>
  <c r="H53" i="67" s="1"/>
  <c r="F52" i="67"/>
  <c r="G52" i="67" s="1"/>
  <c r="H52" i="67"/>
  <c r="F51" i="67"/>
  <c r="L51" i="67" s="1"/>
  <c r="F50" i="67"/>
  <c r="L50" i="67" s="1"/>
  <c r="F49" i="67"/>
  <c r="L49" i="67"/>
  <c r="F39" i="67"/>
  <c r="L39" i="67"/>
  <c r="F40" i="67"/>
  <c r="F41" i="67"/>
  <c r="L41" i="67"/>
  <c r="F42" i="67"/>
  <c r="L42" i="67"/>
  <c r="F43" i="67"/>
  <c r="L43" i="67" s="1"/>
  <c r="F44" i="67"/>
  <c r="L44" i="67" s="1"/>
  <c r="F45" i="67"/>
  <c r="L45" i="67" s="1"/>
  <c r="F46" i="67"/>
  <c r="L46" i="67" s="1"/>
  <c r="F47" i="67"/>
  <c r="F48" i="67"/>
  <c r="F38" i="67"/>
  <c r="L38" i="67"/>
  <c r="F37" i="67"/>
  <c r="L37" i="67" s="1"/>
  <c r="B54" i="67"/>
  <c r="F36" i="67"/>
  <c r="L35" i="67"/>
  <c r="L34" i="67"/>
  <c r="F33" i="67"/>
  <c r="F32" i="67"/>
  <c r="F31" i="67"/>
  <c r="L31" i="67" s="1"/>
  <c r="F30" i="67"/>
  <c r="F29" i="67"/>
  <c r="L29" i="67"/>
  <c r="F28" i="67"/>
  <c r="G28" i="67" s="1"/>
  <c r="H28" i="67"/>
  <c r="F27" i="67"/>
  <c r="L27" i="67" s="1"/>
  <c r="F26" i="67"/>
  <c r="L26" i="67" s="1"/>
  <c r="F25" i="67"/>
  <c r="L25" i="67"/>
  <c r="F24" i="67"/>
  <c r="F23" i="67"/>
  <c r="F22" i="67"/>
  <c r="F21" i="67"/>
  <c r="L21" i="67" s="1"/>
  <c r="F20" i="67"/>
  <c r="L19" i="67"/>
  <c r="F18" i="67"/>
  <c r="F17" i="67"/>
  <c r="F16" i="67"/>
  <c r="L16" i="67"/>
  <c r="F15" i="67"/>
  <c r="L15" i="67"/>
  <c r="F14" i="67"/>
  <c r="L14" i="67" s="1"/>
  <c r="F13" i="67"/>
  <c r="L13" i="67" s="1"/>
  <c r="F12" i="67"/>
  <c r="L53" i="67"/>
  <c r="G51" i="67"/>
  <c r="H51" i="67"/>
  <c r="L52" i="67"/>
  <c r="G37" i="67"/>
  <c r="H37" i="67" s="1"/>
  <c r="G41" i="67"/>
  <c r="H41" i="67"/>
  <c r="G45" i="67"/>
  <c r="H45" i="67"/>
  <c r="G20" i="67"/>
  <c r="H20" i="67" s="1"/>
  <c r="G44" i="67"/>
  <c r="H44" i="67" s="1"/>
  <c r="D54" i="67"/>
  <c r="G22" i="67"/>
  <c r="H22" i="67" s="1"/>
  <c r="G30" i="67"/>
  <c r="H30" i="67"/>
  <c r="L22" i="67"/>
  <c r="G24" i="67"/>
  <c r="H24" i="67" s="1"/>
  <c r="L30" i="67"/>
  <c r="G47" i="67"/>
  <c r="H47" i="67"/>
  <c r="G18" i="67"/>
  <c r="H18" i="67"/>
  <c r="G26" i="67"/>
  <c r="H26" i="67" s="1"/>
  <c r="G36" i="67"/>
  <c r="H36" i="67" s="1"/>
  <c r="G40" i="67"/>
  <c r="H40" i="67"/>
  <c r="L20" i="67"/>
  <c r="L24" i="67"/>
  <c r="L28" i="67"/>
  <c r="G48" i="67"/>
  <c r="H48" i="67" s="1"/>
  <c r="G49" i="67"/>
  <c r="H49" i="67"/>
  <c r="L48" i="67"/>
  <c r="L18" i="67"/>
  <c r="G21" i="67"/>
  <c r="H21" i="67"/>
  <c r="G25" i="67"/>
  <c r="H25" i="67"/>
  <c r="G29" i="67"/>
  <c r="H29" i="67" s="1"/>
  <c r="G35" i="67"/>
  <c r="H35" i="67" s="1"/>
  <c r="L36" i="67"/>
  <c r="G39" i="67"/>
  <c r="H39" i="67" s="1"/>
  <c r="L40" i="67"/>
  <c r="G43" i="67"/>
  <c r="H43" i="67" s="1"/>
  <c r="L47" i="67"/>
  <c r="G33" i="67"/>
  <c r="H33" i="67"/>
  <c r="L33" i="67"/>
  <c r="G19" i="67"/>
  <c r="H19" i="67" s="1"/>
  <c r="G34" i="67"/>
  <c r="H34" i="67"/>
  <c r="G38" i="67"/>
  <c r="H38" i="67" s="1"/>
  <c r="G15" i="67"/>
  <c r="G16" i="67"/>
  <c r="H16" i="67" s="1"/>
  <c r="G27" i="67"/>
  <c r="H27" i="67" s="1"/>
  <c r="G31" i="67"/>
  <c r="H31" i="67"/>
  <c r="G42" i="67"/>
  <c r="H42" i="67"/>
  <c r="G46" i="67"/>
  <c r="H46" i="67" s="1"/>
  <c r="G50" i="67"/>
  <c r="H50" i="67" s="1"/>
  <c r="L12" i="67"/>
  <c r="G14" i="67"/>
  <c r="H214" i="49"/>
  <c r="J214" i="49" s="1"/>
  <c r="H218" i="49"/>
  <c r="J218" i="49" s="1"/>
  <c r="H220" i="49"/>
  <c r="H221" i="49"/>
  <c r="J221" i="49" s="1"/>
  <c r="H222" i="49"/>
  <c r="J222" i="49" s="1"/>
  <c r="H209" i="49"/>
  <c r="J209" i="49" s="1"/>
  <c r="H217" i="49"/>
  <c r="J217" i="49" s="1"/>
  <c r="AF132" i="58"/>
  <c r="AF133" i="58"/>
  <c r="AF134" i="58"/>
  <c r="AF135" i="58"/>
  <c r="AF136" i="58"/>
  <c r="AF137" i="58"/>
  <c r="AE132" i="58"/>
  <c r="AE133" i="58"/>
  <c r="AE134" i="58"/>
  <c r="AE135" i="58"/>
  <c r="AE136" i="58"/>
  <c r="AE137" i="58"/>
  <c r="P95" i="6"/>
  <c r="P96" i="6"/>
  <c r="P97" i="6"/>
  <c r="P98" i="6"/>
  <c r="P99" i="6"/>
  <c r="P100" i="6"/>
  <c r="P101" i="6"/>
  <c r="P102" i="6"/>
  <c r="P103" i="6"/>
  <c r="P104" i="6"/>
  <c r="P105" i="6"/>
  <c r="P106" i="6"/>
  <c r="P107" i="6"/>
  <c r="P108" i="6"/>
  <c r="P109" i="6"/>
  <c r="P110" i="6"/>
  <c r="H61" i="6"/>
  <c r="P61" i="6" s="1"/>
  <c r="H63" i="6"/>
  <c r="I63" i="6" s="1"/>
  <c r="P63" i="6"/>
  <c r="K63" i="6"/>
  <c r="H64" i="6"/>
  <c r="H65" i="6"/>
  <c r="H21" i="6"/>
  <c r="H22" i="6"/>
  <c r="H23" i="6"/>
  <c r="I23" i="6"/>
  <c r="H24" i="6"/>
  <c r="P24" i="6"/>
  <c r="H25" i="6"/>
  <c r="H26" i="6"/>
  <c r="I26" i="6" s="1"/>
  <c r="H27" i="6"/>
  <c r="I27" i="6"/>
  <c r="H28" i="6"/>
  <c r="P28" i="6"/>
  <c r="H29" i="6"/>
  <c r="H30" i="6"/>
  <c r="H31" i="6"/>
  <c r="H32" i="6"/>
  <c r="P32" i="6" s="1"/>
  <c r="I32" i="6"/>
  <c r="H33" i="6"/>
  <c r="H34" i="6"/>
  <c r="I34" i="6" s="1"/>
  <c r="H35" i="6"/>
  <c r="I35" i="6"/>
  <c r="H36" i="6"/>
  <c r="H37" i="6"/>
  <c r="H38" i="6"/>
  <c r="I38" i="6" s="1"/>
  <c r="H39" i="6"/>
  <c r="P39" i="6"/>
  <c r="H40" i="6"/>
  <c r="I40" i="6"/>
  <c r="H41" i="6"/>
  <c r="P41" i="6" s="1"/>
  <c r="I28" i="6"/>
  <c r="P35" i="6"/>
  <c r="I24" i="6"/>
  <c r="P27" i="6"/>
  <c r="I39" i="6"/>
  <c r="P23" i="6"/>
  <c r="P38" i="6"/>
  <c r="I22" i="6"/>
  <c r="P22" i="6"/>
  <c r="I37" i="6"/>
  <c r="P37" i="6"/>
  <c r="I30" i="6"/>
  <c r="P30" i="6"/>
  <c r="I33" i="6"/>
  <c r="P33" i="6"/>
  <c r="I29" i="6"/>
  <c r="P29" i="6"/>
  <c r="I21" i="6"/>
  <c r="P21" i="6"/>
  <c r="P40" i="6"/>
  <c r="F38" i="18"/>
  <c r="F39" i="18"/>
  <c r="F18" i="18"/>
  <c r="F12" i="18"/>
  <c r="F11" i="18"/>
  <c r="F10" i="18"/>
  <c r="AT73" i="59"/>
  <c r="AE73" i="59"/>
  <c r="AB73" i="59"/>
  <c r="Y73" i="59"/>
  <c r="V73" i="59"/>
  <c r="S73" i="59"/>
  <c r="P73" i="59"/>
  <c r="M73" i="59"/>
  <c r="Q615" i="62"/>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c r="S687" i="62"/>
  <c r="S683" i="62"/>
  <c r="S669" i="62"/>
  <c r="S670" i="62"/>
  <c r="W670" i="62" s="1"/>
  <c r="S662" i="62"/>
  <c r="S663" i="62"/>
  <c r="W663" i="62" s="1"/>
  <c r="S650" i="62"/>
  <c r="S651" i="62"/>
  <c r="S611" i="62"/>
  <c r="X611" i="62"/>
  <c r="Z611" i="62" s="1"/>
  <c r="S612" i="62"/>
  <c r="X612" i="62" s="1"/>
  <c r="Z612" i="62" s="1"/>
  <c r="S613" i="62"/>
  <c r="X613" i="62" s="1"/>
  <c r="Y613" i="62" s="1"/>
  <c r="S614" i="62"/>
  <c r="X614" i="62" s="1"/>
  <c r="Y614" i="62" s="1"/>
  <c r="S555" i="62"/>
  <c r="S581" i="62"/>
  <c r="V581" i="62" s="1"/>
  <c r="S582" i="62"/>
  <c r="AD582" i="62" s="1"/>
  <c r="S583" i="62"/>
  <c r="V583" i="62" s="1"/>
  <c r="S584" i="62"/>
  <c r="S585" i="62"/>
  <c r="S586" i="62"/>
  <c r="S587" i="62"/>
  <c r="AD587" i="62" s="1"/>
  <c r="F588" i="62"/>
  <c r="S556" i="62"/>
  <c r="F546" i="62"/>
  <c r="S541" i="62"/>
  <c r="X541" i="62" s="1"/>
  <c r="AB541" i="62" s="1"/>
  <c r="S542" i="62"/>
  <c r="X542" i="62"/>
  <c r="AB542" i="62" s="1"/>
  <c r="S524" i="62"/>
  <c r="V524" i="62"/>
  <c r="S525" i="62"/>
  <c r="V525" i="62" s="1"/>
  <c r="AD525" i="62" s="1"/>
  <c r="S508" i="62"/>
  <c r="V508" i="62"/>
  <c r="AF508" i="62" s="1"/>
  <c r="S509" i="62"/>
  <c r="V509" i="62"/>
  <c r="AD509" i="62"/>
  <c r="S510" i="62"/>
  <c r="V510" i="62" s="1"/>
  <c r="AD510" i="62" s="1"/>
  <c r="S499" i="62"/>
  <c r="V499" i="62"/>
  <c r="AF499" i="62" s="1"/>
  <c r="S500" i="62"/>
  <c r="V500" i="62"/>
  <c r="S501" i="62"/>
  <c r="V501" i="62" s="1"/>
  <c r="AD501" i="62" s="1"/>
  <c r="S502" i="62"/>
  <c r="S473" i="62"/>
  <c r="V473" i="62" s="1"/>
  <c r="S462" i="62"/>
  <c r="V462" i="62" s="1"/>
  <c r="S475" i="62"/>
  <c r="V475" i="62" s="1"/>
  <c r="S463" i="62"/>
  <c r="V463" i="62"/>
  <c r="S450" i="62"/>
  <c r="S439" i="62"/>
  <c r="V439" i="62" s="1"/>
  <c r="S420" i="62"/>
  <c r="S421" i="62"/>
  <c r="V421" i="62" s="1"/>
  <c r="AD421" i="62" s="1"/>
  <c r="S422" i="62"/>
  <c r="S412" i="62"/>
  <c r="S413" i="62"/>
  <c r="W413" i="62" s="1"/>
  <c r="S414" i="62"/>
  <c r="S415" i="62"/>
  <c r="U415" i="62" s="1"/>
  <c r="S416" i="62"/>
  <c r="U416" i="62" s="1"/>
  <c r="S417" i="62"/>
  <c r="W417" i="62"/>
  <c r="AC417" i="62" s="1"/>
  <c r="S206" i="62"/>
  <c r="S335" i="62"/>
  <c r="W335" i="62"/>
  <c r="AC335" i="62"/>
  <c r="S336" i="62"/>
  <c r="W336" i="62" s="1"/>
  <c r="AC336" i="62" s="1"/>
  <c r="S337" i="62"/>
  <c r="S338" i="62"/>
  <c r="AC338" i="62" s="1"/>
  <c r="S339" i="62"/>
  <c r="S309" i="62"/>
  <c r="G325" i="62"/>
  <c r="H325" i="62"/>
  <c r="I325" i="62"/>
  <c r="J325" i="62"/>
  <c r="K325" i="62"/>
  <c r="L325" i="62"/>
  <c r="M325" i="62"/>
  <c r="N325" i="62"/>
  <c r="O325" i="62"/>
  <c r="P325" i="62"/>
  <c r="Q325" i="62"/>
  <c r="R325" i="62"/>
  <c r="F325" i="62"/>
  <c r="S265" i="62"/>
  <c r="U265" i="62" s="1"/>
  <c r="AF265" i="62" s="1"/>
  <c r="S266" i="62"/>
  <c r="S267" i="62"/>
  <c r="S241" i="62"/>
  <c r="S242" i="62"/>
  <c r="U242" i="62" s="1"/>
  <c r="S297" i="62"/>
  <c r="G298" i="62"/>
  <c r="H298" i="62"/>
  <c r="I298" i="62"/>
  <c r="J298" i="62"/>
  <c r="K298" i="62"/>
  <c r="L298" i="62"/>
  <c r="M298" i="62"/>
  <c r="N298" i="62"/>
  <c r="O298" i="62"/>
  <c r="P298" i="62"/>
  <c r="Q298" i="62"/>
  <c r="R298" i="62"/>
  <c r="F298" i="62"/>
  <c r="S278" i="62"/>
  <c r="S279" i="62"/>
  <c r="AD279" i="62" s="1"/>
  <c r="S280" i="62"/>
  <c r="S281" i="62"/>
  <c r="V281" i="62" s="1"/>
  <c r="S282" i="62"/>
  <c r="S283" i="62"/>
  <c r="S284" i="62"/>
  <c r="S285" i="62"/>
  <c r="S286" i="62"/>
  <c r="X286" i="62" s="1"/>
  <c r="AB286" i="62" s="1"/>
  <c r="S287" i="62"/>
  <c r="S288" i="62"/>
  <c r="S289" i="62"/>
  <c r="S290" i="62"/>
  <c r="S291" i="62"/>
  <c r="S292" i="62"/>
  <c r="S293" i="62"/>
  <c r="X293" i="62"/>
  <c r="S294" i="62"/>
  <c r="X294" i="62" s="1"/>
  <c r="S295" i="62"/>
  <c r="X295" i="62" s="1"/>
  <c r="S296" i="62"/>
  <c r="X296" i="62" s="1"/>
  <c r="AB296" i="62"/>
  <c r="AD288" i="62"/>
  <c r="V288" i="62"/>
  <c r="AF288" i="62" s="1"/>
  <c r="AD280" i="62"/>
  <c r="V280" i="62"/>
  <c r="AD297" i="62"/>
  <c r="V297" i="62"/>
  <c r="AD499" i="62"/>
  <c r="AD265" i="62"/>
  <c r="AC414" i="62"/>
  <c r="W414" i="62"/>
  <c r="AD502" i="62"/>
  <c r="AF502" i="62" s="1"/>
  <c r="V502" i="62"/>
  <c r="AB585" i="62"/>
  <c r="X585" i="62"/>
  <c r="AC683" i="62"/>
  <c r="W683" i="62"/>
  <c r="AC413" i="62"/>
  <c r="AF501" i="62"/>
  <c r="AB584" i="62"/>
  <c r="X584" i="62"/>
  <c r="AD555" i="62"/>
  <c r="V555" i="62"/>
  <c r="AC662" i="62"/>
  <c r="W662" i="62"/>
  <c r="AC687" i="62"/>
  <c r="W687" i="62"/>
  <c r="AD292" i="62"/>
  <c r="V292" i="62"/>
  <c r="AC339" i="62"/>
  <c r="W339" i="62"/>
  <c r="AD415" i="62"/>
  <c r="AD586" i="62"/>
  <c r="V586" i="62"/>
  <c r="AC669" i="62"/>
  <c r="W669" i="62"/>
  <c r="AB295" i="62"/>
  <c r="AD242" i="62"/>
  <c r="W338" i="62"/>
  <c r="AD581" i="62"/>
  <c r="AC663" i="62"/>
  <c r="AD281" i="62"/>
  <c r="AD267" i="62"/>
  <c r="U267" i="62"/>
  <c r="AC412" i="62"/>
  <c r="W412" i="62"/>
  <c r="AD462" i="62"/>
  <c r="AD500" i="62"/>
  <c r="AF500" i="62"/>
  <c r="AD508" i="62"/>
  <c r="AD583" i="62"/>
  <c r="AC651" i="62"/>
  <c r="W651" i="62"/>
  <c r="AC670" i="62"/>
  <c r="AD463" i="62"/>
  <c r="AF463" i="62" s="1"/>
  <c r="S230" i="62"/>
  <c r="AD230" i="62" s="1"/>
  <c r="S231" i="62"/>
  <c r="S219" i="62"/>
  <c r="AC219" i="62" s="1"/>
  <c r="S220" i="62"/>
  <c r="S221" i="62"/>
  <c r="AC221" i="62" s="1"/>
  <c r="S222" i="62"/>
  <c r="S203" i="62"/>
  <c r="AD203" i="62" s="1"/>
  <c r="S204" i="62"/>
  <c r="S205" i="62"/>
  <c r="AD205" i="62" s="1"/>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c r="S125" i="62"/>
  <c r="S126" i="62"/>
  <c r="S127" i="62"/>
  <c r="S128" i="62"/>
  <c r="S129" i="62"/>
  <c r="S130" i="62"/>
  <c r="S131" i="62"/>
  <c r="S132" i="62"/>
  <c r="S133" i="62"/>
  <c r="S134" i="62"/>
  <c r="S135" i="62"/>
  <c r="S136" i="62"/>
  <c r="S137" i="62"/>
  <c r="S138" i="62"/>
  <c r="S139" i="62"/>
  <c r="S140" i="62"/>
  <c r="S141" i="62"/>
  <c r="S142" i="62"/>
  <c r="U142" i="62"/>
  <c r="AD222" i="62"/>
  <c r="V222" i="62"/>
  <c r="U230" i="62"/>
  <c r="AD168" i="62"/>
  <c r="AD204" i="62"/>
  <c r="U204" i="62"/>
  <c r="AC220" i="62"/>
  <c r="W220" i="62"/>
  <c r="AD142" i="62"/>
  <c r="AF142" i="62" s="1"/>
  <c r="U205" i="62"/>
  <c r="W221" i="62"/>
  <c r="AD167" i="62"/>
  <c r="W219" i="62"/>
  <c r="F81" i="62"/>
  <c r="G81" i="62"/>
  <c r="H81" i="62"/>
  <c r="H99" i="62" s="1"/>
  <c r="I81" i="62"/>
  <c r="J81" i="62"/>
  <c r="K81" i="62"/>
  <c r="L81" i="62"/>
  <c r="M81" i="62"/>
  <c r="N81" i="62"/>
  <c r="O81" i="62"/>
  <c r="P81" i="62"/>
  <c r="P99" i="62" s="1"/>
  <c r="P122" i="62" s="1"/>
  <c r="Q81" i="62"/>
  <c r="R81" i="62"/>
  <c r="S79" i="62"/>
  <c r="U79" i="62" s="1"/>
  <c r="AD79" i="62" s="1"/>
  <c r="S80" i="62"/>
  <c r="U80" i="62"/>
  <c r="AD80" i="62"/>
  <c r="S76" i="62"/>
  <c r="U76" i="62" s="1"/>
  <c r="AD76" i="62" s="1"/>
  <c r="S77" i="62"/>
  <c r="U77" i="62"/>
  <c r="AD77" i="62" s="1"/>
  <c r="S78" i="62"/>
  <c r="U78" i="62"/>
  <c r="AD78" i="62" s="1"/>
  <c r="S62" i="62"/>
  <c r="S49" i="62"/>
  <c r="S50" i="62"/>
  <c r="S51" i="62"/>
  <c r="S52" i="62"/>
  <c r="S53" i="62"/>
  <c r="S54" i="62"/>
  <c r="S55" i="62"/>
  <c r="S56" i="62"/>
  <c r="S57" i="62"/>
  <c r="S58" i="62"/>
  <c r="F59" i="62"/>
  <c r="G59" i="62"/>
  <c r="H59" i="62"/>
  <c r="I59" i="62"/>
  <c r="J59" i="62"/>
  <c r="K59" i="62"/>
  <c r="L59" i="62"/>
  <c r="M59" i="62"/>
  <c r="N59" i="62"/>
  <c r="O59" i="62"/>
  <c r="P59" i="62"/>
  <c r="Q59" i="62"/>
  <c r="R59" i="62"/>
  <c r="S45" i="62"/>
  <c r="S42" i="62"/>
  <c r="S43" i="62"/>
  <c r="S46" i="62" s="1"/>
  <c r="S44" i="62"/>
  <c r="S41" i="62"/>
  <c r="S23" i="62"/>
  <c r="S24" i="62"/>
  <c r="S25" i="62"/>
  <c r="S26" i="62"/>
  <c r="S27" i="62"/>
  <c r="S16" i="62"/>
  <c r="S17" i="62"/>
  <c r="X17" i="62"/>
  <c r="AY37" i="59"/>
  <c r="AY38" i="59"/>
  <c r="AY39" i="59"/>
  <c r="AY40" i="59"/>
  <c r="AY41" i="59"/>
  <c r="AY42" i="59"/>
  <c r="AX37" i="59"/>
  <c r="AX38" i="59"/>
  <c r="AX39" i="59"/>
  <c r="AX40" i="59"/>
  <c r="AX41" i="59"/>
  <c r="AX42" i="59"/>
  <c r="AT38" i="59"/>
  <c r="AT39" i="59"/>
  <c r="AT40" i="59"/>
  <c r="AT41" i="59"/>
  <c r="AT42" i="59"/>
  <c r="AT37" i="59"/>
  <c r="AT36" i="59"/>
  <c r="AT28" i="59"/>
  <c r="AT43" i="59" s="1"/>
  <c r="AT29" i="59"/>
  <c r="AT30" i="59"/>
  <c r="AT31" i="59"/>
  <c r="AW31" i="59" s="1"/>
  <c r="AT32" i="59"/>
  <c r="AT33" i="59"/>
  <c r="AT34" i="59"/>
  <c r="AT27" i="59"/>
  <c r="AQ38" i="59"/>
  <c r="AQ39" i="59"/>
  <c r="AQ40" i="59"/>
  <c r="AQ41" i="59"/>
  <c r="AQ42" i="59"/>
  <c r="AQ37" i="59"/>
  <c r="AQ36" i="59"/>
  <c r="AQ28" i="59"/>
  <c r="AQ29" i="59"/>
  <c r="AQ43" i="59" s="1"/>
  <c r="AQ30" i="59"/>
  <c r="AQ31" i="59"/>
  <c r="AQ32" i="59"/>
  <c r="AQ33" i="59"/>
  <c r="AQ34" i="59"/>
  <c r="AQ27" i="59"/>
  <c r="AN38" i="59"/>
  <c r="AN39" i="59"/>
  <c r="AN40" i="59"/>
  <c r="AN41" i="59"/>
  <c r="AN42" i="59"/>
  <c r="AN37" i="59"/>
  <c r="AN36" i="59"/>
  <c r="AN28" i="59"/>
  <c r="AN29" i="59"/>
  <c r="AN30" i="59"/>
  <c r="AN79" i="59" s="1"/>
  <c r="AN31" i="59"/>
  <c r="AN32" i="59"/>
  <c r="AN33" i="59"/>
  <c r="AN34" i="59"/>
  <c r="AN27" i="59"/>
  <c r="AK38" i="59"/>
  <c r="AK39" i="59"/>
  <c r="AK40" i="59"/>
  <c r="AK79" i="59" s="1"/>
  <c r="AK41" i="59"/>
  <c r="AK42" i="59"/>
  <c r="AK37" i="59"/>
  <c r="AW37" i="59" s="1"/>
  <c r="AK36" i="59"/>
  <c r="AK28" i="59"/>
  <c r="AK29" i="59"/>
  <c r="AK30" i="59"/>
  <c r="AK31" i="59"/>
  <c r="AK32" i="59"/>
  <c r="AK33" i="59"/>
  <c r="AK34" i="59"/>
  <c r="AW34" i="59" s="1"/>
  <c r="AK27" i="59"/>
  <c r="AH38" i="59"/>
  <c r="AH39" i="59"/>
  <c r="AH40" i="59"/>
  <c r="AH41" i="59"/>
  <c r="AH42" i="59"/>
  <c r="AH37" i="59"/>
  <c r="AH36" i="59"/>
  <c r="AH28" i="59"/>
  <c r="AH29" i="59"/>
  <c r="AH30" i="59"/>
  <c r="AH31" i="59"/>
  <c r="AH32" i="59"/>
  <c r="AH33" i="59"/>
  <c r="AH34" i="59"/>
  <c r="AH27" i="59"/>
  <c r="AH43" i="59" s="1"/>
  <c r="AE38" i="59"/>
  <c r="AE39" i="59"/>
  <c r="AE40" i="59"/>
  <c r="AE41" i="59"/>
  <c r="AE42" i="59"/>
  <c r="AW42" i="59" s="1"/>
  <c r="AE37" i="59"/>
  <c r="AE36" i="59"/>
  <c r="AE28" i="59"/>
  <c r="AE29" i="59"/>
  <c r="AE79" i="59" s="1"/>
  <c r="AE30" i="59"/>
  <c r="AE31" i="59"/>
  <c r="AE32" i="59"/>
  <c r="AE33" i="59"/>
  <c r="AE34" i="59"/>
  <c r="AE27" i="59"/>
  <c r="AB38" i="59"/>
  <c r="AW38" i="59" s="1"/>
  <c r="AB39" i="59"/>
  <c r="AB40" i="59"/>
  <c r="AB41" i="59"/>
  <c r="AB42" i="59"/>
  <c r="AB37" i="59"/>
  <c r="AB36" i="59"/>
  <c r="AB28" i="59"/>
  <c r="AB29" i="59"/>
  <c r="AB30" i="59"/>
  <c r="AB31" i="59"/>
  <c r="AB32" i="59"/>
  <c r="AB33" i="59"/>
  <c r="AB34" i="59"/>
  <c r="AB27" i="59"/>
  <c r="Y38" i="59"/>
  <c r="Y39" i="59"/>
  <c r="AW39" i="59" s="1"/>
  <c r="Y40" i="59"/>
  <c r="Y41" i="59"/>
  <c r="Y42" i="59"/>
  <c r="Y37" i="59"/>
  <c r="Y36" i="59"/>
  <c r="Y28" i="59"/>
  <c r="Y29" i="59"/>
  <c r="Y30" i="59"/>
  <c r="Y79" i="59" s="1"/>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43" i="59" s="1"/>
  <c r="P75" i="59" s="1"/>
  <c r="P31" i="59"/>
  <c r="P32" i="59"/>
  <c r="P33" i="59"/>
  <c r="P34" i="59"/>
  <c r="P26" i="59"/>
  <c r="M38" i="59"/>
  <c r="M39" i="59"/>
  <c r="M40" i="59"/>
  <c r="M79" i="59" s="1"/>
  <c r="M41" i="59"/>
  <c r="M42" i="59"/>
  <c r="M37" i="59"/>
  <c r="M36" i="59"/>
  <c r="M27" i="59"/>
  <c r="M28" i="59"/>
  <c r="M29" i="59"/>
  <c r="M30" i="59"/>
  <c r="M31" i="59"/>
  <c r="M32" i="59"/>
  <c r="M33" i="59"/>
  <c r="M34" i="59"/>
  <c r="M26" i="59"/>
  <c r="J38" i="59"/>
  <c r="J39" i="59"/>
  <c r="J40" i="59"/>
  <c r="J41" i="59"/>
  <c r="J42" i="59"/>
  <c r="J37" i="59"/>
  <c r="J36" i="59"/>
  <c r="J27" i="59"/>
  <c r="J28" i="59"/>
  <c r="J29" i="59"/>
  <c r="J30" i="59"/>
  <c r="AW30" i="59" s="1"/>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AQ79" i="59"/>
  <c r="AB79" i="59"/>
  <c r="AH79" i="59"/>
  <c r="AB43" i="59"/>
  <c r="Z98" i="31"/>
  <c r="S15" i="62"/>
  <c r="S18" i="62"/>
  <c r="S19" i="62"/>
  <c r="S22" i="62"/>
  <c r="S30" i="62"/>
  <c r="S31" i="62"/>
  <c r="S38" i="62"/>
  <c r="S48" i="62"/>
  <c r="S61" i="62"/>
  <c r="S63" i="62"/>
  <c r="S65" i="62"/>
  <c r="U65" i="62" s="1"/>
  <c r="S66" i="62"/>
  <c r="S67" i="62"/>
  <c r="S68" i="62"/>
  <c r="S69" i="62"/>
  <c r="S70" i="62"/>
  <c r="S71" i="62"/>
  <c r="S72" i="62"/>
  <c r="S73" i="62"/>
  <c r="U73" i="62" s="1"/>
  <c r="S74" i="62"/>
  <c r="S75" i="62"/>
  <c r="S83" i="62"/>
  <c r="S84" i="62"/>
  <c r="S86" i="62"/>
  <c r="S87" i="62"/>
  <c r="S88" i="62"/>
  <c r="S89" i="62"/>
  <c r="S90" i="62"/>
  <c r="S91" i="62"/>
  <c r="S92" i="62"/>
  <c r="S93" i="62"/>
  <c r="S94" i="62"/>
  <c r="S97" i="62"/>
  <c r="S100" i="62"/>
  <c r="S101" i="62"/>
  <c r="S102" i="62"/>
  <c r="S103" i="62"/>
  <c r="S104" i="62"/>
  <c r="S105" i="62"/>
  <c r="S106" i="62"/>
  <c r="S107" i="62"/>
  <c r="S108" i="62"/>
  <c r="S109" i="62"/>
  <c r="U109" i="62" s="1"/>
  <c r="S110" i="62"/>
  <c r="S111" i="62"/>
  <c r="S112" i="62"/>
  <c r="S113" i="62"/>
  <c r="S114" i="62"/>
  <c r="S115" i="62"/>
  <c r="S116" i="62"/>
  <c r="S117" i="62"/>
  <c r="U117" i="62" s="1"/>
  <c r="S118" i="62"/>
  <c r="S119" i="62"/>
  <c r="S124" i="62"/>
  <c r="S143" i="62"/>
  <c r="S144" i="62"/>
  <c r="S145" i="62"/>
  <c r="S146" i="62"/>
  <c r="S147" i="62"/>
  <c r="U147" i="62" s="1"/>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U179" i="62" s="1"/>
  <c r="S180" i="62"/>
  <c r="S183" i="62"/>
  <c r="S184" i="62"/>
  <c r="S185" i="62"/>
  <c r="S186" i="62"/>
  <c r="S187" i="62"/>
  <c r="S188" i="62"/>
  <c r="S189" i="62"/>
  <c r="S190" i="62"/>
  <c r="S191" i="62"/>
  <c r="S192" i="62"/>
  <c r="S193" i="62"/>
  <c r="S194" i="62"/>
  <c r="S195" i="62"/>
  <c r="S198" i="62"/>
  <c r="S199" i="62"/>
  <c r="X199" i="62" s="1"/>
  <c r="S201" i="62"/>
  <c r="S202" i="62"/>
  <c r="X202" i="62" s="1"/>
  <c r="S207" i="62"/>
  <c r="S208" i="62"/>
  <c r="S209" i="62"/>
  <c r="S210" i="62"/>
  <c r="S211" i="62"/>
  <c r="S212" i="62"/>
  <c r="S213" i="62"/>
  <c r="S214" i="62"/>
  <c r="S215" i="62"/>
  <c r="S216" i="62"/>
  <c r="S217" i="62"/>
  <c r="S218" i="62"/>
  <c r="S223" i="62"/>
  <c r="AD223" i="62" s="1"/>
  <c r="AF223" i="62" s="1"/>
  <c r="S226" i="62"/>
  <c r="S227" i="62" s="1"/>
  <c r="S229" i="62"/>
  <c r="S232" i="62"/>
  <c r="S233" i="62"/>
  <c r="S234" i="62"/>
  <c r="S235" i="62"/>
  <c r="U235" i="62" s="1"/>
  <c r="S236" i="62"/>
  <c r="X236" i="62" s="1"/>
  <c r="AB236" i="62" s="1"/>
  <c r="S237" i="62"/>
  <c r="X237" i="62"/>
  <c r="AB237" i="62" s="1"/>
  <c r="S238" i="62"/>
  <c r="X238" i="62"/>
  <c r="AB238" i="62" s="1"/>
  <c r="S239" i="62"/>
  <c r="X239" i="62" s="1"/>
  <c r="AB239" i="62" s="1"/>
  <c r="S240" i="62"/>
  <c r="X240" i="62" s="1"/>
  <c r="AB240" i="62" s="1"/>
  <c r="S243" i="62"/>
  <c r="U243" i="62" s="1"/>
  <c r="S244" i="62"/>
  <c r="S245" i="62"/>
  <c r="S246" i="62"/>
  <c r="S247" i="62"/>
  <c r="S248" i="62"/>
  <c r="S249" i="62"/>
  <c r="S250" i="62"/>
  <c r="S251" i="62"/>
  <c r="U251" i="62" s="1"/>
  <c r="S252" i="62"/>
  <c r="S253" i="62"/>
  <c r="S254" i="62"/>
  <c r="S255" i="62"/>
  <c r="S256" i="62"/>
  <c r="S257" i="62"/>
  <c r="S258" i="62"/>
  <c r="S259" i="62"/>
  <c r="U259" i="62" s="1"/>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V434" i="62" s="1"/>
  <c r="S435" i="62"/>
  <c r="S436" i="62"/>
  <c r="S437" i="62"/>
  <c r="S438" i="62"/>
  <c r="S440" i="62"/>
  <c r="S442" i="62"/>
  <c r="S443" i="62"/>
  <c r="S444" i="62"/>
  <c r="S445" i="62"/>
  <c r="S446" i="62"/>
  <c r="S447" i="62"/>
  <c r="S449" i="62"/>
  <c r="S453" i="62"/>
  <c r="S454" i="62"/>
  <c r="S455" i="62"/>
  <c r="S456" i="62"/>
  <c r="S457" i="62" s="1"/>
  <c r="S464" i="62"/>
  <c r="S465" i="62"/>
  <c r="S466" i="62"/>
  <c r="S467" i="62"/>
  <c r="S468" i="62"/>
  <c r="S469" i="62"/>
  <c r="S470" i="62"/>
  <c r="S471" i="62"/>
  <c r="S472" i="62"/>
  <c r="S474" i="62"/>
  <c r="S476" i="62"/>
  <c r="S477" i="62"/>
  <c r="S478" i="62"/>
  <c r="S479" i="62"/>
  <c r="S480" i="62"/>
  <c r="S481" i="62"/>
  <c r="V481" i="62" s="1"/>
  <c r="S482" i="62"/>
  <c r="S483" i="62"/>
  <c r="S484" i="62"/>
  <c r="S485" i="62"/>
  <c r="S486" i="62"/>
  <c r="S487" i="62"/>
  <c r="S488" i="62"/>
  <c r="S489" i="62"/>
  <c r="V489" i="62" s="1"/>
  <c r="S490" i="62"/>
  <c r="S491" i="62"/>
  <c r="S492" i="62"/>
  <c r="S493" i="62"/>
  <c r="S494" i="62"/>
  <c r="S495" i="62"/>
  <c r="S496" i="62"/>
  <c r="S497" i="62"/>
  <c r="V497" i="62" s="1"/>
  <c r="S498" i="62"/>
  <c r="S503" i="62"/>
  <c r="S504" i="62"/>
  <c r="S505" i="62"/>
  <c r="S506" i="62"/>
  <c r="S507" i="62"/>
  <c r="S511" i="62"/>
  <c r="S512" i="62"/>
  <c r="V512" i="62" s="1"/>
  <c r="S513" i="62"/>
  <c r="S514" i="62"/>
  <c r="S515" i="62"/>
  <c r="S516" i="62"/>
  <c r="S517" i="62"/>
  <c r="S518" i="62"/>
  <c r="S519" i="62"/>
  <c r="S520" i="62"/>
  <c r="S521" i="62"/>
  <c r="S522" i="62"/>
  <c r="S523" i="62"/>
  <c r="S526" i="62"/>
  <c r="S527" i="62"/>
  <c r="S528" i="62"/>
  <c r="S529" i="62"/>
  <c r="S530" i="62"/>
  <c r="V530" i="62" s="1"/>
  <c r="S531" i="62"/>
  <c r="S532" i="62"/>
  <c r="S533" i="62"/>
  <c r="S534" i="62"/>
  <c r="S535" i="62"/>
  <c r="S536" i="62"/>
  <c r="S537" i="62"/>
  <c r="S538" i="62"/>
  <c r="S539" i="62"/>
  <c r="S540" i="62"/>
  <c r="S543" i="62"/>
  <c r="S544" i="62"/>
  <c r="V544" i="62"/>
  <c r="S545" i="62"/>
  <c r="V545" i="62"/>
  <c r="S548" i="62"/>
  <c r="S549" i="62"/>
  <c r="S550" i="62"/>
  <c r="S551" i="62"/>
  <c r="S552" i="62"/>
  <c r="S553" i="62"/>
  <c r="S554" i="62"/>
  <c r="S557" i="62"/>
  <c r="S558" i="62"/>
  <c r="X558" i="62" s="1"/>
  <c r="S559" i="62"/>
  <c r="S560" i="62"/>
  <c r="S561" i="62"/>
  <c r="S562" i="62"/>
  <c r="S563" i="62"/>
  <c r="S564" i="62"/>
  <c r="S565" i="62"/>
  <c r="S566" i="62"/>
  <c r="V566" i="62" s="1"/>
  <c r="S567" i="62"/>
  <c r="S568" i="62"/>
  <c r="S569" i="62"/>
  <c r="V569" i="62" s="1"/>
  <c r="S570" i="62"/>
  <c r="V570" i="62" s="1"/>
  <c r="S571" i="62"/>
  <c r="S572" i="62"/>
  <c r="X572" i="62" s="1"/>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X602" i="62" s="1"/>
  <c r="S603" i="62"/>
  <c r="S604" i="62"/>
  <c r="AB604" i="62"/>
  <c r="S605" i="62"/>
  <c r="S606" i="62"/>
  <c r="AB606" i="62"/>
  <c r="S607" i="62"/>
  <c r="S608" i="62"/>
  <c r="S609" i="62"/>
  <c r="AB609" i="62" s="1"/>
  <c r="S610" i="62"/>
  <c r="AD610" i="62" s="1"/>
  <c r="AF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AC680" i="62" s="1"/>
  <c r="S681" i="62"/>
  <c r="S682" i="62"/>
  <c r="S684" i="62"/>
  <c r="S688" i="62"/>
  <c r="S689" i="62"/>
  <c r="AC689" i="62" s="1"/>
  <c r="S690" i="62"/>
  <c r="S691" i="62"/>
  <c r="S692" i="62"/>
  <c r="S693" i="62"/>
  <c r="S694" i="62"/>
  <c r="S695" i="62"/>
  <c r="S696" i="62"/>
  <c r="S697" i="62"/>
  <c r="AC697" i="62" s="1"/>
  <c r="S615" i="62"/>
  <c r="S20" i="62"/>
  <c r="S330" i="62"/>
  <c r="S32" i="62"/>
  <c r="AB271" i="62"/>
  <c r="X271" i="62"/>
  <c r="S371" i="62"/>
  <c r="AB186" i="62"/>
  <c r="X186" i="62"/>
  <c r="Y199" i="62"/>
  <c r="X193" i="62"/>
  <c r="AB193" i="62"/>
  <c r="X185" i="62"/>
  <c r="X190" i="62"/>
  <c r="AB190" i="62"/>
  <c r="X198" i="62"/>
  <c r="Y198" i="62"/>
  <c r="X192" i="62"/>
  <c r="Z192" i="62"/>
  <c r="AB184" i="62"/>
  <c r="X184" i="62"/>
  <c r="X191" i="62"/>
  <c r="Z191" i="62" s="1"/>
  <c r="AB183" i="62"/>
  <c r="X183" i="62"/>
  <c r="AC696" i="62"/>
  <c r="AC695" i="62"/>
  <c r="AC694" i="62"/>
  <c r="AC693" i="62"/>
  <c r="AC691" i="62"/>
  <c r="AC690" i="62"/>
  <c r="AC688" i="62"/>
  <c r="AC684" i="62"/>
  <c r="AC682" i="62"/>
  <c r="AC681" i="62"/>
  <c r="AC679" i="62"/>
  <c r="AC678" i="62"/>
  <c r="AC677" i="62"/>
  <c r="AC676" i="62"/>
  <c r="AC675" i="62"/>
  <c r="AC674" i="62"/>
  <c r="AC673" i="62"/>
  <c r="AC671" i="62"/>
  <c r="AC668" i="62"/>
  <c r="AC667" i="62"/>
  <c r="AC666" i="62"/>
  <c r="AC665" i="62"/>
  <c r="AC664" i="62"/>
  <c r="AC661" i="62"/>
  <c r="AC659" i="62"/>
  <c r="AC658" i="62"/>
  <c r="AC657" i="62"/>
  <c r="AC656" i="62"/>
  <c r="AC655" i="62"/>
  <c r="AC654" i="62"/>
  <c r="AC653" i="62"/>
  <c r="AC649" i="62"/>
  <c r="AC648" i="62"/>
  <c r="AC647" i="62"/>
  <c r="AC646" i="62"/>
  <c r="AC645" i="62"/>
  <c r="AC644" i="62"/>
  <c r="AC643" i="62"/>
  <c r="AC641" i="62"/>
  <c r="AC640" i="62"/>
  <c r="AC639" i="62"/>
  <c r="AC638" i="62"/>
  <c r="AC637" i="62"/>
  <c r="AC636" i="62"/>
  <c r="AC635" i="62"/>
  <c r="AC633" i="62"/>
  <c r="AC632" i="62"/>
  <c r="AC631" i="62"/>
  <c r="AC630" i="62"/>
  <c r="AC629" i="62"/>
  <c r="AC628" i="62"/>
  <c r="AC627" i="62"/>
  <c r="AC625" i="62"/>
  <c r="AC624" i="62"/>
  <c r="AC623" i="62"/>
  <c r="AC622" i="62"/>
  <c r="AC621" i="62"/>
  <c r="AC620" i="62"/>
  <c r="AC619" i="62"/>
  <c r="AC617" i="62"/>
  <c r="AB602"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7" i="62"/>
  <c r="AF286" i="62"/>
  <c r="AF285" i="62"/>
  <c r="AF284" i="62"/>
  <c r="AF283" i="62"/>
  <c r="AF282" i="62"/>
  <c r="AF277" i="62"/>
  <c r="AF274" i="62"/>
  <c r="AF270" i="62"/>
  <c r="AF269" i="62"/>
  <c r="AF268" i="62"/>
  <c r="AF228" i="62"/>
  <c r="AF227" i="62"/>
  <c r="AF226" i="62"/>
  <c r="AF225" i="62"/>
  <c r="AF224"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1" i="62"/>
  <c r="X568" i="62"/>
  <c r="X567" i="62"/>
  <c r="AC386" i="62"/>
  <c r="AC383" i="62"/>
  <c r="AC381" i="62"/>
  <c r="AC380" i="62"/>
  <c r="AC379" i="62"/>
  <c r="AC378" i="62"/>
  <c r="AC377" i="62"/>
  <c r="AC376" i="62"/>
  <c r="AC375" i="62"/>
  <c r="AC370" i="62"/>
  <c r="AC369" i="62"/>
  <c r="AC368" i="62"/>
  <c r="AC367" i="62"/>
  <c r="AC366" i="62"/>
  <c r="AC365" i="62"/>
  <c r="AC364" i="62"/>
  <c r="AC362" i="62"/>
  <c r="AC361" i="62"/>
  <c r="AC360" i="62"/>
  <c r="AC359" i="62"/>
  <c r="AC358" i="62"/>
  <c r="AC357" i="62"/>
  <c r="AC356" i="62"/>
  <c r="AC354" i="62"/>
  <c r="AC353" i="62"/>
  <c r="AC352" i="62"/>
  <c r="AC351" i="62"/>
  <c r="AC350" i="62"/>
  <c r="AC347" i="62"/>
  <c r="AC346" i="62"/>
  <c r="AC344" i="62"/>
  <c r="AC343" i="62"/>
  <c r="AC342" i="62"/>
  <c r="AC341" i="62"/>
  <c r="AC340" i="62"/>
  <c r="AC337" i="62"/>
  <c r="AC334" i="62"/>
  <c r="AC333" i="62"/>
  <c r="AC329" i="62"/>
  <c r="AC328" i="62"/>
  <c r="AC327" i="62"/>
  <c r="AC324" i="62"/>
  <c r="AC323" i="62"/>
  <c r="AC322" i="62"/>
  <c r="AC321" i="62"/>
  <c r="AC319" i="62"/>
  <c r="AC318" i="62"/>
  <c r="AC317" i="62"/>
  <c r="AC316" i="62"/>
  <c r="AC315" i="62"/>
  <c r="AC314" i="62"/>
  <c r="AC313" i="62"/>
  <c r="AC311" i="62"/>
  <c r="AC310" i="62"/>
  <c r="AC309" i="62"/>
  <c r="AC307" i="62"/>
  <c r="AC306" i="62"/>
  <c r="AC303" i="62"/>
  <c r="AC302" i="62"/>
  <c r="AC301" i="62"/>
  <c r="AC300" i="62"/>
  <c r="AD276" i="62"/>
  <c r="AD275" i="62"/>
  <c r="U276" i="62"/>
  <c r="AF276" i="62" s="1"/>
  <c r="U275" i="62"/>
  <c r="U273" i="62"/>
  <c r="U272" i="62"/>
  <c r="AF275" i="62"/>
  <c r="AC92" i="58"/>
  <c r="W680" i="62"/>
  <c r="W681" i="62"/>
  <c r="X85" i="62"/>
  <c r="W689" i="62"/>
  <c r="W666" i="62"/>
  <c r="W667" i="62"/>
  <c r="W668" i="62"/>
  <c r="X599" i="62"/>
  <c r="V549" i="62"/>
  <c r="V550" i="62"/>
  <c r="AD550" i="62" s="1"/>
  <c r="X551" i="62"/>
  <c r="X552" i="62"/>
  <c r="AB552" i="62" s="1"/>
  <c r="AF552" i="62" s="1"/>
  <c r="X553" i="62"/>
  <c r="X557" i="62"/>
  <c r="X559" i="62"/>
  <c r="X560" i="62"/>
  <c r="X561" i="62"/>
  <c r="AB553" i="62"/>
  <c r="AF553" i="62" s="1"/>
  <c r="AB551" i="62"/>
  <c r="AF551" i="62" s="1"/>
  <c r="X554" i="62"/>
  <c r="X597" i="62"/>
  <c r="X593" i="62"/>
  <c r="X594" i="62"/>
  <c r="X592" i="62"/>
  <c r="X598" i="62"/>
  <c r="Z598" i="62" s="1"/>
  <c r="X595" i="62"/>
  <c r="X591" i="62"/>
  <c r="V518" i="62"/>
  <c r="V519" i="62"/>
  <c r="V520" i="62"/>
  <c r="AD520" i="62" s="1"/>
  <c r="V521" i="62"/>
  <c r="AF521" i="62" s="1"/>
  <c r="V522" i="62"/>
  <c r="V523" i="62"/>
  <c r="V526" i="62"/>
  <c r="AF526" i="62" s="1"/>
  <c r="V527" i="62"/>
  <c r="AD527" i="62" s="1"/>
  <c r="V454" i="62"/>
  <c r="AD518" i="62"/>
  <c r="AF518" i="62"/>
  <c r="AD523" i="62"/>
  <c r="AF523" i="62" s="1"/>
  <c r="AD454" i="62"/>
  <c r="AF454" i="62" s="1"/>
  <c r="AD521" i="62"/>
  <c r="AD519" i="62"/>
  <c r="AF519" i="62"/>
  <c r="AD522" i="62"/>
  <c r="AF522" i="62" s="1"/>
  <c r="AD526" i="62"/>
  <c r="AF520" i="62"/>
  <c r="W377" i="62"/>
  <c r="W360" i="62"/>
  <c r="W361" i="62"/>
  <c r="W362" i="62"/>
  <c r="W364" i="62"/>
  <c r="W365" i="62"/>
  <c r="W366" i="62"/>
  <c r="W367" i="62"/>
  <c r="W368" i="62"/>
  <c r="W369" i="62"/>
  <c r="U264" i="62"/>
  <c r="AB276" i="62"/>
  <c r="X277" i="62"/>
  <c r="AB277" i="62"/>
  <c r="X282" i="62"/>
  <c r="AB282" i="62" s="1"/>
  <c r="X283" i="62"/>
  <c r="AB283" i="62" s="1"/>
  <c r="X284" i="62"/>
  <c r="AB284" i="62" s="1"/>
  <c r="X285" i="62"/>
  <c r="AB285" i="62"/>
  <c r="X287" i="62"/>
  <c r="AB287" i="62" s="1"/>
  <c r="AB288" i="62"/>
  <c r="X289" i="62"/>
  <c r="AB289" i="62"/>
  <c r="X290" i="62"/>
  <c r="AB290" i="62" s="1"/>
  <c r="X291" i="62"/>
  <c r="AB291" i="62" s="1"/>
  <c r="X269" i="62"/>
  <c r="AB269" i="62"/>
  <c r="U187" i="62"/>
  <c r="U188" i="62"/>
  <c r="AF188" i="62" s="1"/>
  <c r="U194" i="62"/>
  <c r="U195" i="62"/>
  <c r="AF195" i="62" s="1"/>
  <c r="U156" i="62"/>
  <c r="U158" i="62"/>
  <c r="U139" i="62"/>
  <c r="AD139" i="62" s="1"/>
  <c r="U140" i="62"/>
  <c r="U48" i="62"/>
  <c r="AD198" i="62"/>
  <c r="AF198" i="62" s="1"/>
  <c r="AD188" i="62"/>
  <c r="AD189" i="62"/>
  <c r="AF189" i="62"/>
  <c r="AD199" i="62"/>
  <c r="AF199" i="62" s="1"/>
  <c r="AD193" i="62"/>
  <c r="AF193" i="62" s="1"/>
  <c r="AD158" i="62"/>
  <c r="AF158" i="62"/>
  <c r="AD192" i="62"/>
  <c r="AF192" i="62" s="1"/>
  <c r="AD195" i="62"/>
  <c r="AD191" i="62"/>
  <c r="AF191" i="62"/>
  <c r="AD156" i="62"/>
  <c r="AF156" i="62" s="1"/>
  <c r="AD194" i="62"/>
  <c r="AF194" i="62"/>
  <c r="AD190" i="62"/>
  <c r="AF190" i="62" s="1"/>
  <c r="AD186" i="62"/>
  <c r="AF186" i="62" s="1"/>
  <c r="X201" i="62"/>
  <c r="AB201" i="62"/>
  <c r="AX31" i="59"/>
  <c r="AX32" i="59"/>
  <c r="AX33" i="59"/>
  <c r="AX34" i="59"/>
  <c r="AX35" i="59"/>
  <c r="AX36" i="59"/>
  <c r="AX19" i="59"/>
  <c r="AX20" i="59"/>
  <c r="AX21" i="59"/>
  <c r="AW72" i="59"/>
  <c r="J73" i="59"/>
  <c r="J79" i="59" s="1"/>
  <c r="J63" i="59"/>
  <c r="J78" i="59" s="1"/>
  <c r="M63" i="59"/>
  <c r="M78" i="59" s="1"/>
  <c r="P63" i="59"/>
  <c r="P78" i="59"/>
  <c r="S63" i="59"/>
  <c r="S78" i="59" s="1"/>
  <c r="V63" i="59"/>
  <c r="V78" i="59" s="1"/>
  <c r="Y63" i="59"/>
  <c r="Y78" i="59" s="1"/>
  <c r="AB63" i="59"/>
  <c r="AB78" i="59"/>
  <c r="AE63" i="59"/>
  <c r="AE78" i="59" s="1"/>
  <c r="AE80" i="59" s="1"/>
  <c r="AH63" i="59"/>
  <c r="AH78" i="59" s="1"/>
  <c r="AK63" i="59"/>
  <c r="AK78" i="59" s="1"/>
  <c r="AN63" i="59"/>
  <c r="AN78" i="59"/>
  <c r="AQ63" i="59"/>
  <c r="AQ78" i="59" s="1"/>
  <c r="AT63" i="59"/>
  <c r="AT78" i="59" s="1"/>
  <c r="AW55" i="59"/>
  <c r="AW56" i="59"/>
  <c r="AW57" i="59"/>
  <c r="AW58" i="59"/>
  <c r="AW63" i="59" s="1"/>
  <c r="AW59" i="59"/>
  <c r="AW60" i="59"/>
  <c r="AW61" i="59"/>
  <c r="AW62" i="59"/>
  <c r="AW65" i="59"/>
  <c r="AW66" i="59"/>
  <c r="AW67" i="59"/>
  <c r="AW68" i="59"/>
  <c r="AW69" i="59"/>
  <c r="AW70" i="59"/>
  <c r="AW46" i="59"/>
  <c r="AW47" i="59"/>
  <c r="AW48" i="59"/>
  <c r="AW49" i="59"/>
  <c r="AW50" i="59"/>
  <c r="AW51" i="59"/>
  <c r="AW52" i="59"/>
  <c r="P53" i="59"/>
  <c r="P77" i="59"/>
  <c r="S53" i="59"/>
  <c r="S77" i="59"/>
  <c r="V53" i="59"/>
  <c r="V77" i="59"/>
  <c r="Y53" i="59"/>
  <c r="Y77" i="59" s="1"/>
  <c r="Y80" i="59" s="1"/>
  <c r="AB53" i="59"/>
  <c r="AB77" i="59"/>
  <c r="AB80" i="59" s="1"/>
  <c r="AE53" i="59"/>
  <c r="AE77" i="59"/>
  <c r="AH53" i="59"/>
  <c r="AK53" i="59"/>
  <c r="AK77" i="59" s="1"/>
  <c r="AN53" i="59"/>
  <c r="AQ53" i="59"/>
  <c r="AT53" i="59"/>
  <c r="AT77" i="59"/>
  <c r="J53" i="59"/>
  <c r="M53" i="59"/>
  <c r="M77" i="59"/>
  <c r="M80" i="59" s="1"/>
  <c r="H44" i="6"/>
  <c r="I44" i="6" s="1"/>
  <c r="P44" i="6"/>
  <c r="M61" i="31" s="1"/>
  <c r="P88" i="6"/>
  <c r="P89" i="6"/>
  <c r="P90" i="6"/>
  <c r="P91" i="6"/>
  <c r="P92" i="6"/>
  <c r="P93" i="6"/>
  <c r="P94" i="6"/>
  <c r="F169" i="58"/>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c r="AY31" i="59"/>
  <c r="AY32" i="59"/>
  <c r="AY33" i="59"/>
  <c r="AY34" i="59"/>
  <c r="AY35" i="59"/>
  <c r="AY36" i="59"/>
  <c r="AX30" i="59"/>
  <c r="AW35" i="59"/>
  <c r="R5" i="59"/>
  <c r="AB5" i="59" s="1"/>
  <c r="AP5" i="59" s="1"/>
  <c r="R3" i="59"/>
  <c r="AB3" i="59"/>
  <c r="AP3" i="59" s="1"/>
  <c r="R2" i="59"/>
  <c r="AB2" i="59"/>
  <c r="AP2" i="59" s="1"/>
  <c r="B64" i="6"/>
  <c r="B62" i="6"/>
  <c r="B61" i="6"/>
  <c r="B60" i="6"/>
  <c r="B59" i="6"/>
  <c r="B57" i="6"/>
  <c r="B55" i="6"/>
  <c r="B53" i="6"/>
  <c r="B47" i="6"/>
  <c r="H46" i="6"/>
  <c r="H45" i="6"/>
  <c r="H48" i="6"/>
  <c r="H49" i="6"/>
  <c r="F35" i="18"/>
  <c r="F36" i="18"/>
  <c r="F37" i="18"/>
  <c r="F29" i="18"/>
  <c r="F30" i="18"/>
  <c r="F31" i="18"/>
  <c r="F32" i="18"/>
  <c r="F33" i="18"/>
  <c r="F34" i="18"/>
  <c r="F28" i="18"/>
  <c r="E196" i="49"/>
  <c r="G145" i="31"/>
  <c r="G146" i="31"/>
  <c r="G147" i="31"/>
  <c r="G148" i="31"/>
  <c r="G143" i="31"/>
  <c r="F27" i="31"/>
  <c r="G26" i="31"/>
  <c r="AA26" i="31" s="1"/>
  <c r="E27" i="31"/>
  <c r="P87" i="6"/>
  <c r="P86" i="6"/>
  <c r="P85" i="6"/>
  <c r="P84" i="6"/>
  <c r="P83" i="6"/>
  <c r="P82" i="6"/>
  <c r="P81" i="6"/>
  <c r="P111" i="6" s="1"/>
  <c r="P80" i="6"/>
  <c r="P79" i="6"/>
  <c r="P78" i="6"/>
  <c r="P77" i="6"/>
  <c r="P76" i="6"/>
  <c r="P75" i="6"/>
  <c r="N135" i="31"/>
  <c r="M135" i="31"/>
  <c r="N121" i="31"/>
  <c r="N123" i="31" s="1"/>
  <c r="K25" i="4" s="1"/>
  <c r="N107" i="31"/>
  <c r="K24" i="4" s="1"/>
  <c r="M107" i="31"/>
  <c r="J24" i="4" s="1"/>
  <c r="N100" i="31"/>
  <c r="K23" i="4" s="1"/>
  <c r="M100" i="31"/>
  <c r="J23" i="4" s="1"/>
  <c r="N84" i="31"/>
  <c r="N85" i="31" s="1"/>
  <c r="K21" i="4" s="1"/>
  <c r="N72" i="31"/>
  <c r="N51" i="31"/>
  <c r="M51" i="31"/>
  <c r="N37" i="31"/>
  <c r="K18" i="4" s="1"/>
  <c r="M37" i="31"/>
  <c r="J18" i="4" s="1"/>
  <c r="N17" i="31"/>
  <c r="K12" i="4" s="1"/>
  <c r="K15" i="4" s="1"/>
  <c r="M17" i="31"/>
  <c r="J12" i="4" s="1"/>
  <c r="J15" i="4" s="1"/>
  <c r="W697" i="62"/>
  <c r="W696" i="62"/>
  <c r="W695" i="62"/>
  <c r="W694" i="62"/>
  <c r="W693" i="62"/>
  <c r="W691" i="62"/>
  <c r="W690" i="62"/>
  <c r="F685" i="62"/>
  <c r="W684" i="62"/>
  <c r="W682" i="62"/>
  <c r="W679" i="62"/>
  <c r="W678" i="62"/>
  <c r="W677" i="62"/>
  <c r="W676" i="62"/>
  <c r="W675" i="62"/>
  <c r="W674" i="62"/>
  <c r="W673" i="62"/>
  <c r="W671" i="62"/>
  <c r="W665" i="62"/>
  <c r="W664" i="62"/>
  <c r="W661" i="62"/>
  <c r="W659" i="62"/>
  <c r="W658" i="62"/>
  <c r="W657" i="62"/>
  <c r="W656" i="62"/>
  <c r="W655" i="62"/>
  <c r="W654" i="62"/>
  <c r="W653" i="62"/>
  <c r="W649" i="62"/>
  <c r="W648" i="62"/>
  <c r="W647" i="62"/>
  <c r="W646" i="62"/>
  <c r="W645" i="62"/>
  <c r="W644" i="62"/>
  <c r="W643" i="62"/>
  <c r="W641" i="62"/>
  <c r="W640" i="62"/>
  <c r="W639" i="62"/>
  <c r="W638" i="62"/>
  <c r="W637" i="62"/>
  <c r="W636" i="62"/>
  <c r="W635" i="62"/>
  <c r="W633" i="62"/>
  <c r="W632" i="62"/>
  <c r="W631" i="62"/>
  <c r="W630" i="62"/>
  <c r="W629" i="62"/>
  <c r="W628" i="62"/>
  <c r="W627" i="62"/>
  <c r="W625" i="62"/>
  <c r="W624" i="62"/>
  <c r="W623" i="62"/>
  <c r="W622" i="62"/>
  <c r="W621" i="62"/>
  <c r="W620" i="62"/>
  <c r="W619" i="62"/>
  <c r="W617" i="62"/>
  <c r="V610" i="62"/>
  <c r="X609" i="62"/>
  <c r="X608" i="62"/>
  <c r="Z608" i="62"/>
  <c r="V605" i="62"/>
  <c r="V579" i="62"/>
  <c r="V578" i="62"/>
  <c r="AD568" i="62"/>
  <c r="AF568" i="62" s="1"/>
  <c r="AD567" i="62"/>
  <c r="AF567" i="62"/>
  <c r="V565" i="62"/>
  <c r="V564" i="62"/>
  <c r="V563" i="62"/>
  <c r="V562" i="62"/>
  <c r="AD545" i="62"/>
  <c r="AF545" i="62"/>
  <c r="AD544" i="62"/>
  <c r="AF544" i="62" s="1"/>
  <c r="AD543" i="62"/>
  <c r="AF543" i="62" s="1"/>
  <c r="X543" i="62"/>
  <c r="AB543" i="62"/>
  <c r="AD540" i="62"/>
  <c r="AF540" i="62"/>
  <c r="X540" i="62"/>
  <c r="AB540" i="62" s="1"/>
  <c r="AD539" i="62"/>
  <c r="AF539" i="62" s="1"/>
  <c r="X539" i="62"/>
  <c r="AB539" i="62"/>
  <c r="AD538" i="62"/>
  <c r="AF538" i="62"/>
  <c r="X538" i="62"/>
  <c r="AB538" i="62" s="1"/>
  <c r="AD537" i="62"/>
  <c r="AF537" i="62" s="1"/>
  <c r="X537" i="62"/>
  <c r="AB537" i="62"/>
  <c r="AD536" i="62"/>
  <c r="AF536" i="62"/>
  <c r="X536" i="62"/>
  <c r="AB536" i="62" s="1"/>
  <c r="AD535" i="62"/>
  <c r="AF535" i="62" s="1"/>
  <c r="X535" i="62"/>
  <c r="AB535" i="62"/>
  <c r="AD534" i="62"/>
  <c r="AF534" i="62"/>
  <c r="X534" i="62"/>
  <c r="AB534" i="62" s="1"/>
  <c r="AD533" i="62"/>
  <c r="AF533" i="62" s="1"/>
  <c r="X533" i="62"/>
  <c r="AB533" i="62"/>
  <c r="X532" i="62"/>
  <c r="AB532" i="62"/>
  <c r="V531" i="62"/>
  <c r="AD531" i="62" s="1"/>
  <c r="V529" i="62"/>
  <c r="V528" i="62"/>
  <c r="V517" i="62"/>
  <c r="V516" i="62"/>
  <c r="V515" i="62"/>
  <c r="V514" i="62"/>
  <c r="V513" i="62"/>
  <c r="V511" i="62"/>
  <c r="V507" i="62"/>
  <c r="V506" i="62"/>
  <c r="V505" i="62"/>
  <c r="V504" i="62"/>
  <c r="V503" i="62"/>
  <c r="V498" i="62"/>
  <c r="V496" i="62"/>
  <c r="V495" i="62"/>
  <c r="V494" i="62"/>
  <c r="V493" i="62"/>
  <c r="V492" i="62"/>
  <c r="V491" i="62"/>
  <c r="V490" i="62"/>
  <c r="V488" i="62"/>
  <c r="X487" i="62"/>
  <c r="AB487" i="62"/>
  <c r="X486" i="62"/>
  <c r="AB486" i="62" s="1"/>
  <c r="W485" i="62"/>
  <c r="AC485" i="62"/>
  <c r="V484" i="62"/>
  <c r="AD483" i="62"/>
  <c r="AD482" i="62"/>
  <c r="V480" i="62"/>
  <c r="V479" i="62"/>
  <c r="V478" i="62"/>
  <c r="V477" i="62"/>
  <c r="V476" i="62"/>
  <c r="V474" i="62"/>
  <c r="V472" i="62"/>
  <c r="V470" i="62"/>
  <c r="V469" i="62"/>
  <c r="V468" i="62"/>
  <c r="V467" i="62"/>
  <c r="V466" i="62"/>
  <c r="V465" i="62"/>
  <c r="R457" i="62"/>
  <c r="Q457" i="62"/>
  <c r="P457" i="62"/>
  <c r="O457" i="62"/>
  <c r="N457" i="62"/>
  <c r="N459" i="62" s="1"/>
  <c r="M457" i="62"/>
  <c r="L457" i="62"/>
  <c r="K457" i="62"/>
  <c r="J457" i="62"/>
  <c r="I457" i="62"/>
  <c r="H457" i="62"/>
  <c r="G457" i="62"/>
  <c r="F457" i="62"/>
  <c r="F459" i="62" s="1"/>
  <c r="V456" i="62"/>
  <c r="V455" i="62"/>
  <c r="V453" i="62"/>
  <c r="R451" i="62"/>
  <c r="R459" i="62"/>
  <c r="Q451" i="62"/>
  <c r="Q459" i="62" s="1"/>
  <c r="P451" i="62"/>
  <c r="P459" i="62"/>
  <c r="P700" i="62" s="1"/>
  <c r="O451" i="62"/>
  <c r="O459" i="62" s="1"/>
  <c r="N451" i="62"/>
  <c r="M451" i="62"/>
  <c r="M459" i="62" s="1"/>
  <c r="L451" i="62"/>
  <c r="L459" i="62"/>
  <c r="K451" i="62"/>
  <c r="K459" i="62" s="1"/>
  <c r="J451" i="62"/>
  <c r="J459" i="62"/>
  <c r="I451" i="62"/>
  <c r="I459" i="62" s="1"/>
  <c r="H451" i="62"/>
  <c r="H459" i="62"/>
  <c r="H700" i="62" s="1"/>
  <c r="G451" i="62"/>
  <c r="G459" i="62" s="1"/>
  <c r="F451" i="62"/>
  <c r="AB449" i="62"/>
  <c r="X446" i="62"/>
  <c r="AB445" i="62"/>
  <c r="AB444" i="62"/>
  <c r="X442" i="62"/>
  <c r="AD441" i="62"/>
  <c r="AF441" i="62"/>
  <c r="V440" i="62"/>
  <c r="V438" i="62"/>
  <c r="V437" i="62"/>
  <c r="V436" i="62"/>
  <c r="V435" i="62"/>
  <c r="V433" i="62"/>
  <c r="V432" i="62"/>
  <c r="V431" i="62"/>
  <c r="V430" i="62"/>
  <c r="V429" i="62"/>
  <c r="V428" i="62"/>
  <c r="V427" i="62"/>
  <c r="AC424" i="62"/>
  <c r="R419" i="62"/>
  <c r="Q419" i="62"/>
  <c r="P419" i="62"/>
  <c r="O419" i="62"/>
  <c r="N419" i="62"/>
  <c r="M419" i="62"/>
  <c r="L419" i="62"/>
  <c r="K419" i="62"/>
  <c r="J419" i="62"/>
  <c r="I419" i="62"/>
  <c r="H419" i="62"/>
  <c r="G419" i="62"/>
  <c r="F419" i="62"/>
  <c r="AD416" i="62"/>
  <c r="AC410" i="62"/>
  <c r="AC409" i="62"/>
  <c r="AC408" i="62"/>
  <c r="AC405" i="62"/>
  <c r="AC404" i="62"/>
  <c r="AC402" i="62"/>
  <c r="AC401" i="62"/>
  <c r="R399" i="62"/>
  <c r="Q399" i="62"/>
  <c r="P399" i="62"/>
  <c r="O399" i="62"/>
  <c r="N399" i="62"/>
  <c r="M399" i="62"/>
  <c r="L399" i="62"/>
  <c r="K399" i="62"/>
  <c r="J399" i="62"/>
  <c r="I399" i="62"/>
  <c r="H399" i="62"/>
  <c r="G399" i="62"/>
  <c r="F399" i="62"/>
  <c r="AC397"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1" i="62"/>
  <c r="W380" i="62"/>
  <c r="W379" i="62"/>
  <c r="W378" i="62"/>
  <c r="W376" i="62"/>
  <c r="R371" i="62"/>
  <c r="Q371" i="62"/>
  <c r="P371" i="62"/>
  <c r="O371" i="62"/>
  <c r="N371" i="62"/>
  <c r="M371" i="62"/>
  <c r="L371" i="62"/>
  <c r="K371" i="62"/>
  <c r="J371" i="62"/>
  <c r="I371" i="62"/>
  <c r="H371" i="62"/>
  <c r="G371" i="62"/>
  <c r="F371" i="62"/>
  <c r="W370" i="62"/>
  <c r="W359" i="62"/>
  <c r="W358" i="62"/>
  <c r="W357" i="62"/>
  <c r="W356"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19" i="62"/>
  <c r="W318" i="62"/>
  <c r="W317" i="62"/>
  <c r="W316" i="62"/>
  <c r="W315" i="62"/>
  <c r="W314" i="62"/>
  <c r="W313" i="62"/>
  <c r="W311" i="62"/>
  <c r="W309" i="62"/>
  <c r="W307" i="62"/>
  <c r="W306" i="62"/>
  <c r="R304" i="62"/>
  <c r="Q304" i="62"/>
  <c r="P304" i="62"/>
  <c r="O304" i="62"/>
  <c r="N304" i="62"/>
  <c r="M304" i="62"/>
  <c r="L304" i="62"/>
  <c r="K304" i="62"/>
  <c r="J304" i="62"/>
  <c r="I304" i="62"/>
  <c r="H304" i="62"/>
  <c r="G304" i="62"/>
  <c r="F304" i="62"/>
  <c r="W303" i="62"/>
  <c r="W302" i="62"/>
  <c r="W301" i="62"/>
  <c r="AB294" i="62"/>
  <c r="AB293" i="62"/>
  <c r="AB274" i="62"/>
  <c r="AD272" i="62"/>
  <c r="AF272" i="62"/>
  <c r="AF271" i="62"/>
  <c r="X268" i="62"/>
  <c r="U266" i="62"/>
  <c r="AD264" i="62"/>
  <c r="AF264" i="62"/>
  <c r="U263" i="62"/>
  <c r="U262" i="62"/>
  <c r="U261" i="62"/>
  <c r="U260" i="62"/>
  <c r="U258" i="62"/>
  <c r="U257" i="62"/>
  <c r="U256" i="62"/>
  <c r="U255" i="62"/>
  <c r="U254" i="62"/>
  <c r="U253" i="62"/>
  <c r="U252" i="62"/>
  <c r="U250" i="62"/>
  <c r="U249" i="62"/>
  <c r="U248" i="62"/>
  <c r="U247" i="62"/>
  <c r="U246" i="62"/>
  <c r="U245" i="62"/>
  <c r="U244" i="62"/>
  <c r="U234" i="62"/>
  <c r="U233" i="62"/>
  <c r="U232" i="62"/>
  <c r="U229" i="62"/>
  <c r="AD229" i="62" s="1"/>
  <c r="AF229" i="62" s="1"/>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c r="R181" i="62"/>
  <c r="Q181" i="62"/>
  <c r="P181" i="62"/>
  <c r="O181" i="62"/>
  <c r="N181" i="62"/>
  <c r="M181" i="62"/>
  <c r="L181" i="62"/>
  <c r="K181" i="62"/>
  <c r="J181" i="62"/>
  <c r="I181" i="62"/>
  <c r="H181" i="62"/>
  <c r="G181" i="62"/>
  <c r="F181" i="62"/>
  <c r="U180" i="62"/>
  <c r="U178" i="62"/>
  <c r="U177" i="62"/>
  <c r="U176" i="62"/>
  <c r="U175" i="62"/>
  <c r="U174" i="62"/>
  <c r="U173" i="62"/>
  <c r="U166" i="62"/>
  <c r="U165" i="62"/>
  <c r="U164" i="62"/>
  <c r="U163" i="62"/>
  <c r="AD163" i="62" s="1"/>
  <c r="U162" i="62"/>
  <c r="AD162" i="62" s="1"/>
  <c r="U161" i="62"/>
  <c r="U160" i="62"/>
  <c r="U159" i="62"/>
  <c r="U155" i="62"/>
  <c r="U154" i="62"/>
  <c r="U153" i="62"/>
  <c r="U152" i="62"/>
  <c r="AF152" i="62" s="1"/>
  <c r="R149" i="62"/>
  <c r="Q149" i="62"/>
  <c r="P149" i="62"/>
  <c r="O149" i="62"/>
  <c r="N149" i="62"/>
  <c r="M149" i="62"/>
  <c r="L149" i="62"/>
  <c r="K149" i="62"/>
  <c r="J149" i="62"/>
  <c r="I149" i="62"/>
  <c r="H149" i="62"/>
  <c r="G149" i="62"/>
  <c r="F149" i="62"/>
  <c r="U148" i="62"/>
  <c r="U146" i="62"/>
  <c r="AD146" i="62" s="1"/>
  <c r="AF146" i="62" s="1"/>
  <c r="U145" i="62"/>
  <c r="U144" i="62"/>
  <c r="U143" i="62"/>
  <c r="U141" i="62"/>
  <c r="U138" i="62"/>
  <c r="U137" i="62"/>
  <c r="AD137" i="62" s="1"/>
  <c r="AF137" i="62" s="1"/>
  <c r="U136" i="62"/>
  <c r="U135" i="62"/>
  <c r="U134" i="62"/>
  <c r="AD134" i="62" s="1"/>
  <c r="U133" i="62"/>
  <c r="U131" i="62"/>
  <c r="U130" i="62"/>
  <c r="U129" i="62"/>
  <c r="AD129" i="62" s="1"/>
  <c r="AF129" i="62" s="1"/>
  <c r="U128" i="62"/>
  <c r="U127" i="62"/>
  <c r="AF127" i="62" s="1"/>
  <c r="U126" i="62"/>
  <c r="U125" i="62"/>
  <c r="R120" i="62"/>
  <c r="Q120" i="62"/>
  <c r="P120" i="62"/>
  <c r="O120" i="62"/>
  <c r="N120" i="62"/>
  <c r="M120" i="62"/>
  <c r="L120" i="62"/>
  <c r="L122" i="62" s="1"/>
  <c r="K120" i="62"/>
  <c r="J120" i="62"/>
  <c r="I120" i="62"/>
  <c r="H120" i="62"/>
  <c r="G120" i="62"/>
  <c r="F120" i="62"/>
  <c r="U119" i="62"/>
  <c r="AD119" i="62" s="1"/>
  <c r="U118" i="62"/>
  <c r="U116" i="62"/>
  <c r="U115" i="62"/>
  <c r="U114" i="62"/>
  <c r="U111" i="62"/>
  <c r="U110" i="62"/>
  <c r="U108" i="62"/>
  <c r="U107" i="62"/>
  <c r="AD107" i="62" s="1"/>
  <c r="AF107" i="62" s="1"/>
  <c r="U106" i="62"/>
  <c r="U105" i="62"/>
  <c r="U104" i="62"/>
  <c r="U103" i="62"/>
  <c r="AD103" i="62" s="1"/>
  <c r="AF103" i="62" s="1"/>
  <c r="U102" i="62"/>
  <c r="R95" i="62"/>
  <c r="Q95" i="62"/>
  <c r="Q99" i="62" s="1"/>
  <c r="Q122" i="62" s="1"/>
  <c r="P95" i="62"/>
  <c r="O95" i="62"/>
  <c r="N95" i="62"/>
  <c r="M95" i="62"/>
  <c r="L95" i="62"/>
  <c r="K95" i="62"/>
  <c r="J95" i="62"/>
  <c r="I95" i="62"/>
  <c r="I99" i="62" s="1"/>
  <c r="I122" i="62" s="1"/>
  <c r="H95" i="62"/>
  <c r="G95" i="62"/>
  <c r="F95" i="62"/>
  <c r="X94" i="62"/>
  <c r="X93" i="62"/>
  <c r="X92" i="62"/>
  <c r="X91" i="62"/>
  <c r="X90" i="62"/>
  <c r="X88" i="62"/>
  <c r="U84" i="62"/>
  <c r="AF84" i="62"/>
  <c r="U75" i="62"/>
  <c r="AD75" i="62" s="1"/>
  <c r="AF75" i="62" s="1"/>
  <c r="U74" i="62"/>
  <c r="U72" i="62"/>
  <c r="U71" i="62"/>
  <c r="U70" i="62"/>
  <c r="U69" i="62"/>
  <c r="U68" i="62"/>
  <c r="U67" i="62"/>
  <c r="AD67" i="62" s="1"/>
  <c r="AF67" i="62" s="1"/>
  <c r="U66" i="62"/>
  <c r="R63" i="62"/>
  <c r="Q63" i="62"/>
  <c r="P63" i="62"/>
  <c r="O63" i="62"/>
  <c r="N63" i="62"/>
  <c r="M63" i="62"/>
  <c r="L63" i="62"/>
  <c r="K63" i="62"/>
  <c r="J63" i="62"/>
  <c r="I63" i="62"/>
  <c r="H63" i="62"/>
  <c r="G63" i="62"/>
  <c r="F63" i="62"/>
  <c r="U58" i="62"/>
  <c r="AD58" i="62" s="1"/>
  <c r="AF58" i="62" s="1"/>
  <c r="U57" i="62"/>
  <c r="U56" i="62"/>
  <c r="AD56" i="62" s="1"/>
  <c r="U53" i="62"/>
  <c r="U52" i="62"/>
  <c r="AD52" i="62" s="1"/>
  <c r="AF52" i="62" s="1"/>
  <c r="U51" i="62"/>
  <c r="U50" i="62"/>
  <c r="U49" i="62"/>
  <c r="R46" i="62"/>
  <c r="Q46" i="62"/>
  <c r="P46" i="62"/>
  <c r="O46" i="62"/>
  <c r="N46" i="62"/>
  <c r="M46" i="62"/>
  <c r="L46" i="62"/>
  <c r="K46" i="62"/>
  <c r="J46" i="62"/>
  <c r="I46" i="62"/>
  <c r="H46" i="62"/>
  <c r="G46" i="62"/>
  <c r="F46" i="62"/>
  <c r="AB45" i="62"/>
  <c r="U45" i="62"/>
  <c r="AF45" i="62"/>
  <c r="AB44" i="62"/>
  <c r="X44" i="62"/>
  <c r="AB43" i="62"/>
  <c r="X43" i="62"/>
  <c r="AB42" i="62"/>
  <c r="X42" i="62"/>
  <c r="AB41" i="62"/>
  <c r="F39" i="62"/>
  <c r="S39" i="62"/>
  <c r="U38" i="62"/>
  <c r="AF38" i="62"/>
  <c r="R32" i="62"/>
  <c r="Q32" i="62"/>
  <c r="P32" i="62"/>
  <c r="O32" i="62"/>
  <c r="N32" i="62"/>
  <c r="M32" i="62"/>
  <c r="L32" i="62"/>
  <c r="K32" i="62"/>
  <c r="K34" i="62" s="1"/>
  <c r="K36" i="62" s="1"/>
  <c r="J32" i="62"/>
  <c r="I32" i="62"/>
  <c r="H32" i="62"/>
  <c r="G32" i="62"/>
  <c r="F32" i="62"/>
  <c r="R28" i="62"/>
  <c r="Q28" i="62"/>
  <c r="P28" i="62"/>
  <c r="P34" i="62" s="1"/>
  <c r="P36" i="62" s="1"/>
  <c r="O28" i="62"/>
  <c r="N28" i="62"/>
  <c r="M28" i="62"/>
  <c r="L28" i="62"/>
  <c r="K28" i="62"/>
  <c r="J28" i="62"/>
  <c r="I28" i="62"/>
  <c r="H28" i="62"/>
  <c r="G28" i="62"/>
  <c r="F28" i="62"/>
  <c r="R20" i="62"/>
  <c r="Q20" i="62"/>
  <c r="P20" i="62"/>
  <c r="O20" i="62"/>
  <c r="N20" i="62"/>
  <c r="N36" i="62" s="1"/>
  <c r="M20" i="62"/>
  <c r="L20" i="62"/>
  <c r="K20" i="62"/>
  <c r="J20" i="62"/>
  <c r="I20" i="62"/>
  <c r="H20" i="62"/>
  <c r="G20" i="62"/>
  <c r="G36" i="62" s="1"/>
  <c r="F20" i="62"/>
  <c r="F36" i="62" s="1"/>
  <c r="X19" i="62"/>
  <c r="X18" i="62"/>
  <c r="X15" i="62"/>
  <c r="M28" i="31"/>
  <c r="M53" i="31"/>
  <c r="AD51" i="62"/>
  <c r="AF51" i="62"/>
  <c r="AD115" i="62"/>
  <c r="AF115" i="62"/>
  <c r="AD135" i="62"/>
  <c r="AF135" i="62" s="1"/>
  <c r="AD234" i="62"/>
  <c r="AF234" i="62"/>
  <c r="AD263" i="62"/>
  <c r="AF263" i="62" s="1"/>
  <c r="AD440" i="62"/>
  <c r="AF440" i="62"/>
  <c r="AD496" i="62"/>
  <c r="AF496" i="62"/>
  <c r="AD511" i="62"/>
  <c r="AF511" i="62"/>
  <c r="AD514" i="62"/>
  <c r="AF514" i="62" s="1"/>
  <c r="AD110" i="62"/>
  <c r="AF110" i="62"/>
  <c r="AD143" i="62"/>
  <c r="AF143" i="62"/>
  <c r="AD147" i="62"/>
  <c r="AD153" i="62"/>
  <c r="AF153" i="62"/>
  <c r="AD164" i="62"/>
  <c r="AF164" i="62"/>
  <c r="AD176" i="62"/>
  <c r="AF176" i="62" s="1"/>
  <c r="AD180" i="62"/>
  <c r="AF180" i="62"/>
  <c r="AD185" i="62"/>
  <c r="AF185" i="62"/>
  <c r="AD235" i="62"/>
  <c r="AD239" i="62"/>
  <c r="AF239" i="62"/>
  <c r="AD244" i="62"/>
  <c r="AF244" i="62"/>
  <c r="AD248" i="62"/>
  <c r="AF248" i="62"/>
  <c r="AD252" i="62"/>
  <c r="AF252" i="62" s="1"/>
  <c r="AD256" i="62"/>
  <c r="AF256" i="62"/>
  <c r="AD260" i="62"/>
  <c r="AF260" i="62"/>
  <c r="AD428" i="62"/>
  <c r="AF428" i="62"/>
  <c r="AD432" i="62"/>
  <c r="AF432" i="62" s="1"/>
  <c r="AD436" i="62"/>
  <c r="AF436" i="62"/>
  <c r="AD455" i="62"/>
  <c r="AF455" i="62"/>
  <c r="AD468" i="62"/>
  <c r="AF468" i="62"/>
  <c r="AD472" i="62"/>
  <c r="AF472" i="62" s="1"/>
  <c r="AD493" i="62"/>
  <c r="AF493" i="62"/>
  <c r="AD497" i="62"/>
  <c r="AD505" i="62"/>
  <c r="AF505" i="62"/>
  <c r="AD515" i="62"/>
  <c r="AF515" i="62"/>
  <c r="AD529" i="62"/>
  <c r="AF529" i="62" s="1"/>
  <c r="AD562" i="62"/>
  <c r="AF562" i="62"/>
  <c r="AD109" i="62"/>
  <c r="AD131" i="62"/>
  <c r="AF131" i="62"/>
  <c r="AD159" i="62"/>
  <c r="AF159" i="62"/>
  <c r="AD175" i="62"/>
  <c r="AD184" i="62"/>
  <c r="AF184" i="62"/>
  <c r="AD238" i="62"/>
  <c r="AF238" i="62"/>
  <c r="AD255" i="62"/>
  <c r="AF255" i="62" s="1"/>
  <c r="AD453" i="62"/>
  <c r="AF453" i="62"/>
  <c r="AD480" i="62"/>
  <c r="AF480" i="62"/>
  <c r="AD492" i="62"/>
  <c r="AF492" i="62"/>
  <c r="AD106" i="62"/>
  <c r="AF106" i="62" s="1"/>
  <c r="AD116" i="62"/>
  <c r="AF116" i="62"/>
  <c r="AD136" i="62"/>
  <c r="AF136" i="62"/>
  <c r="AD160" i="62"/>
  <c r="AF160" i="62"/>
  <c r="AD49" i="62"/>
  <c r="AF49" i="62" s="1"/>
  <c r="AD69" i="62"/>
  <c r="AF69" i="62" s="1"/>
  <c r="AD111" i="62"/>
  <c r="AF111" i="62" s="1"/>
  <c r="AD125" i="62"/>
  <c r="AF125" i="62"/>
  <c r="AD133" i="62"/>
  <c r="AF133" i="62" s="1"/>
  <c r="AD144" i="62"/>
  <c r="AF144" i="62"/>
  <c r="AD148" i="62"/>
  <c r="AF148" i="62"/>
  <c r="AD154" i="62"/>
  <c r="AF154" i="62" s="1"/>
  <c r="AD161" i="62"/>
  <c r="AF161" i="62"/>
  <c r="AD165" i="62"/>
  <c r="AF165" i="62"/>
  <c r="AD173" i="62"/>
  <c r="AF173" i="62"/>
  <c r="AD177" i="62"/>
  <c r="AF177" i="62" s="1"/>
  <c r="AD232" i="62"/>
  <c r="AF232" i="62"/>
  <c r="AD236" i="62"/>
  <c r="AF236" i="62"/>
  <c r="AD240" i="62"/>
  <c r="AF240" i="62"/>
  <c r="AD245" i="62"/>
  <c r="AD249" i="62"/>
  <c r="AF249" i="62"/>
  <c r="AD257" i="62"/>
  <c r="AF257" i="62"/>
  <c r="AD266" i="62"/>
  <c r="AF266" i="62"/>
  <c r="AD429" i="62"/>
  <c r="AF429" i="62"/>
  <c r="AD433" i="62"/>
  <c r="AF433" i="62"/>
  <c r="AD437" i="62"/>
  <c r="AF437" i="62" s="1"/>
  <c r="AD465" i="62"/>
  <c r="AF465" i="62"/>
  <c r="AD469" i="62"/>
  <c r="AF469" i="62"/>
  <c r="AD474" i="62"/>
  <c r="AF474" i="62" s="1"/>
  <c r="AD478" i="62"/>
  <c r="AF478" i="62"/>
  <c r="AD494" i="62"/>
  <c r="AF494" i="62"/>
  <c r="AD498" i="62"/>
  <c r="AD506" i="62"/>
  <c r="AF506" i="62"/>
  <c r="AD516" i="62"/>
  <c r="AF516" i="62"/>
  <c r="AD563" i="62"/>
  <c r="AF563" i="62" s="1"/>
  <c r="AD605" i="62"/>
  <c r="AF605" i="62"/>
  <c r="AF609" i="62"/>
  <c r="AD71" i="62"/>
  <c r="AF71" i="62"/>
  <c r="AD105" i="62"/>
  <c r="AF105" i="62" s="1"/>
  <c r="AD127" i="62"/>
  <c r="AD141" i="62"/>
  <c r="AF141" i="62"/>
  <c r="AD152" i="62"/>
  <c r="AD247" i="62"/>
  <c r="AF247" i="62" s="1"/>
  <c r="AD431" i="62"/>
  <c r="AF431" i="62"/>
  <c r="AD476" i="62"/>
  <c r="AF476" i="62" s="1"/>
  <c r="AD488" i="62"/>
  <c r="AF488" i="62" s="1"/>
  <c r="AD504" i="62"/>
  <c r="AF504" i="62"/>
  <c r="AD528" i="62"/>
  <c r="AF528" i="62" s="1"/>
  <c r="AD565" i="62"/>
  <c r="AF565" i="62" s="1"/>
  <c r="AF608" i="62"/>
  <c r="AD57" i="62"/>
  <c r="AF57" i="62"/>
  <c r="AD68" i="62"/>
  <c r="AF68" i="62" s="1"/>
  <c r="AD102" i="62"/>
  <c r="AF102" i="62"/>
  <c r="AD128" i="62"/>
  <c r="AF128" i="62"/>
  <c r="AD50" i="62"/>
  <c r="AF50" i="62" s="1"/>
  <c r="AD66" i="62"/>
  <c r="AF66" i="62"/>
  <c r="AD70" i="62"/>
  <c r="AF70" i="62"/>
  <c r="AD74" i="62"/>
  <c r="AF74" i="62" s="1"/>
  <c r="AD104" i="62"/>
  <c r="AF104" i="62"/>
  <c r="AD114" i="62"/>
  <c r="AF114" i="62"/>
  <c r="AD130" i="62"/>
  <c r="AF130" i="62"/>
  <c r="AF134" i="62"/>
  <c r="AD138" i="62"/>
  <c r="AF138" i="62" s="1"/>
  <c r="AD155" i="62"/>
  <c r="AF155" i="62"/>
  <c r="AF162" i="62"/>
  <c r="AD166" i="62"/>
  <c r="AF166" i="62" s="1"/>
  <c r="AD174" i="62"/>
  <c r="AF174" i="62"/>
  <c r="AD178" i="62"/>
  <c r="AF178" i="62"/>
  <c r="AD183" i="62"/>
  <c r="AF183" i="62"/>
  <c r="AD233" i="62"/>
  <c r="AF233" i="62" s="1"/>
  <c r="AD237" i="62"/>
  <c r="AF237" i="62"/>
  <c r="AD246" i="62"/>
  <c r="AF246" i="62"/>
  <c r="AD250" i="62"/>
  <c r="AF250" i="62"/>
  <c r="AD254" i="62"/>
  <c r="AF254" i="62" s="1"/>
  <c r="AD258" i="62"/>
  <c r="AF258" i="62"/>
  <c r="AD262" i="62"/>
  <c r="AF262" i="62"/>
  <c r="AD430" i="62"/>
  <c r="AF430" i="62"/>
  <c r="AD434" i="62"/>
  <c r="AD438" i="62"/>
  <c r="AF438" i="62"/>
  <c r="AD466" i="62"/>
  <c r="AF466" i="62"/>
  <c r="AD470" i="62"/>
  <c r="AF470" i="62"/>
  <c r="AD479" i="62"/>
  <c r="AF479" i="62" s="1"/>
  <c r="AD491" i="62"/>
  <c r="AF491" i="62"/>
  <c r="AD495" i="62"/>
  <c r="AF495" i="62"/>
  <c r="AD503" i="62"/>
  <c r="AF503" i="62"/>
  <c r="AD507" i="62"/>
  <c r="AF507" i="62" s="1"/>
  <c r="AD517" i="62"/>
  <c r="AF517" i="62"/>
  <c r="AD564" i="62"/>
  <c r="AF564" i="62" s="1"/>
  <c r="AD579" i="62"/>
  <c r="AF579" i="62"/>
  <c r="V464" i="62"/>
  <c r="G700" i="62"/>
  <c r="O700" i="62"/>
  <c r="M99" i="62"/>
  <c r="M122" i="62" s="1"/>
  <c r="X580" i="62"/>
  <c r="X600" i="62"/>
  <c r="X604" i="62"/>
  <c r="X86" i="62"/>
  <c r="AB86" i="62"/>
  <c r="U112" i="62"/>
  <c r="V482" i="62"/>
  <c r="AF482" i="62" s="1"/>
  <c r="X87" i="62"/>
  <c r="AB87" i="62"/>
  <c r="U113" i="62"/>
  <c r="V483" i="62"/>
  <c r="AF483" i="62"/>
  <c r="X606" i="62"/>
  <c r="X603" i="62"/>
  <c r="H122" i="62"/>
  <c r="H389" i="62"/>
  <c r="L99" i="62"/>
  <c r="G99" i="62"/>
  <c r="G122" i="62" s="1"/>
  <c r="K99" i="62"/>
  <c r="K122" i="62" s="1"/>
  <c r="K389" i="62" s="1"/>
  <c r="O99" i="62"/>
  <c r="O122" i="62" s="1"/>
  <c r="Q700" i="62"/>
  <c r="L700" i="62"/>
  <c r="X449" i="62"/>
  <c r="W405" i="62"/>
  <c r="X445" i="62"/>
  <c r="W424" i="62"/>
  <c r="R700" i="62"/>
  <c r="X590" i="62"/>
  <c r="AB590" i="62" s="1"/>
  <c r="W394" i="62"/>
  <c r="W409" i="62"/>
  <c r="AB442" i="62"/>
  <c r="AB446" i="62"/>
  <c r="J700" i="62"/>
  <c r="W386" i="62"/>
  <c r="W401" i="62"/>
  <c r="AB268" i="62"/>
  <c r="X274" i="62"/>
  <c r="W210" i="62"/>
  <c r="W214" i="62"/>
  <c r="W218" i="62"/>
  <c r="AB202" i="62"/>
  <c r="U172" i="62"/>
  <c r="U55" i="62"/>
  <c r="AB88" i="62"/>
  <c r="AB90" i="62"/>
  <c r="AB93" i="62"/>
  <c r="F99" i="62"/>
  <c r="F122" i="62"/>
  <c r="J99" i="62"/>
  <c r="J122" i="62" s="1"/>
  <c r="J389" i="62" s="1"/>
  <c r="N99" i="62"/>
  <c r="N122" i="62"/>
  <c r="R99" i="62"/>
  <c r="R122" i="62" s="1"/>
  <c r="AB89" i="62"/>
  <c r="AB91" i="62"/>
  <c r="AB92" i="62"/>
  <c r="AB94" i="62"/>
  <c r="U61" i="62"/>
  <c r="X52" i="62"/>
  <c r="AB52" i="62" s="1"/>
  <c r="M34" i="62"/>
  <c r="M36" i="62"/>
  <c r="G34" i="62"/>
  <c r="O34" i="62"/>
  <c r="H34" i="62"/>
  <c r="H36" i="62"/>
  <c r="L34" i="62"/>
  <c r="L36" i="62" s="1"/>
  <c r="I34" i="62"/>
  <c r="I36" i="62" s="1"/>
  <c r="Q34" i="62"/>
  <c r="Q36" i="62"/>
  <c r="F34" i="62"/>
  <c r="J34" i="62"/>
  <c r="J36" i="62" s="1"/>
  <c r="N34" i="62"/>
  <c r="R34" i="62"/>
  <c r="R36" i="62" s="1"/>
  <c r="R389" i="62" s="1"/>
  <c r="AB19" i="62"/>
  <c r="N28" i="31"/>
  <c r="N53" i="31"/>
  <c r="AC411" i="62"/>
  <c r="W411" i="62"/>
  <c r="AC403" i="62"/>
  <c r="W403" i="62"/>
  <c r="AC418" i="62"/>
  <c r="W418" i="62"/>
  <c r="AC395" i="62"/>
  <c r="W395" i="62"/>
  <c r="AC213" i="62"/>
  <c r="W213" i="62"/>
  <c r="AC398" i="62"/>
  <c r="W398" i="62"/>
  <c r="AC209" i="62"/>
  <c r="W209" i="62"/>
  <c r="AC217" i="62"/>
  <c r="W217" i="62"/>
  <c r="W393" i="62"/>
  <c r="AC393" i="62"/>
  <c r="AC407" i="62"/>
  <c r="W407" i="62"/>
  <c r="W688" i="62"/>
  <c r="U83" i="62"/>
  <c r="AF83" i="62"/>
  <c r="W208" i="62"/>
  <c r="W212" i="62"/>
  <c r="W216" i="62"/>
  <c r="W226" i="62"/>
  <c r="AD273" i="62"/>
  <c r="AF273" i="62"/>
  <c r="W404" i="62"/>
  <c r="W408" i="62"/>
  <c r="X41" i="62"/>
  <c r="U101" i="62"/>
  <c r="U124" i="62"/>
  <c r="AD124" i="62" s="1"/>
  <c r="U151" i="62"/>
  <c r="W207" i="62"/>
  <c r="W215" i="62"/>
  <c r="V223" i="62"/>
  <c r="W333" i="62"/>
  <c r="W375" i="62"/>
  <c r="AB443" i="62"/>
  <c r="X443" i="62"/>
  <c r="AB447" i="62"/>
  <c r="X447" i="62"/>
  <c r="W310" i="62"/>
  <c r="W392" i="62"/>
  <c r="W397" i="62"/>
  <c r="W402" i="62"/>
  <c r="W406" i="62"/>
  <c r="W410" i="62"/>
  <c r="V548" i="62"/>
  <c r="AD548" i="62" s="1"/>
  <c r="AD484" i="62"/>
  <c r="AF484" i="62"/>
  <c r="AD481" i="62"/>
  <c r="AF481" i="62"/>
  <c r="M389" i="62"/>
  <c r="F389" i="62"/>
  <c r="AD101" i="62"/>
  <c r="AF604" i="62"/>
  <c r="AF606" i="62"/>
  <c r="AD464" i="62"/>
  <c r="AF464" i="62" s="1"/>
  <c r="AD55" i="62"/>
  <c r="AF55" i="62" s="1"/>
  <c r="AD113" i="62"/>
  <c r="AF113" i="62"/>
  <c r="AD112" i="62"/>
  <c r="AF112" i="62" s="1"/>
  <c r="AD61" i="62"/>
  <c r="AF61" i="62" s="1"/>
  <c r="AD172" i="62"/>
  <c r="AA703" i="62"/>
  <c r="E32" i="13"/>
  <c r="C11" i="13"/>
  <c r="F11" i="60"/>
  <c r="K11" i="60"/>
  <c r="O11" i="60"/>
  <c r="R11" i="60"/>
  <c r="S17" i="60"/>
  <c r="N18" i="60"/>
  <c r="L25" i="60"/>
  <c r="E21" i="60"/>
  <c r="S25" i="60"/>
  <c r="T21" i="60" s="1"/>
  <c r="H9" i="31" s="1"/>
  <c r="H32" i="60"/>
  <c r="I32" i="60"/>
  <c r="H35" i="60"/>
  <c r="I35" i="60"/>
  <c r="J35" i="60" s="1"/>
  <c r="H39" i="60" s="1"/>
  <c r="R50" i="60"/>
  <c r="R51" i="60"/>
  <c r="R52" i="60"/>
  <c r="R53" i="60"/>
  <c r="R54" i="60"/>
  <c r="R55" i="60"/>
  <c r="R56" i="60"/>
  <c r="R57" i="60"/>
  <c r="R58" i="60"/>
  <c r="R59" i="60"/>
  <c r="R60" i="60"/>
  <c r="R61" i="60"/>
  <c r="P62" i="60"/>
  <c r="P17" i="60"/>
  <c r="Q62" i="60"/>
  <c r="P18" i="60"/>
  <c r="C29" i="60"/>
  <c r="D29" i="60" s="1"/>
  <c r="P21" i="60"/>
  <c r="E146" i="49"/>
  <c r="E30" i="49"/>
  <c r="AW45" i="59"/>
  <c r="E200" i="49"/>
  <c r="AW71" i="59"/>
  <c r="AW73" i="59"/>
  <c r="AY29" i="59"/>
  <c r="AX29" i="59"/>
  <c r="AW29" i="59"/>
  <c r="AY28" i="59"/>
  <c r="AX28" i="59"/>
  <c r="AY27" i="59"/>
  <c r="AX27" i="59"/>
  <c r="AY26" i="59"/>
  <c r="AX26" i="59"/>
  <c r="AW28" i="59"/>
  <c r="AW27" i="59"/>
  <c r="AW26" i="59"/>
  <c r="AB75" i="59"/>
  <c r="AH75" i="59"/>
  <c r="AQ75" i="59"/>
  <c r="AT75" i="59"/>
  <c r="H17" i="32"/>
  <c r="AV23" i="59"/>
  <c r="AU23" i="59"/>
  <c r="H16" i="32" s="1"/>
  <c r="I36" i="4" s="1"/>
  <c r="R36" i="4" s="1"/>
  <c r="H35" i="1"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Y155" i="58" s="1"/>
  <c r="X148" i="58"/>
  <c r="W148" i="58"/>
  <c r="V148" i="58"/>
  <c r="U148" i="58"/>
  <c r="T148" i="58"/>
  <c r="S148" i="58"/>
  <c r="R148" i="58"/>
  <c r="Q148" i="58"/>
  <c r="P148" i="58"/>
  <c r="O148" i="58"/>
  <c r="N148" i="58"/>
  <c r="M148" i="58"/>
  <c r="L148" i="58"/>
  <c r="K148" i="58"/>
  <c r="J148" i="58"/>
  <c r="I148" i="58"/>
  <c r="I155" i="58" s="1"/>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E148" i="58" s="1"/>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F171" i="58" s="1"/>
  <c r="E92" i="58"/>
  <c r="F161" i="58" s="1"/>
  <c r="F165"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E10" i="58"/>
  <c r="AW78" i="59"/>
  <c r="AX43" i="59"/>
  <c r="AY43" i="59"/>
  <c r="D17" i="32"/>
  <c r="E36" i="1"/>
  <c r="AF47" i="58"/>
  <c r="AE47" i="58"/>
  <c r="AF92" i="58"/>
  <c r="AE153" i="58"/>
  <c r="K155" i="58"/>
  <c r="S155" i="58"/>
  <c r="AA155" i="58"/>
  <c r="AF148" i="58"/>
  <c r="AF153" i="58"/>
  <c r="H155" i="58"/>
  <c r="P155" i="58"/>
  <c r="X155" i="58"/>
  <c r="AB155" i="58"/>
  <c r="G155" i="58"/>
  <c r="O155" i="58"/>
  <c r="W155" i="58"/>
  <c r="AE92" i="58"/>
  <c r="E155" i="58"/>
  <c r="M155" i="58"/>
  <c r="U155" i="58"/>
  <c r="AC155" i="58"/>
  <c r="F155" i="58"/>
  <c r="J155" i="58"/>
  <c r="N155" i="58"/>
  <c r="R155" i="58"/>
  <c r="V155" i="58"/>
  <c r="Z155" i="58"/>
  <c r="AD155" i="58"/>
  <c r="AW23" i="59"/>
  <c r="AX23" i="59"/>
  <c r="D16" i="32"/>
  <c r="E35" i="1" s="1"/>
  <c r="AY23" i="59"/>
  <c r="AF155" i="58"/>
  <c r="V21" i="31"/>
  <c r="V27" i="31" s="1"/>
  <c r="V14" i="4" s="1"/>
  <c r="F12" i="38"/>
  <c r="F66" i="6"/>
  <c r="F13" i="6" s="1"/>
  <c r="D66" i="6"/>
  <c r="D13" i="6" s="1"/>
  <c r="H62" i="6"/>
  <c r="P62" i="6" s="1"/>
  <c r="M110" i="31" s="1"/>
  <c r="H60" i="6"/>
  <c r="H59" i="6"/>
  <c r="H58" i="6"/>
  <c r="I58" i="6" s="1"/>
  <c r="H57" i="6"/>
  <c r="I57" i="6" s="1"/>
  <c r="H56" i="6"/>
  <c r="I56" i="6" s="1"/>
  <c r="H55" i="6"/>
  <c r="H54" i="6"/>
  <c r="P54" i="6" s="1"/>
  <c r="M78" i="31" s="1"/>
  <c r="H53" i="6"/>
  <c r="H52" i="6"/>
  <c r="H51" i="6"/>
  <c r="H50" i="6"/>
  <c r="H47" i="6"/>
  <c r="I47" i="6" s="1"/>
  <c r="F42" i="6"/>
  <c r="F159" i="18"/>
  <c r="F22" i="18"/>
  <c r="Z16" i="31"/>
  <c r="D151" i="31"/>
  <c r="D187" i="31" s="1"/>
  <c r="Y149" i="31"/>
  <c r="X149" i="31"/>
  <c r="Z148" i="31"/>
  <c r="Z147" i="31"/>
  <c r="Z146" i="31"/>
  <c r="Z145" i="31"/>
  <c r="AA145" i="31"/>
  <c r="Z144" i="31"/>
  <c r="Y135" i="31"/>
  <c r="X135" i="31"/>
  <c r="W135" i="31"/>
  <c r="U135" i="31"/>
  <c r="T135" i="31"/>
  <c r="K135" i="31"/>
  <c r="J135" i="31"/>
  <c r="Z134" i="31"/>
  <c r="Z133" i="31"/>
  <c r="Z132" i="31"/>
  <c r="Z131" i="31"/>
  <c r="AA131" i="31" s="1"/>
  <c r="Z130" i="31"/>
  <c r="Z129" i="31"/>
  <c r="D125" i="31"/>
  <c r="Z122" i="31"/>
  <c r="Y121" i="31"/>
  <c r="Y123" i="31"/>
  <c r="X121" i="31"/>
  <c r="X123" i="31"/>
  <c r="T121" i="31"/>
  <c r="T123" i="31"/>
  <c r="T25" i="4" s="1"/>
  <c r="L121" i="31"/>
  <c r="L123" i="31"/>
  <c r="I25" i="4" s="1"/>
  <c r="K121" i="31"/>
  <c r="K123" i="31" s="1"/>
  <c r="X25" i="4" s="1"/>
  <c r="I121" i="31"/>
  <c r="I123" i="31" s="1"/>
  <c r="G25" i="4" s="1"/>
  <c r="Z119" i="31"/>
  <c r="Z118" i="31"/>
  <c r="Z116" i="31"/>
  <c r="Z114" i="31"/>
  <c r="AA114" i="31" s="1"/>
  <c r="Z113" i="31"/>
  <c r="W107" i="31"/>
  <c r="W24" i="4" s="1"/>
  <c r="T107" i="31"/>
  <c r="T24" i="4" s="1"/>
  <c r="L107" i="31"/>
  <c r="I24" i="4"/>
  <c r="K107" i="31"/>
  <c r="X24" i="4" s="1"/>
  <c r="I107" i="31"/>
  <c r="G24" i="4" s="1"/>
  <c r="Z106" i="31"/>
  <c r="Z103" i="31"/>
  <c r="Y100" i="31"/>
  <c r="X100" i="31"/>
  <c r="W100" i="31"/>
  <c r="W23" i="4" s="1"/>
  <c r="T100" i="31"/>
  <c r="T23" i="4" s="1"/>
  <c r="K100" i="31"/>
  <c r="X23" i="4" s="1"/>
  <c r="J100" i="31"/>
  <c r="H23" i="4" s="1"/>
  <c r="I100" i="31"/>
  <c r="G23" i="4" s="1"/>
  <c r="Z96" i="31"/>
  <c r="Y93" i="31"/>
  <c r="X93" i="31"/>
  <c r="Z92" i="31"/>
  <c r="Y84" i="31"/>
  <c r="Y85" i="31" s="1"/>
  <c r="Y125" i="31" s="1"/>
  <c r="X84" i="31"/>
  <c r="T84" i="31"/>
  <c r="T85" i="31" s="1"/>
  <c r="L84" i="31"/>
  <c r="K84" i="31"/>
  <c r="J84" i="31"/>
  <c r="I84" i="31"/>
  <c r="Y72" i="31"/>
  <c r="X72" i="31"/>
  <c r="L72" i="31"/>
  <c r="K72" i="31"/>
  <c r="K85" i="31" s="1"/>
  <c r="J72" i="31"/>
  <c r="I72" i="31"/>
  <c r="I85" i="31" s="1"/>
  <c r="W51" i="31"/>
  <c r="V51" i="31"/>
  <c r="U51" i="31"/>
  <c r="T51" i="31"/>
  <c r="L51" i="31"/>
  <c r="K51" i="31"/>
  <c r="J51" i="31"/>
  <c r="I51" i="31"/>
  <c r="G51" i="31"/>
  <c r="F51" i="31"/>
  <c r="E51" i="31"/>
  <c r="Z50" i="31"/>
  <c r="AA50" i="31" s="1"/>
  <c r="Z49" i="31"/>
  <c r="AA49" i="31" s="1"/>
  <c r="Z48" i="31"/>
  <c r="AA48" i="31" s="1"/>
  <c r="Z47" i="31"/>
  <c r="AA47" i="31" s="1"/>
  <c r="Z46" i="31"/>
  <c r="AA46" i="31" s="1"/>
  <c r="Z45" i="31"/>
  <c r="AA45" i="31" s="1"/>
  <c r="Z44" i="31"/>
  <c r="AA44" i="31" s="1"/>
  <c r="Z43" i="31"/>
  <c r="AA43" i="31" s="1"/>
  <c r="Z42" i="31"/>
  <c r="AA42" i="31" s="1"/>
  <c r="Z41" i="31"/>
  <c r="AA41" i="31" s="1"/>
  <c r="Z40" i="31"/>
  <c r="Y37" i="31"/>
  <c r="X37" i="31"/>
  <c r="W37" i="31"/>
  <c r="W18" i="4"/>
  <c r="V37" i="31"/>
  <c r="V18" i="4"/>
  <c r="U37" i="31"/>
  <c r="U18" i="4"/>
  <c r="T37" i="31"/>
  <c r="T18" i="4"/>
  <c r="L37" i="31"/>
  <c r="I18" i="4" s="1"/>
  <c r="J37" i="31"/>
  <c r="H18" i="4" s="1"/>
  <c r="Z36" i="31"/>
  <c r="Z33" i="31"/>
  <c r="Z32" i="31"/>
  <c r="Y27" i="31"/>
  <c r="X27" i="31"/>
  <c r="Z25" i="31"/>
  <c r="Z23" i="31"/>
  <c r="Z27" i="31" s="1"/>
  <c r="Z22" i="31"/>
  <c r="Z21" i="31"/>
  <c r="Z20" i="31"/>
  <c r="Y17" i="31"/>
  <c r="X17" i="31"/>
  <c r="X28" i="31" s="1"/>
  <c r="X54" i="31" s="1"/>
  <c r="X151" i="31" s="1"/>
  <c r="W17" i="31"/>
  <c r="W12" i="4" s="1"/>
  <c r="W15" i="4" s="1"/>
  <c r="U17" i="31"/>
  <c r="U12" i="4"/>
  <c r="U15" i="4" s="1"/>
  <c r="T17" i="31"/>
  <c r="T28" i="31" s="1"/>
  <c r="J17" i="31"/>
  <c r="H12" i="4"/>
  <c r="H15" i="4" s="1"/>
  <c r="N26" i="1"/>
  <c r="AC27" i="4" s="1"/>
  <c r="C33" i="2"/>
  <c r="Y29" i="4" s="1"/>
  <c r="Y30" i="4" s="1"/>
  <c r="Y31" i="4" s="1"/>
  <c r="T38" i="1"/>
  <c r="F14" i="38"/>
  <c r="F16" i="38"/>
  <c r="W61" i="31" s="1"/>
  <c r="W72" i="31" s="1"/>
  <c r="W85" i="31" s="1"/>
  <c r="P11" i="6"/>
  <c r="I20" i="6"/>
  <c r="I46" i="6"/>
  <c r="K46" i="6"/>
  <c r="L46" i="6" s="1"/>
  <c r="P46" i="6"/>
  <c r="M63" i="31"/>
  <c r="I50" i="6"/>
  <c r="L50" i="6" s="1"/>
  <c r="K50" i="6"/>
  <c r="P50" i="6"/>
  <c r="M67" i="31" s="1"/>
  <c r="I53" i="6"/>
  <c r="K53" i="6" s="1"/>
  <c r="P53" i="6"/>
  <c r="M77" i="31"/>
  <c r="P57" i="6"/>
  <c r="I61" i="6"/>
  <c r="L61" i="6" s="1"/>
  <c r="K61" i="6"/>
  <c r="M90" i="31"/>
  <c r="I65" i="6"/>
  <c r="L65" i="6" s="1"/>
  <c r="K65" i="6"/>
  <c r="P65" i="6"/>
  <c r="M120" i="31" s="1"/>
  <c r="I41" i="6"/>
  <c r="P47" i="6"/>
  <c r="I51" i="6"/>
  <c r="K51" i="6" s="1"/>
  <c r="P51" i="6"/>
  <c r="M68" i="31"/>
  <c r="P58" i="6"/>
  <c r="M82" i="31" s="1"/>
  <c r="I62" i="6"/>
  <c r="K62" i="6" s="1"/>
  <c r="I48" i="6"/>
  <c r="K48" i="6" s="1"/>
  <c r="L48" i="6" s="1"/>
  <c r="P48" i="6"/>
  <c r="M65" i="31" s="1"/>
  <c r="I52" i="6"/>
  <c r="K52" i="6" s="1"/>
  <c r="P52" i="6"/>
  <c r="M69" i="31"/>
  <c r="I55" i="6"/>
  <c r="K55" i="6"/>
  <c r="L55" i="6" s="1"/>
  <c r="P55" i="6"/>
  <c r="M79" i="31"/>
  <c r="I59" i="6"/>
  <c r="K59" i="6"/>
  <c r="L59" i="6" s="1"/>
  <c r="P59" i="6"/>
  <c r="M83" i="31" s="1"/>
  <c r="I45" i="6"/>
  <c r="K45" i="6" s="1"/>
  <c r="P45" i="6"/>
  <c r="I49" i="6"/>
  <c r="K49" i="6" s="1"/>
  <c r="L49" i="6" s="1"/>
  <c r="P49" i="6"/>
  <c r="M66" i="31"/>
  <c r="I60" i="6"/>
  <c r="K60" i="6" s="1"/>
  <c r="P60" i="6"/>
  <c r="M89" i="31" s="1"/>
  <c r="I64" i="6"/>
  <c r="K64" i="6" s="1"/>
  <c r="P64" i="6"/>
  <c r="M115" i="31"/>
  <c r="G24" i="31"/>
  <c r="G159" i="31"/>
  <c r="F17" i="31"/>
  <c r="G116" i="31"/>
  <c r="AA116" i="31" s="1"/>
  <c r="G34" i="31"/>
  <c r="AA34" i="31" s="1"/>
  <c r="G90" i="31"/>
  <c r="G97" i="31"/>
  <c r="G99" i="31"/>
  <c r="G144" i="31"/>
  <c r="AA144" i="31"/>
  <c r="G154" i="31"/>
  <c r="G167" i="31"/>
  <c r="G16" i="31"/>
  <c r="AA16" i="31" s="1"/>
  <c r="J28" i="31"/>
  <c r="J53" i="31" s="1"/>
  <c r="H19" i="4" s="1"/>
  <c r="U28" i="31"/>
  <c r="G36" i="31"/>
  <c r="AA36" i="31" s="1"/>
  <c r="G53" i="31"/>
  <c r="E18" i="1" s="1"/>
  <c r="G69" i="31"/>
  <c r="G70" i="31"/>
  <c r="AA70" i="31" s="1"/>
  <c r="G176" i="31"/>
  <c r="G186" i="31" s="1"/>
  <c r="G32" i="31"/>
  <c r="AA32" i="31"/>
  <c r="G130" i="31"/>
  <c r="G165" i="31"/>
  <c r="G173" i="31" s="1"/>
  <c r="J85" i="31"/>
  <c r="H21" i="4"/>
  <c r="G157" i="31"/>
  <c r="G76" i="31"/>
  <c r="G81" i="31"/>
  <c r="G88" i="31"/>
  <c r="G93" i="31" s="1"/>
  <c r="E21" i="1" s="1"/>
  <c r="G115" i="31"/>
  <c r="G117" i="31"/>
  <c r="G122" i="31"/>
  <c r="AA122" i="31"/>
  <c r="G131" i="31"/>
  <c r="G155" i="31"/>
  <c r="X85" i="31"/>
  <c r="X125" i="31" s="1"/>
  <c r="G133" i="31"/>
  <c r="AA133" i="31" s="1"/>
  <c r="G134" i="31"/>
  <c r="AA134" i="31" s="1"/>
  <c r="G21" i="31"/>
  <c r="E12" i="1"/>
  <c r="K12" i="1" s="1"/>
  <c r="Q12" i="1" s="1"/>
  <c r="F37" i="31"/>
  <c r="G64" i="31"/>
  <c r="G104" i="31"/>
  <c r="G113" i="31"/>
  <c r="AA113" i="31" s="1"/>
  <c r="G132" i="31"/>
  <c r="AA132" i="31" s="1"/>
  <c r="F173" i="31"/>
  <c r="G166" i="31"/>
  <c r="G168" i="31"/>
  <c r="G177" i="31"/>
  <c r="G178" i="31"/>
  <c r="G180" i="31"/>
  <c r="G184" i="31"/>
  <c r="G15" i="31"/>
  <c r="Y28" i="31"/>
  <c r="Y54" i="31"/>
  <c r="G35" i="31"/>
  <c r="AA35" i="31"/>
  <c r="G68" i="31"/>
  <c r="G105" i="31"/>
  <c r="G169" i="31"/>
  <c r="G181" i="31"/>
  <c r="G182" i="31"/>
  <c r="G31" i="31"/>
  <c r="E149" i="31"/>
  <c r="E17" i="31"/>
  <c r="G33" i="31"/>
  <c r="AA33" i="31" s="1"/>
  <c r="G67" i="31"/>
  <c r="L85" i="31"/>
  <c r="I21" i="4"/>
  <c r="G89" i="31"/>
  <c r="G114" i="31"/>
  <c r="G185" i="31"/>
  <c r="G23" i="31"/>
  <c r="AA23" i="31" s="1"/>
  <c r="G25" i="31"/>
  <c r="AA25" i="31" s="1"/>
  <c r="G78" i="31"/>
  <c r="G79" i="31"/>
  <c r="G118" i="31"/>
  <c r="AA118" i="31" s="1"/>
  <c r="H42" i="6"/>
  <c r="Z51" i="31"/>
  <c r="G61" i="31"/>
  <c r="G71" i="31"/>
  <c r="AA71" i="31" s="1"/>
  <c r="G91" i="31"/>
  <c r="E107" i="31"/>
  <c r="G112" i="31"/>
  <c r="G171" i="31"/>
  <c r="G179" i="31"/>
  <c r="G129" i="31"/>
  <c r="AA129" i="31" s="1"/>
  <c r="D42" i="6"/>
  <c r="D11" i="6" s="1"/>
  <c r="I11" i="6" s="1"/>
  <c r="K11" i="6" s="1"/>
  <c r="G57" i="31"/>
  <c r="E84" i="31"/>
  <c r="G77" i="31"/>
  <c r="E160" i="31"/>
  <c r="G158" i="31"/>
  <c r="G20" i="31"/>
  <c r="AA20" i="31" s="1"/>
  <c r="AA27" i="31" s="1"/>
  <c r="AC27" i="31" s="1"/>
  <c r="F135" i="31"/>
  <c r="G128" i="31"/>
  <c r="G16" i="24"/>
  <c r="G80" i="31"/>
  <c r="F93" i="31"/>
  <c r="E37" i="31"/>
  <c r="AA40" i="31"/>
  <c r="AA51" i="31" s="1"/>
  <c r="F72" i="31"/>
  <c r="F85" i="31" s="1"/>
  <c r="F125" i="31" s="1"/>
  <c r="F150" i="31" s="1"/>
  <c r="G63" i="31"/>
  <c r="G66" i="31"/>
  <c r="G98" i="31"/>
  <c r="F121" i="31"/>
  <c r="F123" i="31" s="1"/>
  <c r="E72" i="31"/>
  <c r="E85" i="31" s="1"/>
  <c r="E125" i="31" s="1"/>
  <c r="E150" i="31" s="1"/>
  <c r="G92" i="31"/>
  <c r="G96" i="31"/>
  <c r="G100" i="31" s="1"/>
  <c r="E22" i="1" s="1"/>
  <c r="F100" i="31"/>
  <c r="G137" i="31"/>
  <c r="AA137" i="31" s="1"/>
  <c r="E93" i="31"/>
  <c r="G119" i="31"/>
  <c r="G22" i="31"/>
  <c r="G62" i="31"/>
  <c r="G65" i="31"/>
  <c r="F84" i="31"/>
  <c r="G75" i="31"/>
  <c r="G82" i="31"/>
  <c r="G83" i="31"/>
  <c r="F107" i="31"/>
  <c r="G103" i="31"/>
  <c r="G106" i="31"/>
  <c r="G111" i="31"/>
  <c r="E100" i="31"/>
  <c r="E121" i="31"/>
  <c r="E123" i="31"/>
  <c r="G120" i="31"/>
  <c r="E135" i="31"/>
  <c r="G140" i="31"/>
  <c r="G164" i="31"/>
  <c r="G172" i="31"/>
  <c r="G110" i="31"/>
  <c r="E186" i="31"/>
  <c r="F149" i="31"/>
  <c r="F160" i="31"/>
  <c r="E173" i="31"/>
  <c r="G163" i="31"/>
  <c r="F186" i="31"/>
  <c r="G183" i="31"/>
  <c r="G156" i="31"/>
  <c r="G170" i="31"/>
  <c r="H66" i="6"/>
  <c r="F111" i="6"/>
  <c r="U53" i="31"/>
  <c r="U19" i="4" s="1"/>
  <c r="AA21" i="31"/>
  <c r="M62" i="31"/>
  <c r="Y151" i="31"/>
  <c r="F28" i="31"/>
  <c r="F54" i="31"/>
  <c r="AA146" i="31"/>
  <c r="AA148" i="31"/>
  <c r="AA130" i="31"/>
  <c r="E28" i="31"/>
  <c r="E54" i="31" s="1"/>
  <c r="L100" i="31"/>
  <c r="I23" i="4" s="1"/>
  <c r="G149" i="31"/>
  <c r="E28" i="1" s="1"/>
  <c r="AA106" i="31"/>
  <c r="I37" i="31"/>
  <c r="G18" i="4" s="1"/>
  <c r="G37" i="31"/>
  <c r="E17" i="1" s="1"/>
  <c r="AA92" i="31"/>
  <c r="E27" i="1"/>
  <c r="AA147" i="31"/>
  <c r="AA119" i="31"/>
  <c r="G160" i="31"/>
  <c r="E16" i="24" s="1"/>
  <c r="AA98" i="31"/>
  <c r="AA103" i="31"/>
  <c r="AA22" i="31"/>
  <c r="E19" i="1"/>
  <c r="AA76" i="31"/>
  <c r="Z112" i="31"/>
  <c r="AA112" i="31"/>
  <c r="Z24" i="31"/>
  <c r="AA24" i="31" s="1"/>
  <c r="K37" i="31"/>
  <c r="X18" i="4" s="1"/>
  <c r="Z31" i="31"/>
  <c r="Z37" i="31"/>
  <c r="AA31" i="31"/>
  <c r="AA37" i="31" s="1"/>
  <c r="F13" i="3"/>
  <c r="J13" i="3" s="1"/>
  <c r="J20" i="6"/>
  <c r="J21" i="6" s="1"/>
  <c r="J22" i="6" s="1"/>
  <c r="Y117" i="93" l="1"/>
  <c r="G35" i="97"/>
  <c r="AA320" i="93"/>
  <c r="AC320" i="93" s="1"/>
  <c r="D43" i="76"/>
  <c r="G37" i="97"/>
  <c r="T320" i="93"/>
  <c r="U320" i="93" s="1"/>
  <c r="AA148" i="104"/>
  <c r="Z150" i="104"/>
  <c r="AA150" i="104" s="1"/>
  <c r="AA118" i="104"/>
  <c r="AA116" i="104"/>
  <c r="Z120" i="104"/>
  <c r="H32" i="99"/>
  <c r="AA120" i="104"/>
  <c r="S317" i="93"/>
  <c r="U314" i="93"/>
  <c r="V110" i="104"/>
  <c r="G39" i="99" s="1"/>
  <c r="S43" i="93"/>
  <c r="T43" i="93" s="1"/>
  <c r="J10" i="99"/>
  <c r="T314" i="93"/>
  <c r="T36" i="104"/>
  <c r="W118" i="93"/>
  <c r="N62" i="104"/>
  <c r="AL110" i="104"/>
  <c r="X20" i="104"/>
  <c r="X102" i="104" s="1"/>
  <c r="N110" i="104"/>
  <c r="G35" i="99" s="1"/>
  <c r="S7" i="93"/>
  <c r="T7" i="93" s="1"/>
  <c r="W116" i="93"/>
  <c r="X33" i="104"/>
  <c r="AE21" i="104"/>
  <c r="X113" i="104"/>
  <c r="AA113" i="104" s="1"/>
  <c r="J16" i="99"/>
  <c r="S82" i="93"/>
  <c r="T82" i="93" s="1"/>
  <c r="AA112" i="104"/>
  <c r="D33" i="104"/>
  <c r="D107" i="104" s="1"/>
  <c r="D36" i="104"/>
  <c r="R33" i="104"/>
  <c r="R107" i="104" s="1"/>
  <c r="R110" i="104" s="1"/>
  <c r="G37" i="99" s="1"/>
  <c r="P34" i="104"/>
  <c r="P108" i="104" s="1"/>
  <c r="P110" i="104" s="1"/>
  <c r="G36" i="99" s="1"/>
  <c r="AK282" i="93"/>
  <c r="U282" i="93"/>
  <c r="D41" i="76"/>
  <c r="D49" i="76"/>
  <c r="D37" i="76"/>
  <c r="T318" i="93"/>
  <c r="U318" i="93" s="1"/>
  <c r="X110" i="104"/>
  <c r="G40" i="99" s="1"/>
  <c r="AA109" i="104"/>
  <c r="S118" i="93" s="1"/>
  <c r="D110" i="104"/>
  <c r="G30" i="99" s="1"/>
  <c r="T317" i="93"/>
  <c r="K35" i="1"/>
  <c r="Q35" i="1" s="1"/>
  <c r="W35" i="1" s="1"/>
  <c r="Q26" i="1"/>
  <c r="W26" i="1" s="1"/>
  <c r="H35" i="97"/>
  <c r="H37" i="97"/>
  <c r="M214" i="49"/>
  <c r="N214" i="49" s="1"/>
  <c r="M222" i="49"/>
  <c r="N222" i="49" s="1"/>
  <c r="M209" i="49"/>
  <c r="N209" i="49" s="1"/>
  <c r="M75" i="6"/>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K20" i="6"/>
  <c r="L20" i="6" s="1"/>
  <c r="N20" i="6" s="1"/>
  <c r="E22" i="108"/>
  <c r="AD102" i="104"/>
  <c r="AD107" i="104"/>
  <c r="AF107" i="104" s="1"/>
  <c r="F22" i="108"/>
  <c r="D22" i="108"/>
  <c r="AD100" i="104"/>
  <c r="I22" i="108"/>
  <c r="Z139" i="104"/>
  <c r="T139" i="104"/>
  <c r="P140" i="104"/>
  <c r="D139" i="104"/>
  <c r="X139" i="104"/>
  <c r="F139" i="104"/>
  <c r="H140" i="104"/>
  <c r="H139" i="104"/>
  <c r="F140" i="104"/>
  <c r="N140" i="104"/>
  <c r="AD112" i="104"/>
  <c r="AF112" i="104" s="1"/>
  <c r="R140" i="104"/>
  <c r="P139" i="104"/>
  <c r="P141" i="104" s="1"/>
  <c r="V140" i="104"/>
  <c r="J140" i="104"/>
  <c r="J139" i="104"/>
  <c r="R139" i="104"/>
  <c r="X140" i="104"/>
  <c r="D140" i="104"/>
  <c r="T140" i="104"/>
  <c r="L139" i="104"/>
  <c r="L141" i="104" s="1"/>
  <c r="N139" i="104"/>
  <c r="N141" i="104" s="1"/>
  <c r="Z140" i="104"/>
  <c r="V139" i="104"/>
  <c r="L140" i="104"/>
  <c r="AD99" i="104"/>
  <c r="C22" i="108"/>
  <c r="D136" i="104"/>
  <c r="N127" i="104"/>
  <c r="X127" i="104"/>
  <c r="F135" i="104"/>
  <c r="V127" i="104"/>
  <c r="H129" i="104"/>
  <c r="H134" i="104"/>
  <c r="H126" i="104"/>
  <c r="Z135" i="104"/>
  <c r="Z127" i="104"/>
  <c r="X135" i="104"/>
  <c r="H127" i="104"/>
  <c r="V136" i="104"/>
  <c r="Z130" i="104"/>
  <c r="F127" i="104"/>
  <c r="L131" i="104"/>
  <c r="J135" i="104"/>
  <c r="J127" i="104"/>
  <c r="V131" i="104"/>
  <c r="T131" i="104"/>
  <c r="D135" i="104"/>
  <c r="N131" i="104"/>
  <c r="X136" i="104"/>
  <c r="J130" i="104"/>
  <c r="Z131" i="104"/>
  <c r="X131" i="104"/>
  <c r="F136" i="104"/>
  <c r="X134" i="104"/>
  <c r="V130" i="104"/>
  <c r="T134" i="104"/>
  <c r="F131" i="104"/>
  <c r="D131" i="104"/>
  <c r="N134" i="104"/>
  <c r="X130" i="104"/>
  <c r="L134" i="104"/>
  <c r="T129" i="104"/>
  <c r="J131" i="104"/>
  <c r="H131" i="104"/>
  <c r="H136" i="104"/>
  <c r="R126" i="104"/>
  <c r="F134" i="104"/>
  <c r="F130" i="104"/>
  <c r="D126" i="104"/>
  <c r="N129" i="104"/>
  <c r="D134" i="104"/>
  <c r="Z129" i="104"/>
  <c r="L136" i="104"/>
  <c r="N130" i="104"/>
  <c r="R131" i="104"/>
  <c r="H130" i="104"/>
  <c r="D129" i="104"/>
  <c r="T130" i="104"/>
  <c r="J126" i="104"/>
  <c r="T135" i="104"/>
  <c r="V126" i="104"/>
  <c r="T126" i="104"/>
  <c r="X129" i="104"/>
  <c r="X132" i="104" s="1"/>
  <c r="Z126" i="104"/>
  <c r="P129" i="104"/>
  <c r="R130" i="104"/>
  <c r="J129" i="104"/>
  <c r="P127" i="104"/>
  <c r="L130" i="104"/>
  <c r="R129" i="104"/>
  <c r="D130" i="104"/>
  <c r="J134" i="104"/>
  <c r="V134" i="104"/>
  <c r="P134" i="104"/>
  <c r="N135" i="104"/>
  <c r="R136" i="104"/>
  <c r="L127" i="104"/>
  <c r="L129" i="104"/>
  <c r="L132" i="104" s="1"/>
  <c r="V135" i="104"/>
  <c r="V129" i="104"/>
  <c r="L126" i="104"/>
  <c r="Z134" i="104"/>
  <c r="J136" i="104"/>
  <c r="X126" i="104"/>
  <c r="R135" i="104"/>
  <c r="D127" i="104"/>
  <c r="T127" i="104"/>
  <c r="T136" i="104"/>
  <c r="L135" i="104"/>
  <c r="P136" i="104"/>
  <c r="N136" i="104"/>
  <c r="F129" i="104"/>
  <c r="Z136" i="104"/>
  <c r="P130" i="104"/>
  <c r="P131" i="104"/>
  <c r="R134" i="104"/>
  <c r="R137" i="104" s="1"/>
  <c r="P135" i="104"/>
  <c r="R18" i="4"/>
  <c r="H17" i="1" s="1"/>
  <c r="J23" i="6"/>
  <c r="K22" i="6"/>
  <c r="L22" i="6" s="1"/>
  <c r="N22" i="6" s="1"/>
  <c r="N59" i="6"/>
  <c r="Q59" i="6" s="1"/>
  <c r="M121" i="31"/>
  <c r="M123" i="31" s="1"/>
  <c r="J25" i="4" s="1"/>
  <c r="N46" i="6"/>
  <c r="Q46" i="6" s="1"/>
  <c r="U63" i="31" s="1"/>
  <c r="Z63" i="31" s="1"/>
  <c r="AA63" i="31" s="1"/>
  <c r="G21" i="4"/>
  <c r="D15" i="6"/>
  <c r="C17" i="60"/>
  <c r="D17" i="60" s="1"/>
  <c r="I39" i="60"/>
  <c r="E151" i="31"/>
  <c r="E187" i="31" s="1"/>
  <c r="N48" i="6"/>
  <c r="Q48" i="6" s="1"/>
  <c r="R23" i="4"/>
  <c r="H22" i="1" s="1"/>
  <c r="K22" i="1" s="1"/>
  <c r="H13" i="6"/>
  <c r="F15" i="6"/>
  <c r="F151" i="31"/>
  <c r="F187" i="31" s="1"/>
  <c r="X21" i="4"/>
  <c r="T21" i="4"/>
  <c r="K56" i="6"/>
  <c r="L56" i="6"/>
  <c r="AE155" i="58"/>
  <c r="T53" i="31"/>
  <c r="T19" i="4" s="1"/>
  <c r="T54" i="31"/>
  <c r="L11" i="6"/>
  <c r="W12" i="1"/>
  <c r="AC21" i="31"/>
  <c r="N49" i="6"/>
  <c r="Q49" i="6" s="1"/>
  <c r="U66" i="31" s="1"/>
  <c r="Z66" i="31" s="1"/>
  <c r="AA66" i="31" s="1"/>
  <c r="N55" i="6"/>
  <c r="Q55" i="6" s="1"/>
  <c r="N65" i="6"/>
  <c r="Q65" i="6" s="1"/>
  <c r="U120" i="31" s="1"/>
  <c r="Z120" i="31" s="1"/>
  <c r="AA120" i="31" s="1"/>
  <c r="K47" i="6"/>
  <c r="L47" i="6" s="1"/>
  <c r="K57" i="6"/>
  <c r="L57" i="6"/>
  <c r="N61" i="6"/>
  <c r="Q61" i="6" s="1"/>
  <c r="W21" i="4"/>
  <c r="K58" i="6"/>
  <c r="L58" i="6" s="1"/>
  <c r="C197" i="78"/>
  <c r="N50" i="6"/>
  <c r="Q50" i="6" s="1"/>
  <c r="U67" i="31" s="1"/>
  <c r="Z67" i="31" s="1"/>
  <c r="AA67" i="31" s="1"/>
  <c r="K21" i="6"/>
  <c r="L21" i="6" s="1"/>
  <c r="N21" i="6" s="1"/>
  <c r="J54" i="31"/>
  <c r="G121" i="31"/>
  <c r="G123" i="31" s="1"/>
  <c r="E24" i="1" s="1"/>
  <c r="L60" i="6"/>
  <c r="M64" i="31"/>
  <c r="T12" i="4"/>
  <c r="Q155" i="58"/>
  <c r="T22" i="60"/>
  <c r="H10" i="31" s="1"/>
  <c r="AF124" i="62"/>
  <c r="O36" i="62"/>
  <c r="O389" i="62" s="1"/>
  <c r="AD126" i="62"/>
  <c r="AF126" i="62"/>
  <c r="AD513" i="62"/>
  <c r="AF513" i="62" s="1"/>
  <c r="AD570" i="62"/>
  <c r="AF570" i="62"/>
  <c r="X189" i="62"/>
  <c r="AB189" i="62"/>
  <c r="AD179" i="62"/>
  <c r="AF179" i="62" s="1"/>
  <c r="S181" i="62"/>
  <c r="U171" i="62"/>
  <c r="U157" i="62"/>
  <c r="S169" i="62"/>
  <c r="AF147" i="62"/>
  <c r="AD117" i="62"/>
  <c r="AF117" i="62"/>
  <c r="AF109" i="62"/>
  <c r="S120" i="62"/>
  <c r="X89" i="62"/>
  <c r="S95" i="62"/>
  <c r="AD73" i="62"/>
  <c r="AF73" i="62"/>
  <c r="AD65" i="62"/>
  <c r="AF65" i="62"/>
  <c r="J43" i="59"/>
  <c r="J75" i="59" s="1"/>
  <c r="M43" i="59"/>
  <c r="M75" i="59" s="1"/>
  <c r="S43" i="59"/>
  <c r="S75" i="59" s="1"/>
  <c r="V43" i="59"/>
  <c r="V75" i="59" s="1"/>
  <c r="Y43" i="59"/>
  <c r="Y75" i="59" s="1"/>
  <c r="U132" i="62"/>
  <c r="S149" i="62"/>
  <c r="AF168" i="62"/>
  <c r="AB278" i="62"/>
  <c r="X278" i="62"/>
  <c r="AD241" i="62"/>
  <c r="U241" i="62"/>
  <c r="G389" i="62"/>
  <c r="AD475" i="62"/>
  <c r="AF475" i="62" s="1"/>
  <c r="AD524" i="62"/>
  <c r="AF524" i="62"/>
  <c r="I36" i="6"/>
  <c r="P36" i="6"/>
  <c r="F378" i="78"/>
  <c r="C380" i="78"/>
  <c r="C379" i="78"/>
  <c r="E378" i="78"/>
  <c r="D194" i="78"/>
  <c r="D164" i="78"/>
  <c r="D160" i="78"/>
  <c r="D161" i="78"/>
  <c r="D179" i="78"/>
  <c r="D155" i="78"/>
  <c r="D153" i="78"/>
  <c r="D178" i="78"/>
  <c r="D159" i="78"/>
  <c r="D192" i="78"/>
  <c r="D171" i="78"/>
  <c r="D189" i="78"/>
  <c r="D167" i="78"/>
  <c r="D150" i="78"/>
  <c r="D177" i="78"/>
  <c r="D196" i="78"/>
  <c r="D174" i="78"/>
  <c r="D195" i="78"/>
  <c r="D185" i="78"/>
  <c r="D180" i="78"/>
  <c r="D165" i="78"/>
  <c r="D154" i="78"/>
  <c r="D173" i="78"/>
  <c r="D184" i="78"/>
  <c r="D156" i="78"/>
  <c r="D186" i="78"/>
  <c r="D197" i="78"/>
  <c r="D158" i="78"/>
  <c r="D162" i="78"/>
  <c r="D183" i="78"/>
  <c r="D182" i="78"/>
  <c r="D188" i="78"/>
  <c r="D166" i="78"/>
  <c r="D176" i="78"/>
  <c r="D152" i="78"/>
  <c r="D172" i="78"/>
  <c r="B13" i="78"/>
  <c r="B15" i="78"/>
  <c r="K147" i="107"/>
  <c r="G27" i="31"/>
  <c r="E13" i="1" s="1"/>
  <c r="W28" i="31"/>
  <c r="L64" i="6"/>
  <c r="P56" i="6"/>
  <c r="M80" i="31" s="1"/>
  <c r="L52" i="6"/>
  <c r="L53" i="6"/>
  <c r="AA18" i="4"/>
  <c r="I37" i="4"/>
  <c r="R37" i="4" s="1"/>
  <c r="H36" i="1" s="1"/>
  <c r="K36" i="1" s="1"/>
  <c r="C18" i="60"/>
  <c r="D18" i="60" s="1"/>
  <c r="M25" i="60"/>
  <c r="AD253" i="62"/>
  <c r="AF253" i="62" s="1"/>
  <c r="K700" i="62"/>
  <c r="AF498" i="62"/>
  <c r="S698" i="62"/>
  <c r="AD569" i="62"/>
  <c r="AF569" i="62"/>
  <c r="W211" i="62"/>
  <c r="S224" i="62"/>
  <c r="D170" i="78"/>
  <c r="B213" i="78"/>
  <c r="B218" i="78"/>
  <c r="C232" i="78"/>
  <c r="D230" i="78"/>
  <c r="M26" i="107"/>
  <c r="AA96" i="31"/>
  <c r="G107" i="31"/>
  <c r="E23" i="1" s="1"/>
  <c r="I54" i="6"/>
  <c r="I66" i="6" s="1"/>
  <c r="T155" i="58"/>
  <c r="AF172" i="62"/>
  <c r="AD118" i="62"/>
  <c r="AF118" i="62" s="1"/>
  <c r="J19" i="4"/>
  <c r="M54" i="31"/>
  <c r="AD108" i="62"/>
  <c r="AF108" i="62"/>
  <c r="AF245" i="62"/>
  <c r="I389" i="62"/>
  <c r="Q389" i="62"/>
  <c r="L389" i="62"/>
  <c r="AD490" i="62"/>
  <c r="AF490" i="62" s="1"/>
  <c r="AB607" i="62"/>
  <c r="X607" i="62"/>
  <c r="AF607" i="62" s="1"/>
  <c r="AB601" i="62"/>
  <c r="X601" i="62"/>
  <c r="AF167" i="62"/>
  <c r="AD473" i="62"/>
  <c r="AF473" i="62" s="1"/>
  <c r="L63" i="6"/>
  <c r="D191" i="78"/>
  <c r="U54" i="31"/>
  <c r="L45" i="6"/>
  <c r="M72" i="31"/>
  <c r="AK80" i="59"/>
  <c r="AF48" i="62"/>
  <c r="AD187" i="62"/>
  <c r="AF187" i="62"/>
  <c r="W382" i="62"/>
  <c r="AC382" i="62"/>
  <c r="W374" i="62"/>
  <c r="S384" i="62"/>
  <c r="AC374" i="62"/>
  <c r="W363" i="62"/>
  <c r="AC363" i="62"/>
  <c r="W355" i="62"/>
  <c r="AC355" i="62"/>
  <c r="W345" i="62"/>
  <c r="AC345" i="62"/>
  <c r="S348" i="62"/>
  <c r="W320" i="62"/>
  <c r="AC320" i="62"/>
  <c r="AC703" i="62" s="1"/>
  <c r="S325" i="62"/>
  <c r="W312" i="62"/>
  <c r="AC312" i="62"/>
  <c r="S304" i="62"/>
  <c r="W300" i="62"/>
  <c r="AB270" i="62"/>
  <c r="X270" i="62"/>
  <c r="AD259" i="62"/>
  <c r="AF259" i="62" s="1"/>
  <c r="AD251" i="62"/>
  <c r="AF251" i="62"/>
  <c r="AD243" i="62"/>
  <c r="AF243" i="62" s="1"/>
  <c r="AF235" i="62"/>
  <c r="U54" i="62"/>
  <c r="S59" i="62"/>
  <c r="AD231" i="62"/>
  <c r="U231" i="62"/>
  <c r="S298" i="62"/>
  <c r="F54" i="67"/>
  <c r="L54" i="67" s="1"/>
  <c r="L23" i="67"/>
  <c r="G23" i="67"/>
  <c r="H23" i="67" s="1"/>
  <c r="D168" i="78"/>
  <c r="A10" i="80"/>
  <c r="G135" i="31"/>
  <c r="E25" i="1" s="1"/>
  <c r="E57" i="67" s="1"/>
  <c r="G17" i="31"/>
  <c r="L155" i="58"/>
  <c r="AF548" i="62"/>
  <c r="AD151" i="62"/>
  <c r="AF151" i="62"/>
  <c r="AF531" i="62"/>
  <c r="AD72" i="62"/>
  <c r="AF72" i="62" s="1"/>
  <c r="P389" i="62"/>
  <c r="N389" i="62"/>
  <c r="M700" i="62"/>
  <c r="K44" i="6"/>
  <c r="L44" i="6"/>
  <c r="AD140" i="62"/>
  <c r="AF140" i="62" s="1"/>
  <c r="AD566" i="62"/>
  <c r="AF566" i="62"/>
  <c r="S588" i="62"/>
  <c r="AD530" i="62"/>
  <c r="AF530" i="62"/>
  <c r="AD512" i="62"/>
  <c r="AF512" i="62"/>
  <c r="AF497" i="62"/>
  <c r="AD489" i="62"/>
  <c r="AF489" i="62"/>
  <c r="S546" i="62"/>
  <c r="V471" i="62"/>
  <c r="X444" i="62"/>
  <c r="S451" i="62"/>
  <c r="S459" i="62" s="1"/>
  <c r="AF434" i="62"/>
  <c r="AC425" i="62"/>
  <c r="W425" i="62"/>
  <c r="S419" i="62"/>
  <c r="AC406" i="62"/>
  <c r="W396" i="62"/>
  <c r="S399" i="62"/>
  <c r="AC396" i="62"/>
  <c r="AK43" i="59"/>
  <c r="AK75" i="59" s="1"/>
  <c r="AW41" i="59"/>
  <c r="V582" i="62"/>
  <c r="V703" i="62" s="1"/>
  <c r="AD439" i="62"/>
  <c r="AF439" i="62"/>
  <c r="F377" i="78"/>
  <c r="G377" i="78" s="1"/>
  <c r="H377" i="78" s="1"/>
  <c r="A14" i="77"/>
  <c r="L64" i="107"/>
  <c r="L62" i="6"/>
  <c r="L51" i="6"/>
  <c r="Q17" i="60"/>
  <c r="AD53" i="62"/>
  <c r="AF53" i="62"/>
  <c r="AF175" i="62"/>
  <c r="AD477" i="62"/>
  <c r="AF477" i="62"/>
  <c r="AD549" i="62"/>
  <c r="AF549" i="62"/>
  <c r="W692" i="62"/>
  <c r="AC692" i="62"/>
  <c r="W672" i="62"/>
  <c r="AC672" i="62"/>
  <c r="AC660" i="62"/>
  <c r="W660" i="62"/>
  <c r="AC652" i="62"/>
  <c r="W652" i="62"/>
  <c r="AC642" i="62"/>
  <c r="W642" i="62"/>
  <c r="AC634" i="62"/>
  <c r="W634" i="62"/>
  <c r="AC626" i="62"/>
  <c r="W626" i="62"/>
  <c r="S685" i="62"/>
  <c r="AC618" i="62"/>
  <c r="W618" i="62"/>
  <c r="AH77" i="59"/>
  <c r="AH80" i="59" s="1"/>
  <c r="AW36" i="59"/>
  <c r="AN43" i="59"/>
  <c r="AN75" i="59" s="1"/>
  <c r="AW33" i="59"/>
  <c r="AN77" i="59"/>
  <c r="AN80" i="59" s="1"/>
  <c r="AW32" i="59"/>
  <c r="AQ77" i="59"/>
  <c r="AQ80" i="59" s="1"/>
  <c r="AW40" i="59"/>
  <c r="AW79" i="59" s="1"/>
  <c r="L17" i="67"/>
  <c r="G17" i="67"/>
  <c r="H17" i="67" s="1"/>
  <c r="H54" i="67" s="1"/>
  <c r="B79" i="78"/>
  <c r="O77" i="107"/>
  <c r="O78" i="107" s="1"/>
  <c r="F14" i="3"/>
  <c r="G84" i="31"/>
  <c r="G72" i="31"/>
  <c r="G85" i="31" s="1"/>
  <c r="AF101" i="62"/>
  <c r="AD261" i="62"/>
  <c r="AF261" i="62" s="1"/>
  <c r="AD435" i="62"/>
  <c r="AF435" i="62"/>
  <c r="AD456" i="62"/>
  <c r="AF456" i="62"/>
  <c r="AD467" i="62"/>
  <c r="AF467" i="62"/>
  <c r="J77" i="59"/>
  <c r="J80" i="59" s="1"/>
  <c r="AW53" i="59"/>
  <c r="X596" i="62"/>
  <c r="S81" i="62"/>
  <c r="AT79" i="59"/>
  <c r="P79" i="59"/>
  <c r="P80" i="59" s="1"/>
  <c r="S79" i="59"/>
  <c r="S80" i="59" s="1"/>
  <c r="AE43" i="59"/>
  <c r="AE75" i="59" s="1"/>
  <c r="AC650" i="62"/>
  <c r="W650" i="62"/>
  <c r="N700" i="62"/>
  <c r="I700" i="62"/>
  <c r="V79" i="59"/>
  <c r="V80" i="59" s="1"/>
  <c r="B150" i="78"/>
  <c r="B299" i="78"/>
  <c r="B300" i="78" s="1"/>
  <c r="B297" i="78"/>
  <c r="C303" i="78"/>
  <c r="D302" i="78"/>
  <c r="N54" i="31"/>
  <c r="K19" i="4"/>
  <c r="AD145" i="62"/>
  <c r="AF145" i="62"/>
  <c r="AD427" i="62"/>
  <c r="AF427" i="62"/>
  <c r="AD578" i="62"/>
  <c r="AF578" i="62"/>
  <c r="F700" i="62"/>
  <c r="AT80" i="59"/>
  <c r="S28" i="62"/>
  <c r="S34" i="62" s="1"/>
  <c r="X22" i="62"/>
  <c r="I31" i="6"/>
  <c r="P31" i="6"/>
  <c r="M81" i="31" s="1"/>
  <c r="I25" i="6"/>
  <c r="P25" i="6"/>
  <c r="P42" i="6" s="1"/>
  <c r="J220" i="49"/>
  <c r="L32" i="67"/>
  <c r="G32" i="67"/>
  <c r="H32" i="67" s="1"/>
  <c r="P34" i="6"/>
  <c r="J117" i="107"/>
  <c r="M52" i="107"/>
  <c r="B360" i="78"/>
  <c r="M162" i="107"/>
  <c r="AF119" i="62"/>
  <c r="AF527" i="62"/>
  <c r="V587" i="62"/>
  <c r="U279" i="62"/>
  <c r="B361" i="78"/>
  <c r="AF56" i="62"/>
  <c r="AF163" i="62"/>
  <c r="AF550" i="62"/>
  <c r="U203" i="62"/>
  <c r="U703" i="62" s="1"/>
  <c r="V704" i="62" s="1"/>
  <c r="P26" i="6"/>
  <c r="V21" i="4"/>
  <c r="AF139" i="62"/>
  <c r="J41" i="107"/>
  <c r="I132" i="107"/>
  <c r="H167" i="107"/>
  <c r="R75" i="107"/>
  <c r="H176" i="107"/>
  <c r="D14" i="95"/>
  <c r="H23" i="70"/>
  <c r="D11" i="95"/>
  <c r="H19" i="70"/>
  <c r="G82" i="93"/>
  <c r="K218" i="93"/>
  <c r="M218" i="93" s="1"/>
  <c r="P126" i="104"/>
  <c r="P99" i="104"/>
  <c r="D36" i="99" s="1"/>
  <c r="S80" i="93"/>
  <c r="T80" i="93" s="1"/>
  <c r="J104" i="104"/>
  <c r="G44" i="93"/>
  <c r="I186" i="93"/>
  <c r="I187" i="93" s="1"/>
  <c r="I506" i="93"/>
  <c r="K506" i="93"/>
  <c r="M506" i="93" s="1"/>
  <c r="D20" i="95"/>
  <c r="H25" i="70"/>
  <c r="AK314" i="93"/>
  <c r="P19" i="104"/>
  <c r="P23" i="104" s="1"/>
  <c r="G319" i="93"/>
  <c r="K507" i="93"/>
  <c r="M507" i="93" s="1"/>
  <c r="N126" i="104"/>
  <c r="N99" i="104"/>
  <c r="D35" i="99" s="1"/>
  <c r="G117" i="93"/>
  <c r="I117" i="93" s="1"/>
  <c r="C216" i="93"/>
  <c r="E220" i="93"/>
  <c r="E246" i="93" s="1"/>
  <c r="C246" i="93" s="1"/>
  <c r="M382" i="93"/>
  <c r="M383" i="93" s="1"/>
  <c r="I428" i="102"/>
  <c r="I430" i="102" s="1"/>
  <c r="K185" i="93"/>
  <c r="M185" i="93" s="1"/>
  <c r="M187" i="93" s="1"/>
  <c r="G43" i="93"/>
  <c r="M438" i="93"/>
  <c r="M439" i="93" s="1"/>
  <c r="L83" i="104"/>
  <c r="G150" i="93"/>
  <c r="K150" i="93" s="1"/>
  <c r="M150" i="93" s="1"/>
  <c r="M154" i="93" s="1"/>
  <c r="K153" i="93"/>
  <c r="M153" i="93" s="1"/>
  <c r="AI13" i="102"/>
  <c r="E21" i="93"/>
  <c r="AI20" i="102"/>
  <c r="E28" i="93"/>
  <c r="C252" i="93"/>
  <c r="G252" i="93" s="1"/>
  <c r="I252" i="93" s="1"/>
  <c r="I253" i="93" s="1"/>
  <c r="E253" i="93"/>
  <c r="E279" i="93" s="1"/>
  <c r="C279" i="93" s="1"/>
  <c r="C117" i="93"/>
  <c r="K117" i="93" s="1"/>
  <c r="M117" i="93" s="1"/>
  <c r="E119" i="93"/>
  <c r="K482" i="93"/>
  <c r="M482" i="93" s="1"/>
  <c r="M485" i="93" s="1"/>
  <c r="G505" i="93"/>
  <c r="I505" i="93" s="1"/>
  <c r="I509" i="93" s="1"/>
  <c r="R127" i="104"/>
  <c r="R100" i="104"/>
  <c r="G358" i="93"/>
  <c r="K358" i="93" s="1"/>
  <c r="G217" i="93"/>
  <c r="G454" i="93"/>
  <c r="K454" i="93"/>
  <c r="M454" i="93" s="1"/>
  <c r="K363" i="93"/>
  <c r="M363" i="93" s="1"/>
  <c r="M364" i="93" s="1"/>
  <c r="AF35" i="102"/>
  <c r="AI8" i="102"/>
  <c r="AF7" i="102"/>
  <c r="C81" i="93"/>
  <c r="E84" i="93"/>
  <c r="E112" i="93" s="1"/>
  <c r="C112" i="93" s="1"/>
  <c r="X35" i="104"/>
  <c r="AA36" i="104"/>
  <c r="G452" i="93"/>
  <c r="K452" i="93" s="1"/>
  <c r="M452" i="93" s="1"/>
  <c r="M458" i="93" s="1"/>
  <c r="T62" i="104"/>
  <c r="T58" i="104"/>
  <c r="E529" i="93"/>
  <c r="E531" i="93" s="1"/>
  <c r="V99" i="104"/>
  <c r="D39" i="99" s="1"/>
  <c r="T99" i="104"/>
  <c r="D38" i="99" s="1"/>
  <c r="AF20" i="102"/>
  <c r="AI9" i="102"/>
  <c r="AI14" i="102"/>
  <c r="E22" i="93"/>
  <c r="E37" i="93" s="1"/>
  <c r="AI21" i="102"/>
  <c r="E29" i="93"/>
  <c r="G425" i="103"/>
  <c r="G429" i="103" s="1"/>
  <c r="AI23" i="102"/>
  <c r="AI10" i="102"/>
  <c r="T68" i="104"/>
  <c r="T72" i="104" s="1"/>
  <c r="E7" i="93"/>
  <c r="AI16" i="102"/>
  <c r="H31" i="104"/>
  <c r="AK110" i="104" s="1"/>
  <c r="AM110" i="104" s="1"/>
  <c r="T18" i="103"/>
  <c r="E35" i="93"/>
  <c r="AF19" i="102"/>
  <c r="AI11" i="102"/>
  <c r="AI17" i="102"/>
  <c r="I26" i="77"/>
  <c r="R99" i="104"/>
  <c r="D37" i="99" s="1"/>
  <c r="AI18" i="102"/>
  <c r="E427" i="93"/>
  <c r="E429" i="93" s="1"/>
  <c r="C429" i="93" s="1"/>
  <c r="P428" i="103"/>
  <c r="P429" i="103" s="1"/>
  <c r="O26" i="105"/>
  <c r="O28" i="105" s="1"/>
  <c r="O29" i="105" s="1"/>
  <c r="O23" i="107"/>
  <c r="O25" i="107" s="1"/>
  <c r="AF8" i="102"/>
  <c r="AI12" i="102"/>
  <c r="AF36" i="102"/>
  <c r="D68" i="104"/>
  <c r="D72" i="104" s="1"/>
  <c r="T21" i="103"/>
  <c r="L428" i="103"/>
  <c r="L429" i="103" s="1"/>
  <c r="I27" i="77"/>
  <c r="AF34" i="102"/>
  <c r="AF6" i="102"/>
  <c r="AF13" i="102" s="1"/>
  <c r="AF14" i="102" s="1"/>
  <c r="AF15" i="102" s="1"/>
  <c r="AI7" i="102"/>
  <c r="P19" i="105"/>
  <c r="P25" i="105" s="1"/>
  <c r="D27" i="105"/>
  <c r="D28" i="105" s="1"/>
  <c r="D29" i="105" s="1"/>
  <c r="AI15" i="102"/>
  <c r="T19" i="103"/>
  <c r="AK3" i="102"/>
  <c r="AL3" i="102" s="1"/>
  <c r="P22" i="107"/>
  <c r="P23" i="107" s="1"/>
  <c r="P25" i="107" s="1"/>
  <c r="K104" i="107"/>
  <c r="K106" i="107" s="1"/>
  <c r="K176" i="107" s="1"/>
  <c r="T15" i="103"/>
  <c r="AK23" i="102" s="1"/>
  <c r="AK24" i="102" s="1"/>
  <c r="AK1" i="102" s="1"/>
  <c r="AL1" i="102" s="1"/>
  <c r="T20" i="103"/>
  <c r="K428" i="103"/>
  <c r="K429" i="103" s="1"/>
  <c r="AI22" i="102"/>
  <c r="T16" i="103"/>
  <c r="I25" i="77"/>
  <c r="I30" i="77"/>
  <c r="D6" i="108"/>
  <c r="T17" i="103"/>
  <c r="AF22" i="102" s="1"/>
  <c r="F7" i="104"/>
  <c r="F8" i="104" s="1"/>
  <c r="O19" i="154"/>
  <c r="M19" i="154" s="1"/>
  <c r="L16" i="49"/>
  <c r="W16" i="49"/>
  <c r="R16" i="49"/>
  <c r="G16" i="49" s="1"/>
  <c r="L24" i="49"/>
  <c r="R24" i="49"/>
  <c r="G24" i="49" s="1"/>
  <c r="W24" i="49"/>
  <c r="L42" i="49"/>
  <c r="W42" i="49"/>
  <c r="G41" i="49"/>
  <c r="H41" i="49"/>
  <c r="H216" i="49" s="1"/>
  <c r="AG12" i="152"/>
  <c r="AH12" i="152"/>
  <c r="AG20" i="152"/>
  <c r="AH20" i="152"/>
  <c r="AG28" i="152"/>
  <c r="AH28" i="152"/>
  <c r="G8" i="49"/>
  <c r="C25" i="159"/>
  <c r="L17" i="49"/>
  <c r="W17" i="49"/>
  <c r="R17" i="49"/>
  <c r="G17" i="49" s="1"/>
  <c r="L35" i="49"/>
  <c r="W35" i="49"/>
  <c r="R35" i="49"/>
  <c r="G35" i="49" s="1"/>
  <c r="L43" i="49"/>
  <c r="W43" i="49"/>
  <c r="R43" i="49"/>
  <c r="G43" i="49" s="1"/>
  <c r="M217" i="49" s="1"/>
  <c r="N217" i="49" s="1"/>
  <c r="R25" i="49"/>
  <c r="G25" i="49" s="1"/>
  <c r="K25" i="49" s="1"/>
  <c r="AG13" i="152"/>
  <c r="AH13" i="152"/>
  <c r="AG21" i="152"/>
  <c r="AH21" i="152"/>
  <c r="AG29" i="152"/>
  <c r="AH29" i="152"/>
  <c r="R10" i="49"/>
  <c r="G10" i="49" s="1"/>
  <c r="K10" i="49" s="1"/>
  <c r="L11" i="49"/>
  <c r="R11" i="49"/>
  <c r="G11" i="49" s="1"/>
  <c r="G85" i="49"/>
  <c r="H85" i="49"/>
  <c r="R34" i="49"/>
  <c r="G34" i="49" s="1"/>
  <c r="L46" i="49"/>
  <c r="W46" i="49"/>
  <c r="R46" i="49"/>
  <c r="G46" i="49" s="1"/>
  <c r="L54" i="49"/>
  <c r="R54" i="49"/>
  <c r="G54" i="49" s="1"/>
  <c r="W54" i="49"/>
  <c r="L62" i="49"/>
  <c r="R62" i="49"/>
  <c r="G62" i="49" s="1"/>
  <c r="W62" i="49"/>
  <c r="R70" i="49"/>
  <c r="G70" i="49" s="1"/>
  <c r="K70" i="49" s="1"/>
  <c r="L78" i="49"/>
  <c r="W78" i="49"/>
  <c r="R78" i="49"/>
  <c r="G78" i="49" s="1"/>
  <c r="L86" i="49"/>
  <c r="R86" i="49"/>
  <c r="G86" i="49" s="1"/>
  <c r="W86" i="49"/>
  <c r="L94" i="49"/>
  <c r="R94" i="49"/>
  <c r="G94" i="49" s="1"/>
  <c r="L102" i="49"/>
  <c r="R102" i="49"/>
  <c r="G102" i="49" s="1"/>
  <c r="W102" i="49"/>
  <c r="L110" i="49"/>
  <c r="W110" i="49"/>
  <c r="R110" i="49"/>
  <c r="G110" i="49" s="1"/>
  <c r="L118" i="49"/>
  <c r="W118" i="49"/>
  <c r="R118" i="49"/>
  <c r="G118" i="49" s="1"/>
  <c r="R126" i="49"/>
  <c r="G126" i="49" s="1"/>
  <c r="K126" i="49" s="1"/>
  <c r="L134" i="49"/>
  <c r="R134" i="49"/>
  <c r="G134" i="49" s="1"/>
  <c r="W134" i="49"/>
  <c r="L142" i="49"/>
  <c r="R142" i="49"/>
  <c r="G142" i="49" s="1"/>
  <c r="W142" i="49"/>
  <c r="L160" i="49"/>
  <c r="R160" i="49"/>
  <c r="G160" i="49" s="1"/>
  <c r="W160" i="49"/>
  <c r="L168" i="49"/>
  <c r="R168" i="49"/>
  <c r="G168" i="49" s="1"/>
  <c r="W168" i="49"/>
  <c r="L176" i="49"/>
  <c r="W176" i="49"/>
  <c r="R176" i="49"/>
  <c r="G176" i="49" s="1"/>
  <c r="L184" i="49"/>
  <c r="W184" i="49"/>
  <c r="R184" i="49"/>
  <c r="G184" i="49" s="1"/>
  <c r="L192" i="49"/>
  <c r="W192" i="49"/>
  <c r="R192" i="49"/>
  <c r="G192" i="49" s="1"/>
  <c r="L47" i="49"/>
  <c r="R47" i="49"/>
  <c r="G47" i="49" s="1"/>
  <c r="W47" i="49"/>
  <c r="L55" i="49"/>
  <c r="R55" i="49"/>
  <c r="G55" i="49" s="1"/>
  <c r="L63" i="49"/>
  <c r="R63" i="49"/>
  <c r="G63" i="49" s="1"/>
  <c r="W63" i="49"/>
  <c r="L71" i="49"/>
  <c r="R71" i="49"/>
  <c r="G71" i="49" s="1"/>
  <c r="W71" i="49"/>
  <c r="L79" i="49"/>
  <c r="W79" i="49"/>
  <c r="R79" i="49"/>
  <c r="L87" i="49"/>
  <c r="W87" i="49"/>
  <c r="R87" i="49"/>
  <c r="L95" i="49"/>
  <c r="W95" i="49"/>
  <c r="R95" i="49"/>
  <c r="L103" i="49"/>
  <c r="W103" i="49"/>
  <c r="R103" i="49"/>
  <c r="L111" i="49"/>
  <c r="W111" i="49"/>
  <c r="L119" i="49"/>
  <c r="W119" i="49"/>
  <c r="R127" i="49"/>
  <c r="G127" i="49" s="1"/>
  <c r="K127" i="49" s="1"/>
  <c r="L135" i="49"/>
  <c r="W135" i="49"/>
  <c r="R135" i="49"/>
  <c r="G135" i="49" s="1"/>
  <c r="L143" i="49"/>
  <c r="W143" i="49"/>
  <c r="R143" i="49"/>
  <c r="G143" i="49" s="1"/>
  <c r="L153" i="49"/>
  <c r="W153" i="49"/>
  <c r="R153" i="49"/>
  <c r="G153" i="49" s="1"/>
  <c r="L161" i="49"/>
  <c r="W161" i="49"/>
  <c r="R161" i="49"/>
  <c r="G161" i="49" s="1"/>
  <c r="L169" i="49"/>
  <c r="R169" i="49"/>
  <c r="G169" i="49" s="1"/>
  <c r="L177" i="49"/>
  <c r="W177" i="49"/>
  <c r="R177" i="49"/>
  <c r="G177" i="49" s="1"/>
  <c r="L185" i="49"/>
  <c r="R185" i="49"/>
  <c r="G185" i="49" s="1"/>
  <c r="W185" i="49"/>
  <c r="L193" i="49"/>
  <c r="W193" i="49"/>
  <c r="R152" i="49"/>
  <c r="G152" i="49" s="1"/>
  <c r="R119" i="49"/>
  <c r="G119" i="49" s="1"/>
  <c r="G83" i="49"/>
  <c r="H83" i="49"/>
  <c r="R12" i="49"/>
  <c r="G12" i="49" s="1"/>
  <c r="K12" i="49" s="1"/>
  <c r="L18" i="49"/>
  <c r="W18" i="49"/>
  <c r="R191" i="49"/>
  <c r="G191" i="49" s="1"/>
  <c r="R164" i="49"/>
  <c r="G164" i="49" s="1"/>
  <c r="R109" i="49"/>
  <c r="W50" i="49"/>
  <c r="L13" i="49"/>
  <c r="W13" i="49"/>
  <c r="L19" i="49"/>
  <c r="R19" i="49"/>
  <c r="G19" i="49" s="1"/>
  <c r="L27" i="49"/>
  <c r="W27" i="49"/>
  <c r="L37" i="49"/>
  <c r="W37" i="49"/>
  <c r="L57" i="49"/>
  <c r="W57" i="49"/>
  <c r="L65" i="49"/>
  <c r="W65" i="49"/>
  <c r="L73" i="49"/>
  <c r="R73" i="49"/>
  <c r="G73" i="49" s="1"/>
  <c r="L89" i="49"/>
  <c r="R89" i="49"/>
  <c r="W89" i="49"/>
  <c r="L105" i="49"/>
  <c r="R105" i="49"/>
  <c r="R129" i="49"/>
  <c r="G129" i="49" s="1"/>
  <c r="K129" i="49" s="1"/>
  <c r="L137" i="49"/>
  <c r="R137" i="49"/>
  <c r="G137" i="49" s="1"/>
  <c r="L155" i="49"/>
  <c r="R155" i="49"/>
  <c r="G155" i="49" s="1"/>
  <c r="W155" i="49"/>
  <c r="L163" i="49"/>
  <c r="W163" i="49"/>
  <c r="L171" i="49"/>
  <c r="W171" i="49"/>
  <c r="L195" i="49"/>
  <c r="W195" i="49"/>
  <c r="R195" i="49"/>
  <c r="G195" i="49" s="1"/>
  <c r="R190" i="49"/>
  <c r="G190" i="49" s="1"/>
  <c r="R171" i="49"/>
  <c r="G171" i="49" s="1"/>
  <c r="R150" i="49"/>
  <c r="G150" i="49" s="1"/>
  <c r="R141" i="49"/>
  <c r="G141" i="49" s="1"/>
  <c r="R90" i="49"/>
  <c r="G90" i="49" s="1"/>
  <c r="R49" i="49"/>
  <c r="G49" i="49" s="1"/>
  <c r="K49" i="49" s="1"/>
  <c r="R15" i="49"/>
  <c r="G15" i="49" s="1"/>
  <c r="W133" i="49"/>
  <c r="W105" i="49"/>
  <c r="W90" i="49"/>
  <c r="W26" i="49"/>
  <c r="AG15" i="152"/>
  <c r="AH15" i="152"/>
  <c r="AH23" i="152"/>
  <c r="AG23" i="152"/>
  <c r="AG31" i="152"/>
  <c r="AH31" i="152"/>
  <c r="L14" i="49"/>
  <c r="R14" i="49"/>
  <c r="G14" i="49" s="1"/>
  <c r="W14" i="49"/>
  <c r="L28" i="49"/>
  <c r="R28" i="49"/>
  <c r="G28" i="49" s="1"/>
  <c r="W28" i="49"/>
  <c r="L38" i="49"/>
  <c r="W38" i="49"/>
  <c r="R38" i="49"/>
  <c r="G38" i="49" s="1"/>
  <c r="L58" i="49"/>
  <c r="R58" i="49"/>
  <c r="G58" i="49" s="1"/>
  <c r="L66" i="49"/>
  <c r="W66" i="49"/>
  <c r="R66" i="49"/>
  <c r="G66" i="49" s="1"/>
  <c r="L82" i="49"/>
  <c r="W82" i="49"/>
  <c r="R82" i="49"/>
  <c r="G82" i="49" s="1"/>
  <c r="L106" i="49"/>
  <c r="W106" i="49"/>
  <c r="L114" i="49"/>
  <c r="W114" i="49"/>
  <c r="R114" i="49"/>
  <c r="L138" i="49"/>
  <c r="W138" i="49"/>
  <c r="L148" i="49"/>
  <c r="W148" i="49"/>
  <c r="L156" i="49"/>
  <c r="W156" i="49"/>
  <c r="L172" i="49"/>
  <c r="R172" i="49"/>
  <c r="G172" i="49" s="1"/>
  <c r="L188" i="49"/>
  <c r="W188" i="49"/>
  <c r="R156" i="49"/>
  <c r="G156" i="49" s="1"/>
  <c r="R133" i="49"/>
  <c r="G133" i="49" s="1"/>
  <c r="R122" i="49"/>
  <c r="G122" i="49" s="1"/>
  <c r="K122" i="49" s="1"/>
  <c r="R98" i="49"/>
  <c r="G98" i="49" s="1"/>
  <c r="W180" i="49"/>
  <c r="W164" i="49"/>
  <c r="W20" i="49"/>
  <c r="L22" i="49"/>
  <c r="W22" i="49"/>
  <c r="O15" i="49"/>
  <c r="O23" i="49"/>
  <c r="O27" i="49"/>
  <c r="O16" i="49"/>
  <c r="O24" i="49"/>
  <c r="O9" i="49"/>
  <c r="O17" i="49"/>
  <c r="O25" i="49"/>
  <c r="O10" i="49"/>
  <c r="O12" i="49"/>
  <c r="O20" i="49"/>
  <c r="O88" i="49"/>
  <c r="N88" i="49" s="1"/>
  <c r="O14" i="49"/>
  <c r="O22" i="49"/>
  <c r="O11" i="49"/>
  <c r="O106" i="49"/>
  <c r="N106" i="49" s="1"/>
  <c r="O102" i="49"/>
  <c r="N102" i="49" s="1"/>
  <c r="O98" i="49"/>
  <c r="N98" i="49" s="1"/>
  <c r="O94" i="49"/>
  <c r="N94" i="49" s="1"/>
  <c r="O90" i="49"/>
  <c r="N90" i="49" s="1"/>
  <c r="O13" i="49"/>
  <c r="O18" i="49"/>
  <c r="L32" i="49"/>
  <c r="O105" i="49"/>
  <c r="N105" i="49" s="1"/>
  <c r="O101" i="49"/>
  <c r="N101" i="49" s="1"/>
  <c r="O97" i="49"/>
  <c r="N97" i="49" s="1"/>
  <c r="O93" i="49"/>
  <c r="N93" i="49" s="1"/>
  <c r="O89" i="49"/>
  <c r="N89" i="49" s="1"/>
  <c r="O19" i="49"/>
  <c r="O21" i="49"/>
  <c r="O104" i="49"/>
  <c r="N104" i="49" s="1"/>
  <c r="O100" i="49"/>
  <c r="N100" i="49" s="1"/>
  <c r="O96" i="49"/>
  <c r="N96" i="49" s="1"/>
  <c r="O92" i="49"/>
  <c r="N92" i="49" s="1"/>
  <c r="O26" i="49"/>
  <c r="O8" i="49"/>
  <c r="O107" i="49"/>
  <c r="N107" i="49" s="1"/>
  <c r="O103" i="49"/>
  <c r="N103" i="49" s="1"/>
  <c r="O99" i="49"/>
  <c r="N99" i="49" s="1"/>
  <c r="O95" i="49"/>
  <c r="N95" i="49" s="1"/>
  <c r="O91" i="49"/>
  <c r="N91" i="49" s="1"/>
  <c r="R32" i="49"/>
  <c r="G32" i="49" s="1"/>
  <c r="L40" i="49"/>
  <c r="R40" i="49"/>
  <c r="G40" i="49" s="1"/>
  <c r="M218" i="49" s="1"/>
  <c r="N218" i="49" s="1"/>
  <c r="R52" i="49"/>
  <c r="G52" i="49" s="1"/>
  <c r="K52" i="49" s="1"/>
  <c r="L60" i="49"/>
  <c r="W60" i="49"/>
  <c r="L76" i="49"/>
  <c r="R76" i="49"/>
  <c r="G76" i="49" s="1"/>
  <c r="L84" i="49"/>
  <c r="W84" i="49"/>
  <c r="R84" i="49"/>
  <c r="G84" i="49" s="1"/>
  <c r="L92" i="49"/>
  <c r="W92" i="49"/>
  <c r="L100" i="49"/>
  <c r="W100" i="49"/>
  <c r="R100" i="49"/>
  <c r="G100" i="49" s="1"/>
  <c r="L108" i="49"/>
  <c r="W108" i="49"/>
  <c r="R108" i="49"/>
  <c r="G108" i="49" s="1"/>
  <c r="L116" i="49"/>
  <c r="W116" i="49"/>
  <c r="L132" i="49"/>
  <c r="W132" i="49"/>
  <c r="L166" i="49"/>
  <c r="R166" i="49"/>
  <c r="G166" i="49" s="1"/>
  <c r="L174" i="49"/>
  <c r="R174" i="49"/>
  <c r="G174" i="49" s="1"/>
  <c r="W174" i="49"/>
  <c r="L182" i="49"/>
  <c r="R182" i="49"/>
  <c r="G182" i="49" s="1"/>
  <c r="W182" i="49"/>
  <c r="R188" i="49"/>
  <c r="G188" i="49" s="1"/>
  <c r="R175" i="49"/>
  <c r="G175" i="49" s="1"/>
  <c r="R138" i="49"/>
  <c r="G138" i="49" s="1"/>
  <c r="R121" i="49"/>
  <c r="G121" i="49" s="1"/>
  <c r="K121" i="49" s="1"/>
  <c r="R65" i="49"/>
  <c r="G65" i="49" s="1"/>
  <c r="R27" i="49"/>
  <c r="G27" i="49" s="1"/>
  <c r="R20" i="49"/>
  <c r="G20" i="49" s="1"/>
  <c r="W158" i="49"/>
  <c r="W141" i="49"/>
  <c r="W101" i="49"/>
  <c r="W40" i="49"/>
  <c r="W19" i="49"/>
  <c r="AH10" i="152"/>
  <c r="AG10" i="152"/>
  <c r="AH18" i="152"/>
  <c r="AG18" i="152"/>
  <c r="AG26" i="152"/>
  <c r="AH26" i="152"/>
  <c r="L9" i="49"/>
  <c r="R9" i="49"/>
  <c r="G9" i="49" s="1"/>
  <c r="R23" i="49"/>
  <c r="G23" i="49" s="1"/>
  <c r="K23" i="49" s="1"/>
  <c r="L33" i="49"/>
  <c r="W33" i="49"/>
  <c r="L41" i="49"/>
  <c r="W41" i="49"/>
  <c r="L53" i="49"/>
  <c r="W53" i="49"/>
  <c r="L61" i="49"/>
  <c r="W61" i="49"/>
  <c r="R61" i="49"/>
  <c r="G61" i="49" s="1"/>
  <c r="L85" i="49"/>
  <c r="W85" i="49"/>
  <c r="L93" i="49"/>
  <c r="W93" i="49"/>
  <c r="R93" i="49"/>
  <c r="L117" i="49"/>
  <c r="R117" i="49"/>
  <c r="G117" i="49" s="1"/>
  <c r="W117" i="49"/>
  <c r="R125" i="49"/>
  <c r="G125" i="49" s="1"/>
  <c r="K125" i="49" s="1"/>
  <c r="L151" i="49"/>
  <c r="W151" i="49"/>
  <c r="L159" i="49"/>
  <c r="W159" i="49"/>
  <c r="L167" i="49"/>
  <c r="W167" i="49"/>
  <c r="R167" i="49"/>
  <c r="G167" i="49" s="1"/>
  <c r="L183" i="49"/>
  <c r="R183" i="49"/>
  <c r="G183" i="49" s="1"/>
  <c r="R77" i="49"/>
  <c r="G77" i="49" s="1"/>
  <c r="K77" i="49" s="1"/>
  <c r="W191" i="49"/>
  <c r="W175" i="49"/>
  <c r="W58" i="49"/>
  <c r="W15" i="49"/>
  <c r="L36" i="49"/>
  <c r="R36" i="49"/>
  <c r="L56" i="49"/>
  <c r="W56" i="49"/>
  <c r="L112" i="49"/>
  <c r="R112" i="49"/>
  <c r="L170" i="49"/>
  <c r="W170" i="49"/>
  <c r="R170" i="49"/>
  <c r="G170" i="49" s="1"/>
  <c r="L178" i="49"/>
  <c r="W178" i="49"/>
  <c r="R178" i="49"/>
  <c r="G178" i="49" s="1"/>
  <c r="L186" i="49"/>
  <c r="W186" i="49"/>
  <c r="R162" i="49"/>
  <c r="G162" i="49" s="1"/>
  <c r="K162" i="49" s="1"/>
  <c r="R144" i="49"/>
  <c r="G144" i="49" s="1"/>
  <c r="R96" i="49"/>
  <c r="G96" i="49" s="1"/>
  <c r="R48" i="49"/>
  <c r="G48" i="49" s="1"/>
  <c r="W99" i="49"/>
  <c r="W48" i="49"/>
  <c r="W21" i="49"/>
  <c r="AH14" i="152"/>
  <c r="AG14" i="152"/>
  <c r="AG22" i="152"/>
  <c r="AH22" i="152"/>
  <c r="AG30" i="152"/>
  <c r="AH30" i="152"/>
  <c r="W8" i="49"/>
  <c r="L8" i="49"/>
  <c r="R67" i="49"/>
  <c r="G67" i="49" s="1"/>
  <c r="K67" i="49" s="1"/>
  <c r="L75" i="49"/>
  <c r="W75" i="49"/>
  <c r="R75" i="49"/>
  <c r="G75" i="49" s="1"/>
  <c r="L91" i="49"/>
  <c r="R91" i="49"/>
  <c r="L107" i="49"/>
  <c r="R107" i="49"/>
  <c r="R131" i="49"/>
  <c r="G131" i="49" s="1"/>
  <c r="K131" i="49" s="1"/>
  <c r="L139" i="49"/>
  <c r="R139" i="49"/>
  <c r="G139" i="49" s="1"/>
  <c r="L149" i="49"/>
  <c r="R149" i="49"/>
  <c r="G149" i="49" s="1"/>
  <c r="L157" i="49"/>
  <c r="R157" i="49"/>
  <c r="G157" i="49" s="1"/>
  <c r="L165" i="49"/>
  <c r="W165" i="49"/>
  <c r="L173" i="49"/>
  <c r="W173" i="49"/>
  <c r="L181" i="49"/>
  <c r="W181" i="49"/>
  <c r="L189" i="49"/>
  <c r="W189" i="49"/>
  <c r="R181" i="49"/>
  <c r="G181" i="49" s="1"/>
  <c r="R165" i="49"/>
  <c r="G165" i="49" s="1"/>
  <c r="R120" i="49"/>
  <c r="G120" i="49" s="1"/>
  <c r="K120" i="49" s="1"/>
  <c r="R56" i="49"/>
  <c r="G56" i="49" s="1"/>
  <c r="R51" i="49"/>
  <c r="G51" i="49" s="1"/>
  <c r="R44" i="49"/>
  <c r="G44" i="49" s="1"/>
  <c r="R21" i="49"/>
  <c r="G21" i="49" s="1"/>
  <c r="W139" i="49"/>
  <c r="W96" i="49"/>
  <c r="W72" i="49"/>
  <c r="W44" i="49"/>
  <c r="AH9" i="152"/>
  <c r="AG9" i="152"/>
  <c r="AG17" i="152"/>
  <c r="AH17" i="152"/>
  <c r="AG25" i="152"/>
  <c r="AH25" i="152"/>
  <c r="O53" i="31"/>
  <c r="L19" i="4" s="1"/>
  <c r="AH8" i="152"/>
  <c r="AG8" i="152"/>
  <c r="U18" i="152"/>
  <c r="AA19" i="49" s="1"/>
  <c r="W77" i="49" s="1"/>
  <c r="H77" i="49" s="1"/>
  <c r="U26" i="152"/>
  <c r="AA27" i="49" s="1"/>
  <c r="W126" i="49" s="1"/>
  <c r="H126" i="49" s="1"/>
  <c r="U31" i="152"/>
  <c r="AA32" i="49" s="1"/>
  <c r="W130" i="49" s="1"/>
  <c r="H130" i="49" s="1"/>
  <c r="AG16" i="152"/>
  <c r="AH16" i="152"/>
  <c r="AG24" i="152"/>
  <c r="AH24" i="152"/>
  <c r="AG32" i="152"/>
  <c r="AH32" i="152"/>
  <c r="U9" i="152"/>
  <c r="AA10" i="49" s="1"/>
  <c r="W52" i="49" s="1"/>
  <c r="H52" i="49" s="1"/>
  <c r="K19" i="1"/>
  <c r="U17" i="152"/>
  <c r="AA18" i="49" s="1"/>
  <c r="W23" i="49" s="1"/>
  <c r="H23" i="49" s="1"/>
  <c r="V27" i="152"/>
  <c r="AB28" i="49" s="1"/>
  <c r="L25" i="49" s="1"/>
  <c r="U24" i="152"/>
  <c r="AA25" i="49" s="1"/>
  <c r="W124" i="49" s="1"/>
  <c r="H124" i="49" s="1"/>
  <c r="AA14" i="4"/>
  <c r="N13" i="1" s="1"/>
  <c r="W194" i="49"/>
  <c r="AG11" i="152"/>
  <c r="AH11" i="152"/>
  <c r="AG19" i="152"/>
  <c r="AH19" i="152"/>
  <c r="AH27" i="152"/>
  <c r="AG27" i="152"/>
  <c r="L15" i="4"/>
  <c r="P53" i="31"/>
  <c r="M19" i="4" s="1"/>
  <c r="R14" i="4"/>
  <c r="H13" i="1" s="1"/>
  <c r="K13" i="1" s="1"/>
  <c r="N15" i="4"/>
  <c r="U23" i="152"/>
  <c r="AA24" i="49" s="1"/>
  <c r="W123" i="49" s="1"/>
  <c r="H123" i="49" s="1"/>
  <c r="H210" i="49" s="1"/>
  <c r="U11" i="152"/>
  <c r="AA12" i="49" s="1"/>
  <c r="W64" i="49" s="1"/>
  <c r="H64" i="49" s="1"/>
  <c r="U14" i="152"/>
  <c r="AA15" i="49" s="1"/>
  <c r="W69" i="49" s="1"/>
  <c r="H69" i="49" s="1"/>
  <c r="U13" i="152"/>
  <c r="AA14" i="49" s="1"/>
  <c r="W68" i="49" s="1"/>
  <c r="H68" i="49" s="1"/>
  <c r="F30" i="159"/>
  <c r="V31" i="152"/>
  <c r="AB32" i="49" s="1"/>
  <c r="L130" i="49" s="1"/>
  <c r="U19" i="152"/>
  <c r="AA20" i="49" s="1"/>
  <c r="W162" i="49" s="1"/>
  <c r="H162" i="49" s="1"/>
  <c r="U16" i="152"/>
  <c r="AA17" i="49" s="1"/>
  <c r="W74" i="49" s="1"/>
  <c r="H74" i="49" s="1"/>
  <c r="U28" i="152"/>
  <c r="AA29" i="49" s="1"/>
  <c r="W127" i="49" s="1"/>
  <c r="H127" i="49" s="1"/>
  <c r="V8" i="152"/>
  <c r="AB9" i="49" s="1"/>
  <c r="L10" i="49" s="1"/>
  <c r="V12" i="152"/>
  <c r="AB13" i="49" s="1"/>
  <c r="L67" i="49" s="1"/>
  <c r="V16" i="152"/>
  <c r="AB17" i="49" s="1"/>
  <c r="L74" i="49" s="1"/>
  <c r="V20" i="152"/>
  <c r="AB21" i="49" s="1"/>
  <c r="L120" i="49" s="1"/>
  <c r="V24" i="152"/>
  <c r="AB25" i="49" s="1"/>
  <c r="L124" i="49" s="1"/>
  <c r="V28" i="152"/>
  <c r="AB29" i="49" s="1"/>
  <c r="L127" i="49" s="1"/>
  <c r="V32" i="152"/>
  <c r="AB33" i="49" s="1"/>
  <c r="L131" i="49" s="1"/>
  <c r="U7" i="152"/>
  <c r="V9" i="152"/>
  <c r="AB10" i="49" s="1"/>
  <c r="L52" i="49" s="1"/>
  <c r="V13" i="152"/>
  <c r="AB14" i="49" s="1"/>
  <c r="L68" i="49" s="1"/>
  <c r="V17" i="152"/>
  <c r="AB18" i="49" s="1"/>
  <c r="L23" i="49" s="1"/>
  <c r="V21" i="152"/>
  <c r="AB22" i="49" s="1"/>
  <c r="L121" i="49" s="1"/>
  <c r="V25" i="152"/>
  <c r="AB26" i="49" s="1"/>
  <c r="L125" i="49" s="1"/>
  <c r="V29" i="152"/>
  <c r="AB30" i="49" s="1"/>
  <c r="L29" i="49" s="1"/>
  <c r="V7" i="152"/>
  <c r="AB8" i="49" s="1"/>
  <c r="L49" i="49" s="1"/>
  <c r="AG7" i="152"/>
  <c r="V10" i="152"/>
  <c r="AB11" i="49" s="1"/>
  <c r="L12" i="49" s="1"/>
  <c r="V14" i="152"/>
  <c r="AB15" i="49" s="1"/>
  <c r="L69" i="49" s="1"/>
  <c r="V18" i="152"/>
  <c r="AB19" i="49" s="1"/>
  <c r="L77" i="49" s="1"/>
  <c r="V22" i="152"/>
  <c r="AB23" i="49" s="1"/>
  <c r="L122" i="49" s="1"/>
  <c r="V26" i="152"/>
  <c r="AB27" i="49" s="1"/>
  <c r="L126" i="49" s="1"/>
  <c r="V30" i="152"/>
  <c r="AB31" i="49" s="1"/>
  <c r="L129" i="49" s="1"/>
  <c r="AH7" i="152"/>
  <c r="V11" i="152"/>
  <c r="AB12" i="49" s="1"/>
  <c r="L64" i="49" s="1"/>
  <c r="M12" i="4"/>
  <c r="M15" i="4" s="1"/>
  <c r="V23" i="152"/>
  <c r="AB24" i="49" s="1"/>
  <c r="L123" i="49" s="1"/>
  <c r="S54" i="31"/>
  <c r="V19" i="152"/>
  <c r="AB20" i="49" s="1"/>
  <c r="L162" i="49" s="1"/>
  <c r="U22" i="152"/>
  <c r="AA23" i="49" s="1"/>
  <c r="W122" i="49" s="1"/>
  <c r="H122" i="49" s="1"/>
  <c r="U29" i="152"/>
  <c r="AA30" i="49" s="1"/>
  <c r="W29" i="49" s="1"/>
  <c r="H29" i="49" s="1"/>
  <c r="M21" i="154"/>
  <c r="F8" i="159"/>
  <c r="F10" i="159" s="1"/>
  <c r="V15" i="152"/>
  <c r="AB16" i="49" s="1"/>
  <c r="L70" i="49" s="1"/>
  <c r="U21" i="152"/>
  <c r="AA22" i="49" s="1"/>
  <c r="W121" i="49" s="1"/>
  <c r="H121" i="49" s="1"/>
  <c r="U32" i="152"/>
  <c r="AA33" i="49" s="1"/>
  <c r="W131" i="49" s="1"/>
  <c r="H131" i="49" s="1"/>
  <c r="U25" i="152"/>
  <c r="AA26" i="49" s="1"/>
  <c r="W125" i="49" s="1"/>
  <c r="H125" i="49" s="1"/>
  <c r="U15" i="152"/>
  <c r="AA16" i="49" s="1"/>
  <c r="W70" i="49" s="1"/>
  <c r="H70" i="49" s="1"/>
  <c r="Q54" i="31"/>
  <c r="U20" i="152"/>
  <c r="AA21" i="49" s="1"/>
  <c r="W120" i="49" s="1"/>
  <c r="H120" i="49" s="1"/>
  <c r="U12" i="152"/>
  <c r="AA13" i="49" s="1"/>
  <c r="W67" i="49" s="1"/>
  <c r="H67" i="49" s="1"/>
  <c r="U10" i="152"/>
  <c r="AA11" i="49" s="1"/>
  <c r="W12" i="49" s="1"/>
  <c r="H12" i="49" s="1"/>
  <c r="C31" i="160"/>
  <c r="U8" i="152"/>
  <c r="AA9" i="49" s="1"/>
  <c r="W10" i="49" s="1"/>
  <c r="H10" i="49" s="1"/>
  <c r="U30" i="152"/>
  <c r="AA31" i="49" s="1"/>
  <c r="W129" i="49" s="1"/>
  <c r="H129" i="49" s="1"/>
  <c r="U27" i="152"/>
  <c r="AA28" i="49" s="1"/>
  <c r="W25" i="49" s="1"/>
  <c r="H25" i="49" s="1"/>
  <c r="S284" i="93" l="1"/>
  <c r="AA284" i="93"/>
  <c r="AC284" i="93" s="1"/>
  <c r="Y118" i="93"/>
  <c r="W319" i="93"/>
  <c r="Y319" i="93" s="1"/>
  <c r="X114" i="104"/>
  <c r="AA319" i="93"/>
  <c r="AC319" i="93" s="1"/>
  <c r="AC321" i="93" s="1"/>
  <c r="S319" i="93"/>
  <c r="X105" i="104"/>
  <c r="F40" i="99" s="1"/>
  <c r="AA102" i="104"/>
  <c r="G43" i="76"/>
  <c r="F43" i="76"/>
  <c r="AA100" i="104"/>
  <c r="E37" i="99"/>
  <c r="E42" i="99" s="1"/>
  <c r="F10" i="99" s="1"/>
  <c r="AA107" i="104"/>
  <c r="S116" i="93" s="1"/>
  <c r="AA116" i="93" s="1"/>
  <c r="W317" i="93"/>
  <c r="W119" i="93"/>
  <c r="Y116" i="93"/>
  <c r="D40" i="76"/>
  <c r="AA283" i="93"/>
  <c r="AC283" i="93" s="1"/>
  <c r="AC285" i="93" s="1"/>
  <c r="S283" i="93"/>
  <c r="AE116" i="93"/>
  <c r="AF116" i="93" s="1"/>
  <c r="AG116" i="93" s="1"/>
  <c r="T116" i="93"/>
  <c r="U116" i="93" s="1"/>
  <c r="G37" i="76"/>
  <c r="I37" i="76" s="1"/>
  <c r="F37" i="76"/>
  <c r="G49" i="76"/>
  <c r="I49" i="76" s="1"/>
  <c r="F49" i="76"/>
  <c r="G41" i="76"/>
  <c r="F41" i="76"/>
  <c r="AA118" i="93"/>
  <c r="T118" i="93"/>
  <c r="AE118" i="93"/>
  <c r="D32" i="76" s="1"/>
  <c r="F40" i="76"/>
  <c r="G40" i="76"/>
  <c r="Q13" i="1"/>
  <c r="W13" i="1" s="1"/>
  <c r="G196" i="49"/>
  <c r="M220" i="49"/>
  <c r="N220" i="49" s="1"/>
  <c r="O55" i="6"/>
  <c r="O48" i="6"/>
  <c r="O50" i="6"/>
  <c r="O59" i="6"/>
  <c r="O61" i="6"/>
  <c r="O49" i="6"/>
  <c r="V141" i="104"/>
  <c r="V132" i="104"/>
  <c r="J137" i="104"/>
  <c r="AA131" i="104"/>
  <c r="AA130" i="104"/>
  <c r="AE82" i="93" s="1"/>
  <c r="AC82" i="93" s="1"/>
  <c r="F137" i="104"/>
  <c r="N137" i="104"/>
  <c r="AA136" i="104"/>
  <c r="C24" i="108"/>
  <c r="AA129" i="104"/>
  <c r="AA134" i="104"/>
  <c r="AC116" i="93" s="1"/>
  <c r="Z137" i="104"/>
  <c r="X137" i="104"/>
  <c r="R132" i="104"/>
  <c r="AA140" i="104"/>
  <c r="F132" i="104"/>
  <c r="Z132" i="104"/>
  <c r="T137" i="104"/>
  <c r="H132" i="104"/>
  <c r="R141" i="104"/>
  <c r="Z141" i="104"/>
  <c r="J132" i="104"/>
  <c r="D137" i="104"/>
  <c r="J141" i="104"/>
  <c r="H141" i="104"/>
  <c r="P137" i="104"/>
  <c r="N132" i="104"/>
  <c r="T132" i="104"/>
  <c r="AE43" i="93"/>
  <c r="AF100" i="104"/>
  <c r="V137" i="104"/>
  <c r="P132" i="104"/>
  <c r="D132" i="104"/>
  <c r="L137" i="104"/>
  <c r="F141" i="104"/>
  <c r="AA139" i="104"/>
  <c r="D141" i="104"/>
  <c r="AE115" i="93"/>
  <c r="AE80" i="93"/>
  <c r="AF102" i="104"/>
  <c r="AE7" i="93"/>
  <c r="AF99" i="104"/>
  <c r="X141" i="104"/>
  <c r="T141" i="104"/>
  <c r="N47" i="6"/>
  <c r="Q47" i="6" s="1"/>
  <c r="J210" i="49"/>
  <c r="M210" i="49"/>
  <c r="N210" i="49" s="1"/>
  <c r="N58" i="6"/>
  <c r="Q58" i="6" s="1"/>
  <c r="U82" i="31" s="1"/>
  <c r="Z82" i="31" s="1"/>
  <c r="AA82" i="31" s="1"/>
  <c r="H30" i="49"/>
  <c r="H11" i="3"/>
  <c r="J11" i="3" s="1"/>
  <c r="U34" i="152"/>
  <c r="AA8" i="49"/>
  <c r="P54" i="31"/>
  <c r="G79" i="49"/>
  <c r="H79" i="49"/>
  <c r="AF37" i="102"/>
  <c r="AF41" i="102" s="1"/>
  <c r="K81" i="93"/>
  <c r="M81" i="93" s="1"/>
  <c r="I454" i="93"/>
  <c r="G317" i="93"/>
  <c r="G21" i="97"/>
  <c r="I42" i="6"/>
  <c r="AW77" i="59"/>
  <c r="AW80" i="59" s="1"/>
  <c r="N44" i="6"/>
  <c r="O44" i="6" s="1"/>
  <c r="AF54" i="62"/>
  <c r="AD54" i="62"/>
  <c r="N64" i="6"/>
  <c r="Q64" i="6" s="1"/>
  <c r="H93" i="49"/>
  <c r="G93" i="49"/>
  <c r="G89" i="49"/>
  <c r="H89" i="49"/>
  <c r="D206" i="49"/>
  <c r="F126" i="104"/>
  <c r="F99" i="104"/>
  <c r="I452" i="93"/>
  <c r="I458" i="93" s="1"/>
  <c r="G315" i="93"/>
  <c r="I217" i="93"/>
  <c r="G81" i="93"/>
  <c r="I81" i="93" s="1"/>
  <c r="E147" i="93"/>
  <c r="C147" i="93" s="1"/>
  <c r="M84" i="31"/>
  <c r="M85" i="31" s="1"/>
  <c r="G125" i="31"/>
  <c r="G150" i="31" s="1"/>
  <c r="E20" i="1"/>
  <c r="E29" i="1" s="1"/>
  <c r="G54" i="67"/>
  <c r="E55" i="67" s="1"/>
  <c r="E56" i="67" s="1"/>
  <c r="E58" i="67" s="1"/>
  <c r="L128" i="31" s="1"/>
  <c r="B224" i="78"/>
  <c r="W54" i="31"/>
  <c r="B21" i="78"/>
  <c r="B23" i="78" s="1"/>
  <c r="T15" i="4"/>
  <c r="O65" i="6"/>
  <c r="N56" i="6"/>
  <c r="Q56" i="6" s="1"/>
  <c r="U80" i="31" s="1"/>
  <c r="P66" i="6"/>
  <c r="G107" i="49"/>
  <c r="H107" i="49"/>
  <c r="N108" i="49"/>
  <c r="H95" i="49"/>
  <c r="G95" i="49"/>
  <c r="AF23" i="102"/>
  <c r="AF24" i="102" s="1"/>
  <c r="K217" i="93"/>
  <c r="M217" i="93" s="1"/>
  <c r="G118" i="93"/>
  <c r="I44" i="93"/>
  <c r="K44" i="93"/>
  <c r="J105" i="104"/>
  <c r="AA104" i="104"/>
  <c r="C253" i="93"/>
  <c r="G253" i="93" s="1"/>
  <c r="K82" i="93"/>
  <c r="M82" i="93" s="1"/>
  <c r="U82" i="93" s="1"/>
  <c r="I82" i="93"/>
  <c r="B362" i="78"/>
  <c r="B81" i="78"/>
  <c r="AD471" i="62"/>
  <c r="AF471" i="62" s="1"/>
  <c r="N45" i="6"/>
  <c r="Q45" i="6" s="1"/>
  <c r="N63" i="6"/>
  <c r="Q63" i="6" s="1"/>
  <c r="S700" i="62"/>
  <c r="A16" i="77"/>
  <c r="K200" i="49"/>
  <c r="K196" i="49"/>
  <c r="C16" i="60"/>
  <c r="Q18" i="60"/>
  <c r="M27" i="107"/>
  <c r="M28" i="107" s="1"/>
  <c r="N28" i="107" s="1"/>
  <c r="AB703" i="62"/>
  <c r="N60" i="6"/>
  <c r="Q60" i="6" s="1"/>
  <c r="N11" i="6"/>
  <c r="O11" i="6" s="1"/>
  <c r="O20" i="6"/>
  <c r="Q20" i="6"/>
  <c r="P13" i="6"/>
  <c r="P15" i="6" s="1"/>
  <c r="P17" i="6" s="1"/>
  <c r="M140" i="31" s="1"/>
  <c r="H15" i="6"/>
  <c r="I13" i="6"/>
  <c r="O46" i="6"/>
  <c r="AD24" i="4"/>
  <c r="O54" i="31"/>
  <c r="G91" i="49"/>
  <c r="H91" i="49"/>
  <c r="G36" i="49"/>
  <c r="H36" i="49"/>
  <c r="M221" i="49"/>
  <c r="N221" i="49" s="1"/>
  <c r="G109" i="49"/>
  <c r="H109" i="49"/>
  <c r="M208" i="49"/>
  <c r="N208" i="49" s="1"/>
  <c r="O20" i="154"/>
  <c r="R106" i="107"/>
  <c r="K167" i="107"/>
  <c r="K173" i="107" s="1"/>
  <c r="K108" i="107"/>
  <c r="K109" i="107" s="1"/>
  <c r="H34" i="104"/>
  <c r="H36" i="104"/>
  <c r="I358" i="93"/>
  <c r="I364" i="93" s="1"/>
  <c r="G316" i="93"/>
  <c r="I133" i="107"/>
  <c r="I134" i="107" s="1"/>
  <c r="I168" i="107"/>
  <c r="M53" i="107"/>
  <c r="M54" i="107" s="1"/>
  <c r="N54" i="107" s="1"/>
  <c r="S36" i="62"/>
  <c r="X34" i="62"/>
  <c r="X703" i="62" s="1"/>
  <c r="C305" i="78"/>
  <c r="D303" i="78"/>
  <c r="AW43" i="59"/>
  <c r="AW75" i="59" s="1"/>
  <c r="N51" i="6"/>
  <c r="Q51" i="6" s="1"/>
  <c r="U68" i="31" s="1"/>
  <c r="Z68" i="31" s="1"/>
  <c r="AA68" i="31" s="1"/>
  <c r="B152" i="78"/>
  <c r="N17" i="1"/>
  <c r="AC18" i="4" s="1"/>
  <c r="K148" i="107"/>
  <c r="K149" i="107" s="1"/>
  <c r="C382" i="78"/>
  <c r="F379" i="78"/>
  <c r="E379" i="78"/>
  <c r="AD132" i="62"/>
  <c r="AF132" i="62" s="1"/>
  <c r="N57" i="6"/>
  <c r="Q57" i="6" s="1"/>
  <c r="O22" i="6"/>
  <c r="Q22" i="6"/>
  <c r="H219" i="49"/>
  <c r="H196" i="49"/>
  <c r="G114" i="49"/>
  <c r="H114" i="49"/>
  <c r="G87" i="49"/>
  <c r="H87" i="49"/>
  <c r="G30" i="49"/>
  <c r="J216" i="49"/>
  <c r="M216" i="49"/>
  <c r="N216" i="49" s="1"/>
  <c r="P174" i="107"/>
  <c r="P167" i="107"/>
  <c r="P173" i="107" s="1"/>
  <c r="C531" i="93"/>
  <c r="AA127" i="104"/>
  <c r="I150" i="93"/>
  <c r="G115" i="93"/>
  <c r="G216" i="93"/>
  <c r="K216" i="93" s="1"/>
  <c r="M216" i="93" s="1"/>
  <c r="M220" i="93" s="1"/>
  <c r="I319" i="93"/>
  <c r="K319" i="93"/>
  <c r="M319" i="93" s="1"/>
  <c r="S176" i="107"/>
  <c r="P76" i="107"/>
  <c r="N62" i="6"/>
  <c r="Q62" i="6" s="1"/>
  <c r="A11" i="80"/>
  <c r="N53" i="6"/>
  <c r="Q53" i="6" s="1"/>
  <c r="E380" i="78"/>
  <c r="F380" i="78"/>
  <c r="G380" i="78" s="1"/>
  <c r="H380" i="78" s="1"/>
  <c r="AD27" i="31"/>
  <c r="J24" i="6"/>
  <c r="K23" i="6"/>
  <c r="G105" i="49"/>
  <c r="H105" i="49"/>
  <c r="R197" i="49"/>
  <c r="R199" i="49" s="1"/>
  <c r="E9" i="93"/>
  <c r="E39" i="93" s="1"/>
  <c r="C39" i="93" s="1"/>
  <c r="C7" i="93"/>
  <c r="K7" i="93" s="1"/>
  <c r="K505" i="93"/>
  <c r="M505" i="93" s="1"/>
  <c r="M509" i="93" s="1"/>
  <c r="I43" i="93"/>
  <c r="I45" i="93" s="1"/>
  <c r="K43" i="93"/>
  <c r="M43" i="93" s="1"/>
  <c r="U43" i="93" s="1"/>
  <c r="M163" i="107"/>
  <c r="M164" i="107" s="1"/>
  <c r="N164" i="107" s="1"/>
  <c r="B303" i="78"/>
  <c r="B301" i="78"/>
  <c r="B305" i="78" s="1"/>
  <c r="B302" i="78"/>
  <c r="B83" i="78"/>
  <c r="G28" i="31"/>
  <c r="E11" i="1"/>
  <c r="E14" i="1" s="1"/>
  <c r="B363" i="78"/>
  <c r="B364" i="78" s="1"/>
  <c r="W703" i="62"/>
  <c r="N52" i="6"/>
  <c r="Q52" i="6" s="1"/>
  <c r="G378" i="78"/>
  <c r="H378" i="78" s="1"/>
  <c r="S99" i="62"/>
  <c r="S122" i="62" s="1"/>
  <c r="S389" i="62" s="1"/>
  <c r="AD157" i="62"/>
  <c r="AF157" i="62"/>
  <c r="O21" i="6"/>
  <c r="Q21" i="6"/>
  <c r="K17" i="1"/>
  <c r="G112" i="49"/>
  <c r="H112" i="49"/>
  <c r="G103" i="49"/>
  <c r="G146" i="49" s="1"/>
  <c r="H103" i="49"/>
  <c r="O174" i="107"/>
  <c r="O191" i="107" s="1"/>
  <c r="O167" i="107"/>
  <c r="O173" i="107" s="1"/>
  <c r="O190" i="107" s="1"/>
  <c r="R25" i="107"/>
  <c r="H173" i="107"/>
  <c r="S173" i="107" s="1"/>
  <c r="H169" i="107"/>
  <c r="I169" i="107" s="1"/>
  <c r="K39" i="107"/>
  <c r="J118" i="107"/>
  <c r="J119" i="107" s="1"/>
  <c r="L65" i="107"/>
  <c r="L66" i="107" s="1"/>
  <c r="K54" i="6"/>
  <c r="K66" i="6" s="1"/>
  <c r="C233" i="78"/>
  <c r="D232" i="78"/>
  <c r="Z80" i="31"/>
  <c r="AA80" i="31" s="1"/>
  <c r="AD171" i="62"/>
  <c r="AF171" i="62" s="1"/>
  <c r="C198" i="78"/>
  <c r="D23" i="76" l="1"/>
  <c r="G23" i="97"/>
  <c r="H23" i="97" s="1"/>
  <c r="AA99" i="104"/>
  <c r="D31" i="99"/>
  <c r="D42" i="99" s="1"/>
  <c r="F8" i="99" s="1"/>
  <c r="W327" i="93"/>
  <c r="Y317" i="93"/>
  <c r="W321" i="93"/>
  <c r="G34" i="97"/>
  <c r="T319" i="93"/>
  <c r="D42" i="76"/>
  <c r="G36" i="97"/>
  <c r="H36" i="97" s="1"/>
  <c r="H40" i="99"/>
  <c r="H42" i="99" s="1"/>
  <c r="F16" i="99" s="1"/>
  <c r="L16" i="99" s="1"/>
  <c r="AA114" i="104"/>
  <c r="AA105" i="104"/>
  <c r="F33" i="99"/>
  <c r="F42" i="99" s="1"/>
  <c r="F12" i="99" s="1"/>
  <c r="U81" i="93"/>
  <c r="T283" i="93"/>
  <c r="G27" i="97"/>
  <c r="D50" i="76"/>
  <c r="S49" i="93"/>
  <c r="T49" i="93" s="1"/>
  <c r="T50" i="93" s="1"/>
  <c r="AA44" i="93"/>
  <c r="AC44" i="93" s="1"/>
  <c r="Y321" i="93"/>
  <c r="Y589" i="93" s="1"/>
  <c r="U319" i="93"/>
  <c r="S316" i="93"/>
  <c r="S83" i="93"/>
  <c r="T83" i="93" s="1"/>
  <c r="U83" i="93" s="1"/>
  <c r="AA83" i="93"/>
  <c r="AC83" i="93" s="1"/>
  <c r="D30" i="76"/>
  <c r="Y119" i="93"/>
  <c r="S81" i="93"/>
  <c r="T81" i="93" s="1"/>
  <c r="AA81" i="93"/>
  <c r="AC81" i="93" s="1"/>
  <c r="AC84" i="93" s="1"/>
  <c r="AE49" i="93"/>
  <c r="L10" i="99" s="1"/>
  <c r="T284" i="93"/>
  <c r="U284" i="93" s="1"/>
  <c r="G28" i="97"/>
  <c r="H28" i="97" s="1"/>
  <c r="D51" i="76"/>
  <c r="G16" i="97"/>
  <c r="H16" i="97" s="1"/>
  <c r="AE83" i="93"/>
  <c r="T84" i="93"/>
  <c r="J49" i="76"/>
  <c r="K49" i="76" s="1"/>
  <c r="C30" i="75"/>
  <c r="C35" i="75"/>
  <c r="J37" i="76"/>
  <c r="K37" i="76" s="1"/>
  <c r="D35" i="75"/>
  <c r="D30" i="75"/>
  <c r="H215" i="49"/>
  <c r="J215" i="49" s="1"/>
  <c r="O45" i="6"/>
  <c r="O58" i="6"/>
  <c r="O52" i="6"/>
  <c r="O64" i="6"/>
  <c r="AC118" i="93"/>
  <c r="AF118" i="93"/>
  <c r="AG118" i="93" s="1"/>
  <c r="AF82" i="93"/>
  <c r="AG82" i="93" s="1"/>
  <c r="AF115" i="104"/>
  <c r="AF116" i="104" s="1"/>
  <c r="AA141" i="104"/>
  <c r="AJ7" i="93"/>
  <c r="D9" i="76"/>
  <c r="AF7" i="93"/>
  <c r="AJ43" i="93"/>
  <c r="AF43" i="93"/>
  <c r="AG43" i="93" s="1"/>
  <c r="D15" i="76"/>
  <c r="AJ80" i="93"/>
  <c r="AF80" i="93"/>
  <c r="AG80" i="93" s="1"/>
  <c r="D21" i="76"/>
  <c r="AA132" i="104"/>
  <c r="AJ115" i="93"/>
  <c r="AF115" i="93"/>
  <c r="D29" i="76"/>
  <c r="B306" i="78"/>
  <c r="M215" i="49"/>
  <c r="N215" i="49" s="1"/>
  <c r="J21" i="4"/>
  <c r="B153" i="78"/>
  <c r="C21" i="60"/>
  <c r="G163" i="58"/>
  <c r="D16" i="60"/>
  <c r="G9" i="31"/>
  <c r="I118" i="93"/>
  <c r="K118" i="93"/>
  <c r="M118" i="93" s="1"/>
  <c r="U118" i="93" s="1"/>
  <c r="I315" i="93"/>
  <c r="K315" i="93"/>
  <c r="H212" i="49"/>
  <c r="G54" i="31"/>
  <c r="G151" i="31" s="1"/>
  <c r="G187" i="31" s="1"/>
  <c r="C8" i="2"/>
  <c r="O52" i="107"/>
  <c r="B365" i="78"/>
  <c r="B366" i="78" s="1"/>
  <c r="F32" i="76"/>
  <c r="G32" i="76"/>
  <c r="J14" i="3"/>
  <c r="C16" i="24"/>
  <c r="L54" i="6"/>
  <c r="O162" i="107"/>
  <c r="P77" i="107"/>
  <c r="P78" i="107" s="1"/>
  <c r="R76" i="107"/>
  <c r="R77" i="107" s="1"/>
  <c r="G200" i="49"/>
  <c r="G379" i="78"/>
  <c r="H379" i="78" s="1"/>
  <c r="O51" i="6"/>
  <c r="H213" i="49"/>
  <c r="Q11" i="6"/>
  <c r="O63" i="6"/>
  <c r="AA126" i="104"/>
  <c r="Q44" i="6"/>
  <c r="U61" i="31" s="1"/>
  <c r="M7" i="93"/>
  <c r="J23" i="77"/>
  <c r="O53" i="6"/>
  <c r="C383" i="78"/>
  <c r="E382" i="78"/>
  <c r="O26" i="107"/>
  <c r="O47" i="6"/>
  <c r="I115" i="93"/>
  <c r="K115" i="93"/>
  <c r="M115" i="93" s="1"/>
  <c r="K40" i="107"/>
  <c r="K41" i="107" s="1"/>
  <c r="R167" i="107"/>
  <c r="X704" i="62"/>
  <c r="L23" i="6"/>
  <c r="A12" i="80"/>
  <c r="A14" i="80" s="1"/>
  <c r="G80" i="93"/>
  <c r="I216" i="93"/>
  <c r="I220" i="93" s="1"/>
  <c r="J219" i="49"/>
  <c r="M219" i="49"/>
  <c r="N219" i="49" s="1"/>
  <c r="H135" i="104"/>
  <c r="H108" i="104"/>
  <c r="L107" i="107"/>
  <c r="K13" i="6"/>
  <c r="K15" i="6" s="1"/>
  <c r="I15" i="6"/>
  <c r="B84" i="78"/>
  <c r="B85" i="78"/>
  <c r="K47" i="93"/>
  <c r="M47" i="93" s="1"/>
  <c r="M44" i="93"/>
  <c r="K49" i="93"/>
  <c r="M49" i="93" s="1"/>
  <c r="B25" i="78"/>
  <c r="B26" i="78" s="1"/>
  <c r="B154" i="78"/>
  <c r="H21" i="97"/>
  <c r="I317" i="93"/>
  <c r="K317" i="93"/>
  <c r="M317" i="93" s="1"/>
  <c r="U317" i="93" s="1"/>
  <c r="C199" i="78"/>
  <c r="D198" i="78"/>
  <c r="M64" i="107"/>
  <c r="K117" i="107"/>
  <c r="K24" i="6"/>
  <c r="L24" i="6" s="1"/>
  <c r="N24" i="6" s="1"/>
  <c r="J25" i="6"/>
  <c r="L147" i="107"/>
  <c r="C306" i="78"/>
  <c r="D305" i="78"/>
  <c r="J132" i="107"/>
  <c r="I316" i="93"/>
  <c r="K316" i="93"/>
  <c r="M316" i="93" s="1"/>
  <c r="O60" i="6"/>
  <c r="E589" i="93"/>
  <c r="B226" i="78"/>
  <c r="F30" i="76"/>
  <c r="G30" i="76"/>
  <c r="O57" i="6"/>
  <c r="J28" i="4"/>
  <c r="R28" i="4" s="1"/>
  <c r="H27" i="1" s="1"/>
  <c r="K27" i="1" s="1"/>
  <c r="A23" i="77"/>
  <c r="A24" i="77" s="1"/>
  <c r="G23" i="76"/>
  <c r="F23" i="76"/>
  <c r="C234" i="78"/>
  <c r="D233" i="78"/>
  <c r="E30" i="1"/>
  <c r="O62" i="6"/>
  <c r="E590" i="93"/>
  <c r="E598" i="93" s="1"/>
  <c r="E599" i="93" s="1"/>
  <c r="Q17" i="1"/>
  <c r="U57" i="31"/>
  <c r="O56" i="6"/>
  <c r="I26" i="4"/>
  <c r="L135" i="31"/>
  <c r="AD703" i="62"/>
  <c r="AA35" i="49"/>
  <c r="F17" i="159" s="1"/>
  <c r="W49" i="49"/>
  <c r="H207" i="49"/>
  <c r="AF49" i="93" l="1"/>
  <c r="G11" i="97"/>
  <c r="D39" i="76"/>
  <c r="T316" i="93"/>
  <c r="AJ316" i="93"/>
  <c r="AK316" i="93" s="1"/>
  <c r="G42" i="76"/>
  <c r="F42" i="76"/>
  <c r="C37" i="75" s="1"/>
  <c r="D26" i="95"/>
  <c r="F9" i="74"/>
  <c r="H34" i="97"/>
  <c r="H38" i="97" s="1"/>
  <c r="H41" i="97" s="1"/>
  <c r="G38" i="97"/>
  <c r="G41" i="97" s="1"/>
  <c r="F50" i="76"/>
  <c r="G50" i="76"/>
  <c r="AE13" i="93"/>
  <c r="L8" i="99" s="1"/>
  <c r="D16" i="76"/>
  <c r="F16" i="76" s="1"/>
  <c r="F51" i="76"/>
  <c r="G51" i="76"/>
  <c r="H27" i="97"/>
  <c r="H29" i="97" s="1"/>
  <c r="G29" i="97"/>
  <c r="AE81" i="93"/>
  <c r="U316" i="93"/>
  <c r="T285" i="93"/>
  <c r="U285" i="93" s="1"/>
  <c r="U283" i="93"/>
  <c r="T13" i="93"/>
  <c r="AA8" i="93"/>
  <c r="AC8" i="93" s="1"/>
  <c r="S13" i="93"/>
  <c r="E35" i="75"/>
  <c r="F35" i="75" s="1"/>
  <c r="G17" i="97"/>
  <c r="AF83" i="93"/>
  <c r="D24" i="76"/>
  <c r="E30" i="75"/>
  <c r="F30" i="75" s="1"/>
  <c r="AK80" i="93"/>
  <c r="G29" i="76"/>
  <c r="I29" i="76" s="1"/>
  <c r="F29" i="76"/>
  <c r="C25" i="75" s="1"/>
  <c r="G15" i="76"/>
  <c r="I15" i="76" s="1"/>
  <c r="F15" i="76"/>
  <c r="C15" i="75" s="1"/>
  <c r="AK115" i="93"/>
  <c r="AK43" i="93"/>
  <c r="AK7" i="93"/>
  <c r="AG7" i="93"/>
  <c r="F9" i="76"/>
  <c r="C10" i="75" s="1"/>
  <c r="G9" i="76"/>
  <c r="I9" i="76" s="1"/>
  <c r="F21" i="76"/>
  <c r="C20" i="75" s="1"/>
  <c r="G21" i="76"/>
  <c r="I21" i="76" s="1"/>
  <c r="B27" i="78"/>
  <c r="B368" i="78"/>
  <c r="B374" i="78"/>
  <c r="N23" i="6"/>
  <c r="W17" i="1"/>
  <c r="AC37" i="31"/>
  <c r="L148" i="107"/>
  <c r="L149" i="107" s="1"/>
  <c r="B227" i="78"/>
  <c r="B28" i="78"/>
  <c r="L13" i="6"/>
  <c r="L39" i="107"/>
  <c r="E383" i="78"/>
  <c r="C384" i="78"/>
  <c r="S315" i="93"/>
  <c r="M315" i="93"/>
  <c r="M321" i="93" s="1"/>
  <c r="H169" i="58"/>
  <c r="I163" i="58"/>
  <c r="H163" i="58"/>
  <c r="J207" i="49"/>
  <c r="M207" i="49"/>
  <c r="A25" i="77"/>
  <c r="L108" i="107"/>
  <c r="L109" i="107" s="1"/>
  <c r="Z61" i="31"/>
  <c r="C33" i="77"/>
  <c r="D33" i="77" s="1"/>
  <c r="C29" i="77"/>
  <c r="D29" i="77" s="1"/>
  <c r="C32" i="77"/>
  <c r="D32" i="77" s="1"/>
  <c r="C24" i="77"/>
  <c r="D24" i="77" s="1"/>
  <c r="C34" i="77"/>
  <c r="D34" i="77" s="1"/>
  <c r="C23" i="77"/>
  <c r="C28" i="77"/>
  <c r="D28" i="77" s="1"/>
  <c r="C31" i="77"/>
  <c r="D31" i="77" s="1"/>
  <c r="C25" i="77"/>
  <c r="D25" i="77" s="1"/>
  <c r="C30" i="77"/>
  <c r="D30" i="77" s="1"/>
  <c r="C26" i="77"/>
  <c r="D26" i="77" s="1"/>
  <c r="C27" i="77"/>
  <c r="D27" i="77" s="1"/>
  <c r="AG49" i="93"/>
  <c r="AG50" i="93" s="1"/>
  <c r="AF50" i="93"/>
  <c r="N54" i="6"/>
  <c r="O54" i="6" s="1"/>
  <c r="O66" i="6" s="1"/>
  <c r="L66" i="6"/>
  <c r="O53" i="107"/>
  <c r="O54" i="107" s="1"/>
  <c r="M212" i="49"/>
  <c r="N212" i="49" s="1"/>
  <c r="J212" i="49"/>
  <c r="F152" i="49"/>
  <c r="F177" i="49"/>
  <c r="F178" i="49"/>
  <c r="E60" i="18"/>
  <c r="E92" i="18"/>
  <c r="E124" i="18"/>
  <c r="E156" i="18"/>
  <c r="E81" i="18"/>
  <c r="F42" i="49"/>
  <c r="F154" i="49"/>
  <c r="F18" i="49"/>
  <c r="E64" i="18"/>
  <c r="E96" i="18"/>
  <c r="E128" i="18"/>
  <c r="E53" i="18"/>
  <c r="E85" i="18"/>
  <c r="F158" i="49"/>
  <c r="F151" i="49"/>
  <c r="F27" i="49"/>
  <c r="E68" i="18"/>
  <c r="E100" i="18"/>
  <c r="E132" i="18"/>
  <c r="E57" i="18"/>
  <c r="E89" i="18"/>
  <c r="E121" i="18"/>
  <c r="F32" i="49"/>
  <c r="F176" i="49"/>
  <c r="F28" i="49"/>
  <c r="E76" i="18"/>
  <c r="E108" i="18"/>
  <c r="E140" i="18"/>
  <c r="E65" i="18"/>
  <c r="E97" i="18"/>
  <c r="E129" i="18"/>
  <c r="F48" i="49"/>
  <c r="F174" i="49"/>
  <c r="E80" i="18"/>
  <c r="E144" i="18"/>
  <c r="E101" i="18"/>
  <c r="E141" i="18"/>
  <c r="E74" i="18"/>
  <c r="E114" i="18"/>
  <c r="E75" i="18"/>
  <c r="E151" i="18"/>
  <c r="E150" i="18"/>
  <c r="E107" i="18"/>
  <c r="E157" i="18"/>
  <c r="F194" i="49"/>
  <c r="F33" i="49"/>
  <c r="F179" i="49"/>
  <c r="E84" i="18"/>
  <c r="E148" i="18"/>
  <c r="E105" i="18"/>
  <c r="E145" i="18"/>
  <c r="E78" i="18"/>
  <c r="E126" i="18"/>
  <c r="E83" i="18"/>
  <c r="E62" i="18"/>
  <c r="E55" i="18"/>
  <c r="E115" i="18"/>
  <c r="E20" i="18"/>
  <c r="F20" i="49"/>
  <c r="F153" i="49"/>
  <c r="F22" i="49"/>
  <c r="E88" i="18"/>
  <c r="E152" i="18"/>
  <c r="E109" i="18"/>
  <c r="E149" i="18"/>
  <c r="E82" i="18"/>
  <c r="E134" i="18"/>
  <c r="E91" i="18"/>
  <c r="E94" i="18"/>
  <c r="E63" i="18"/>
  <c r="E119" i="18"/>
  <c r="E17" i="18"/>
  <c r="F13" i="49"/>
  <c r="F43" i="49"/>
  <c r="F15" i="49"/>
  <c r="E104" i="18"/>
  <c r="E61" i="18"/>
  <c r="E113" i="18"/>
  <c r="E153" i="18"/>
  <c r="E86" i="18"/>
  <c r="E138" i="18"/>
  <c r="E103" i="18"/>
  <c r="E110" i="18"/>
  <c r="E71" i="18"/>
  <c r="E127" i="18"/>
  <c r="E19" i="18"/>
  <c r="F16" i="49"/>
  <c r="F159" i="49"/>
  <c r="F9" i="49"/>
  <c r="E112" i="18"/>
  <c r="E69" i="18"/>
  <c r="E117" i="18"/>
  <c r="E54" i="18"/>
  <c r="E90" i="18"/>
  <c r="E146" i="18"/>
  <c r="E111" i="18"/>
  <c r="E118" i="18"/>
  <c r="E79" i="18"/>
  <c r="E131" i="18"/>
  <c r="F24" i="49"/>
  <c r="F14" i="49"/>
  <c r="F41" i="49"/>
  <c r="E52" i="18"/>
  <c r="E116" i="18"/>
  <c r="E73" i="18"/>
  <c r="E125" i="18"/>
  <c r="E58" i="18"/>
  <c r="E98" i="18"/>
  <c r="E154" i="18"/>
  <c r="E123" i="18"/>
  <c r="E122" i="18"/>
  <c r="E87" i="18"/>
  <c r="E139" i="18"/>
  <c r="F9" i="31"/>
  <c r="F11" i="49"/>
  <c r="F51" i="49"/>
  <c r="E56" i="18"/>
  <c r="E120" i="18"/>
  <c r="E77" i="18"/>
  <c r="E133" i="18"/>
  <c r="E66" i="18"/>
  <c r="E102" i="18"/>
  <c r="E59" i="18"/>
  <c r="E135" i="18"/>
  <c r="E130" i="18"/>
  <c r="E95" i="18"/>
  <c r="E147" i="18"/>
  <c r="Z7" i="62"/>
  <c r="F163" i="49"/>
  <c r="E72" i="18"/>
  <c r="E136" i="18"/>
  <c r="E93" i="18"/>
  <c r="E137" i="18"/>
  <c r="E70" i="18"/>
  <c r="E106" i="18"/>
  <c r="E67" i="18"/>
  <c r="E143" i="18"/>
  <c r="E142" i="18"/>
  <c r="E99" i="18"/>
  <c r="E155" i="18"/>
  <c r="G162" i="58"/>
  <c r="X705" i="62"/>
  <c r="U7" i="93"/>
  <c r="M14" i="93"/>
  <c r="H11" i="97"/>
  <c r="H12" i="97" s="1"/>
  <c r="G12" i="97"/>
  <c r="O163" i="107"/>
  <c r="O164" i="107" s="1"/>
  <c r="D8" i="26"/>
  <c r="M65" i="107"/>
  <c r="M66" i="107" s="1"/>
  <c r="N66" i="107" s="1"/>
  <c r="H49" i="49"/>
  <c r="W197" i="49"/>
  <c r="W199" i="49" s="1"/>
  <c r="A13" i="80"/>
  <c r="D8" i="95"/>
  <c r="M591" i="93"/>
  <c r="H14" i="70" s="1"/>
  <c r="J26" i="6"/>
  <c r="K25" i="6"/>
  <c r="L25" i="6" s="1"/>
  <c r="N25" i="6" s="1"/>
  <c r="J213" i="49"/>
  <c r="M213" i="49"/>
  <c r="N213" i="49" s="1"/>
  <c r="G16" i="76"/>
  <c r="S91" i="31"/>
  <c r="S93" i="31" s="1"/>
  <c r="P91" i="31"/>
  <c r="P93" i="31" s="1"/>
  <c r="M91" i="31"/>
  <c r="M93" i="31" s="1"/>
  <c r="Q91" i="31"/>
  <c r="Q93" i="31" s="1"/>
  <c r="N91" i="31"/>
  <c r="N93" i="31" s="1"/>
  <c r="J91" i="31"/>
  <c r="J93" i="31" s="1"/>
  <c r="C12" i="2"/>
  <c r="R91" i="31"/>
  <c r="R93" i="31" s="1"/>
  <c r="U91" i="31"/>
  <c r="O91" i="31"/>
  <c r="O93" i="31" s="1"/>
  <c r="D10" i="2"/>
  <c r="T91" i="31"/>
  <c r="T93" i="31" s="1"/>
  <c r="W91" i="31"/>
  <c r="W93" i="31" s="1"/>
  <c r="R21" i="4"/>
  <c r="H20" i="1" s="1"/>
  <c r="K20" i="1" s="1"/>
  <c r="B307" i="78"/>
  <c r="C307" i="78"/>
  <c r="D306" i="78"/>
  <c r="D21" i="60"/>
  <c r="G10" i="31"/>
  <c r="B155" i="78"/>
  <c r="U20" i="4"/>
  <c r="Z57" i="31"/>
  <c r="AA57" i="31" s="1"/>
  <c r="J133" i="107"/>
  <c r="J134" i="107" s="1"/>
  <c r="J168" i="107"/>
  <c r="J169" i="107" s="1"/>
  <c r="O24" i="6"/>
  <c r="Q24" i="6"/>
  <c r="U64" i="31" s="1"/>
  <c r="Z64" i="31" s="1"/>
  <c r="AA64" i="31" s="1"/>
  <c r="K118" i="107"/>
  <c r="K119" i="107" s="1"/>
  <c r="D199" i="78"/>
  <c r="B29" i="78"/>
  <c r="M50" i="93"/>
  <c r="U50" i="93" s="1"/>
  <c r="U49" i="93"/>
  <c r="B86" i="78"/>
  <c r="AA108" i="104"/>
  <c r="S117" i="93" s="1"/>
  <c r="H110" i="104"/>
  <c r="A16" i="80"/>
  <c r="C235" i="78"/>
  <c r="D234" i="78"/>
  <c r="H137" i="104"/>
  <c r="AA135" i="104"/>
  <c r="U115" i="93"/>
  <c r="M119" i="93"/>
  <c r="B228" i="78"/>
  <c r="B31" i="78"/>
  <c r="B32" i="78" s="1"/>
  <c r="K80" i="93"/>
  <c r="M80" i="93" s="1"/>
  <c r="I80" i="93"/>
  <c r="I84" i="93" s="1"/>
  <c r="O27" i="107"/>
  <c r="O28" i="107" s="1"/>
  <c r="U13" i="93" l="1"/>
  <c r="T14" i="93"/>
  <c r="U14" i="93" s="1"/>
  <c r="AF13" i="93"/>
  <c r="D22" i="76"/>
  <c r="AF81" i="93"/>
  <c r="AG81" i="93" s="1"/>
  <c r="G15" i="97"/>
  <c r="H15" i="97" s="1"/>
  <c r="F52" i="76"/>
  <c r="C32" i="75"/>
  <c r="G7" i="97"/>
  <c r="L12" i="99"/>
  <c r="D10" i="76"/>
  <c r="G39" i="76"/>
  <c r="I39" i="76" s="1"/>
  <c r="F39" i="76"/>
  <c r="F24" i="76"/>
  <c r="G24" i="76"/>
  <c r="AG83" i="93"/>
  <c r="AG84" i="93" s="1"/>
  <c r="H17" i="97"/>
  <c r="AA110" i="104"/>
  <c r="G32" i="99"/>
  <c r="G42" i="99" s="1"/>
  <c r="AN110" i="104" s="1"/>
  <c r="AN112" i="104" s="1"/>
  <c r="T117" i="93"/>
  <c r="T119" i="93" s="1"/>
  <c r="U119" i="93" s="1"/>
  <c r="AE117" i="93"/>
  <c r="D31" i="76" s="1"/>
  <c r="AA117" i="93"/>
  <c r="AC117" i="93" s="1"/>
  <c r="AC119" i="93" s="1"/>
  <c r="AC587" i="93" s="1"/>
  <c r="A17" i="80"/>
  <c r="A18" i="80" s="1"/>
  <c r="A20" i="80" s="1"/>
  <c r="A21" i="80" s="1"/>
  <c r="A22" i="80" s="1"/>
  <c r="D20" i="75"/>
  <c r="E20" i="75" s="1"/>
  <c r="F20" i="75" s="1"/>
  <c r="J21" i="76"/>
  <c r="K21" i="76" s="1"/>
  <c r="J9" i="76"/>
  <c r="K9" i="76" s="1"/>
  <c r="D10" i="75"/>
  <c r="E10" i="75" s="1"/>
  <c r="F10" i="75" s="1"/>
  <c r="D15" i="75"/>
  <c r="E15" i="75" s="1"/>
  <c r="F15" i="75" s="1"/>
  <c r="J15" i="76"/>
  <c r="K15" i="76" s="1"/>
  <c r="D25" i="75"/>
  <c r="E25" i="75" s="1"/>
  <c r="J29" i="76"/>
  <c r="K29" i="76" s="1"/>
  <c r="Q125" i="31"/>
  <c r="Q143" i="31" s="1"/>
  <c r="N22" i="4"/>
  <c r="P162" i="107"/>
  <c r="K163" i="58"/>
  <c r="J169" i="58"/>
  <c r="J163" i="58"/>
  <c r="AA137" i="104"/>
  <c r="B87" i="78"/>
  <c r="L117" i="107"/>
  <c r="L22" i="4"/>
  <c r="O125" i="31"/>
  <c r="O143" i="31" s="1"/>
  <c r="J22" i="4"/>
  <c r="M125" i="31"/>
  <c r="M143" i="31" s="1"/>
  <c r="C16" i="75"/>
  <c r="C17" i="75" s="1"/>
  <c r="F17" i="76"/>
  <c r="O25" i="6"/>
  <c r="Q25" i="6"/>
  <c r="U65" i="31" s="1"/>
  <c r="Z65" i="31" s="1"/>
  <c r="AA65" i="31" s="1"/>
  <c r="O64" i="107"/>
  <c r="Y185" i="62"/>
  <c r="Y559" i="62"/>
  <c r="Y603" i="62"/>
  <c r="Y560" i="62"/>
  <c r="Y580" i="62"/>
  <c r="Y558" i="62"/>
  <c r="Y557" i="62"/>
  <c r="Y561" i="62"/>
  <c r="Y554" i="62"/>
  <c r="Y593" i="62"/>
  <c r="Y18" i="62"/>
  <c r="Y17" i="62"/>
  <c r="Y15" i="62"/>
  <c r="Y22" i="62"/>
  <c r="Y34" i="62"/>
  <c r="E22" i="18"/>
  <c r="F23" i="18" s="1"/>
  <c r="J105" i="31" s="1"/>
  <c r="N13" i="6"/>
  <c r="L15" i="6"/>
  <c r="M84" i="93"/>
  <c r="U84" i="93" s="1"/>
  <c r="U80" i="93"/>
  <c r="P125" i="31"/>
  <c r="P143" i="31" s="1"/>
  <c r="M22" i="4"/>
  <c r="J27" i="6"/>
  <c r="K26" i="6"/>
  <c r="H211" i="49"/>
  <c r="H146" i="49"/>
  <c r="H200" i="49" s="1"/>
  <c r="B156" i="78"/>
  <c r="B158" i="78" s="1"/>
  <c r="E159" i="18"/>
  <c r="F160" i="18" s="1"/>
  <c r="J117" i="31" s="1"/>
  <c r="P52" i="107"/>
  <c r="N207" i="49"/>
  <c r="B377" i="78"/>
  <c r="B376" i="78"/>
  <c r="O22" i="4"/>
  <c r="R125" i="31"/>
  <c r="S125" i="31"/>
  <c r="S143" i="31" s="1"/>
  <c r="P22" i="4"/>
  <c r="Q54" i="6"/>
  <c r="N66" i="6"/>
  <c r="C35" i="77"/>
  <c r="D23" i="77"/>
  <c r="D35" i="77" s="1"/>
  <c r="D37" i="77" s="1"/>
  <c r="AG13" i="93"/>
  <c r="AG14" i="93" s="1"/>
  <c r="AF14" i="93"/>
  <c r="P26" i="107"/>
  <c r="AA20" i="4"/>
  <c r="F10" i="31"/>
  <c r="Z8" i="62"/>
  <c r="C14" i="2"/>
  <c r="C16" i="2" s="1"/>
  <c r="C18" i="2" s="1"/>
  <c r="H168" i="58"/>
  <c r="H171" i="58" s="1"/>
  <c r="I162" i="58"/>
  <c r="H162" i="58"/>
  <c r="H165" i="58" s="1"/>
  <c r="M147" i="107"/>
  <c r="B308" i="78"/>
  <c r="B309" i="78" s="1"/>
  <c r="K132" i="107"/>
  <c r="AA61" i="31"/>
  <c r="M107" i="107"/>
  <c r="H7" i="97"/>
  <c r="H8" i="97" s="1"/>
  <c r="G8" i="97"/>
  <c r="C385" i="78"/>
  <c r="E384" i="78"/>
  <c r="D235" i="78"/>
  <c r="C236" i="78"/>
  <c r="W22" i="4"/>
  <c r="W125" i="31"/>
  <c r="W143" i="31" s="1"/>
  <c r="H22" i="4"/>
  <c r="D38" i="76"/>
  <c r="T315" i="93"/>
  <c r="AJ315" i="93"/>
  <c r="F10" i="76"/>
  <c r="G10" i="76"/>
  <c r="L40" i="107"/>
  <c r="L41" i="107" s="1"/>
  <c r="A26" i="77"/>
  <c r="B229" i="78"/>
  <c r="D307" i="78"/>
  <c r="C308" i="78"/>
  <c r="T22" i="4"/>
  <c r="T125" i="31"/>
  <c r="K22" i="4"/>
  <c r="N125" i="31"/>
  <c r="N143" i="31" s="1"/>
  <c r="B33" i="78"/>
  <c r="Q23" i="6"/>
  <c r="O23" i="6"/>
  <c r="J39" i="76" l="1"/>
  <c r="K39" i="76" s="1"/>
  <c r="G22" i="76"/>
  <c r="F22" i="76"/>
  <c r="G18" i="97"/>
  <c r="H18" i="97"/>
  <c r="AF84" i="93"/>
  <c r="C21" i="75"/>
  <c r="C22" i="75" s="1"/>
  <c r="F25" i="76"/>
  <c r="G22" i="97"/>
  <c r="F14" i="99"/>
  <c r="L14" i="99" s="1"/>
  <c r="AF117" i="93"/>
  <c r="AG117" i="93" s="1"/>
  <c r="AG119" i="93" s="1"/>
  <c r="AG589" i="93" s="1"/>
  <c r="U117" i="93"/>
  <c r="B161" i="78"/>
  <c r="B159" i="78"/>
  <c r="B232" i="78"/>
  <c r="M108" i="107"/>
  <c r="M109" i="107" s="1"/>
  <c r="N109" i="107" s="1"/>
  <c r="B230" i="78"/>
  <c r="Z117" i="31"/>
  <c r="AA117" i="31" s="1"/>
  <c r="J121" i="31"/>
  <c r="J123" i="31" s="1"/>
  <c r="H25" i="4" s="1"/>
  <c r="R25" i="4" s="1"/>
  <c r="H24" i="1" s="1"/>
  <c r="K24" i="1" s="1"/>
  <c r="B89" i="78"/>
  <c r="P163" i="107"/>
  <c r="P164" i="107" s="1"/>
  <c r="R162" i="107"/>
  <c r="R163" i="107" s="1"/>
  <c r="Q149" i="31"/>
  <c r="Q150" i="31" s="1"/>
  <c r="Q151" i="31" s="1"/>
  <c r="N29" i="4"/>
  <c r="A27" i="77"/>
  <c r="A28" i="77"/>
  <c r="A29" i="77"/>
  <c r="AK315" i="93"/>
  <c r="C386" i="78"/>
  <c r="E385" i="78"/>
  <c r="C20" i="2"/>
  <c r="C22" i="2" s="1"/>
  <c r="C25" i="2" s="1"/>
  <c r="O65" i="107"/>
  <c r="O66" i="107" s="1"/>
  <c r="Z561" i="62"/>
  <c r="Z559" i="62"/>
  <c r="Z560" i="62"/>
  <c r="Z593" i="62"/>
  <c r="Z17" i="62"/>
  <c r="Z554" i="62"/>
  <c r="Z185" i="62"/>
  <c r="Z15" i="62"/>
  <c r="Z18" i="62"/>
  <c r="Z558" i="62"/>
  <c r="Z603" i="62"/>
  <c r="Z557" i="62"/>
  <c r="Z580" i="62"/>
  <c r="Z22" i="62"/>
  <c r="Z34" i="62"/>
  <c r="P29" i="4"/>
  <c r="S149" i="31"/>
  <c r="S150" i="31" s="1"/>
  <c r="S151" i="31" s="1"/>
  <c r="M589" i="93"/>
  <c r="J168" i="58"/>
  <c r="J171" i="58" s="1"/>
  <c r="J162" i="58"/>
  <c r="J165" i="58" s="1"/>
  <c r="K162" i="58"/>
  <c r="N19" i="1"/>
  <c r="Q19" i="1" s="1"/>
  <c r="AC20" i="4"/>
  <c r="Y703" i="62"/>
  <c r="D9" i="73"/>
  <c r="D11" i="73" s="1"/>
  <c r="I15" i="31" s="1"/>
  <c r="D37" i="95"/>
  <c r="AC589" i="93"/>
  <c r="D43" i="95" s="1"/>
  <c r="U315" i="93"/>
  <c r="U321" i="93" s="1"/>
  <c r="U589" i="93" s="1"/>
  <c r="T321" i="93"/>
  <c r="D308" i="78"/>
  <c r="C309" i="78"/>
  <c r="M39" i="107"/>
  <c r="F38" i="76"/>
  <c r="G38" i="76"/>
  <c r="I38" i="76" s="1"/>
  <c r="P27" i="107"/>
  <c r="P28" i="107" s="1"/>
  <c r="R26" i="107"/>
  <c r="B160" i="78"/>
  <c r="M149" i="31"/>
  <c r="M150" i="31" s="1"/>
  <c r="M151" i="31" s="1"/>
  <c r="J29" i="4"/>
  <c r="B311" i="78"/>
  <c r="B313" i="78" s="1"/>
  <c r="L30" i="4"/>
  <c r="L31" i="4" s="1"/>
  <c r="L41" i="4" s="1"/>
  <c r="W149" i="31"/>
  <c r="W150" i="31" s="1"/>
  <c r="W151" i="31" s="1"/>
  <c r="W29" i="4"/>
  <c r="W30" i="4" s="1"/>
  <c r="W31" i="4" s="1"/>
  <c r="W41" i="4" s="1"/>
  <c r="W44" i="4" s="1"/>
  <c r="U62" i="31"/>
  <c r="M148" i="107"/>
  <c r="M149" i="107" s="1"/>
  <c r="N149" i="107" s="1"/>
  <c r="L26" i="6"/>
  <c r="P149" i="31"/>
  <c r="P150" i="31" s="1"/>
  <c r="P151" i="31" s="1"/>
  <c r="M29" i="4"/>
  <c r="M30" i="4" s="1"/>
  <c r="M31" i="4" s="1"/>
  <c r="M41" i="4" s="1"/>
  <c r="K133" i="107"/>
  <c r="K134" i="107" s="1"/>
  <c r="K168" i="107"/>
  <c r="K169" i="107" s="1"/>
  <c r="J211" i="49"/>
  <c r="J223" i="49" s="1"/>
  <c r="M211" i="49"/>
  <c r="H223" i="49"/>
  <c r="H225" i="49" s="1"/>
  <c r="Z105" i="31"/>
  <c r="AA105" i="31" s="1"/>
  <c r="J107" i="31"/>
  <c r="N149" i="31"/>
  <c r="N150" i="31" s="1"/>
  <c r="N151" i="31" s="1"/>
  <c r="K29" i="4"/>
  <c r="K30" i="4" s="1"/>
  <c r="K31" i="4" s="1"/>
  <c r="K41" i="4" s="1"/>
  <c r="B34" i="78"/>
  <c r="C238" i="78"/>
  <c r="D236" i="78"/>
  <c r="P30" i="4"/>
  <c r="P31" i="4" s="1"/>
  <c r="P41" i="4" s="1"/>
  <c r="P44" i="4" s="1"/>
  <c r="P53" i="107"/>
  <c r="P54" i="107" s="1"/>
  <c r="R52" i="107"/>
  <c r="R53" i="107" s="1"/>
  <c r="K27" i="6"/>
  <c r="L27" i="6" s="1"/>
  <c r="N27" i="6" s="1"/>
  <c r="J28" i="6"/>
  <c r="J30" i="4"/>
  <c r="J31" i="4" s="1"/>
  <c r="J41" i="4" s="1"/>
  <c r="J44" i="4" s="1"/>
  <c r="L118" i="107"/>
  <c r="L119" i="107" s="1"/>
  <c r="B312" i="78"/>
  <c r="C37" i="77"/>
  <c r="I36" i="77"/>
  <c r="F31" i="76"/>
  <c r="G31" i="76"/>
  <c r="Q13" i="6"/>
  <c r="N15" i="6"/>
  <c r="C11" i="75"/>
  <c r="C12" i="75" s="1"/>
  <c r="F11" i="76"/>
  <c r="U78" i="31"/>
  <c r="Z78" i="31" s="1"/>
  <c r="AA78" i="31" s="1"/>
  <c r="Q66" i="6"/>
  <c r="B378" i="78"/>
  <c r="C35" i="160"/>
  <c r="C37" i="160" s="1"/>
  <c r="C39" i="160" s="1"/>
  <c r="E9" i="13"/>
  <c r="F25" i="159"/>
  <c r="H22" i="97"/>
  <c r="G24" i="97"/>
  <c r="O13" i="6"/>
  <c r="A23" i="80"/>
  <c r="A24" i="80" s="1"/>
  <c r="A25" i="80" s="1"/>
  <c r="A26" i="80" s="1"/>
  <c r="A27" i="80" s="1"/>
  <c r="A29" i="80" s="1"/>
  <c r="A37" i="80" s="1"/>
  <c r="L29" i="4"/>
  <c r="O149" i="31"/>
  <c r="O150" i="31" s="1"/>
  <c r="O151" i="31" s="1"/>
  <c r="L169" i="58"/>
  <c r="M163" i="58"/>
  <c r="L163" i="58"/>
  <c r="N30" i="4"/>
  <c r="N31" i="4" s="1"/>
  <c r="N41" i="4" s="1"/>
  <c r="AF119" i="93" l="1"/>
  <c r="K44" i="4"/>
  <c r="K47" i="4"/>
  <c r="N161" i="31"/>
  <c r="G31" i="97"/>
  <c r="M40" i="107"/>
  <c r="M41" i="107" s="1"/>
  <c r="N41" i="107" s="1"/>
  <c r="D5" i="95"/>
  <c r="D17" i="95" s="1"/>
  <c r="D23" i="95" s="1"/>
  <c r="H11" i="70"/>
  <c r="H16" i="70" s="1"/>
  <c r="H21" i="70" s="1"/>
  <c r="H27" i="70" s="1"/>
  <c r="K15" i="31" s="1"/>
  <c r="K17" i="31" s="1"/>
  <c r="M595" i="93"/>
  <c r="E27" i="13"/>
  <c r="V15" i="31" s="1"/>
  <c r="V17" i="31" s="1"/>
  <c r="D48" i="95"/>
  <c r="L44" i="4"/>
  <c r="D29" i="95"/>
  <c r="D32" i="95" s="1"/>
  <c r="F10" i="74"/>
  <c r="F11" i="74" s="1"/>
  <c r="L15" i="31" s="1"/>
  <c r="L17" i="31" s="1"/>
  <c r="Q15" i="6"/>
  <c r="M117" i="107"/>
  <c r="M44" i="4"/>
  <c r="B162" i="78"/>
  <c r="Z62" i="31"/>
  <c r="B233" i="78"/>
  <c r="B234" i="78"/>
  <c r="H24" i="97"/>
  <c r="B379" i="78"/>
  <c r="L132" i="107"/>
  <c r="R27" i="107"/>
  <c r="W19" i="1"/>
  <c r="AC57" i="31"/>
  <c r="F33" i="76"/>
  <c r="C26" i="75"/>
  <c r="C27" i="75" s="1"/>
  <c r="D238" i="78"/>
  <c r="C239" i="78"/>
  <c r="M223" i="49"/>
  <c r="N223" i="49" s="1"/>
  <c r="O147" i="107"/>
  <c r="S161" i="31"/>
  <c r="P64" i="107"/>
  <c r="D15" i="26"/>
  <c r="Y41" i="4"/>
  <c r="N169" i="58"/>
  <c r="N163" i="58"/>
  <c r="O163" i="58"/>
  <c r="E12" i="13"/>
  <c r="V140" i="31" s="1"/>
  <c r="V28" i="4" s="1"/>
  <c r="E16" i="13"/>
  <c r="B314" i="78"/>
  <c r="N211" i="49"/>
  <c r="W161" i="31"/>
  <c r="Z703" i="62"/>
  <c r="H24" i="4"/>
  <c r="J125" i="31"/>
  <c r="J143" i="31" s="1"/>
  <c r="K223" i="49"/>
  <c r="E18" i="13"/>
  <c r="P161" i="31"/>
  <c r="L168" i="58"/>
  <c r="L171" i="58" s="1"/>
  <c r="M162" i="58"/>
  <c r="L162" i="58"/>
  <c r="L165" i="58" s="1"/>
  <c r="O107" i="107"/>
  <c r="N44" i="4"/>
  <c r="R135" i="31"/>
  <c r="O26" i="4"/>
  <c r="B380" i="78"/>
  <c r="K28" i="6"/>
  <c r="L28" i="6" s="1"/>
  <c r="N28" i="6" s="1"/>
  <c r="J29" i="6"/>
  <c r="O27" i="6"/>
  <c r="Q27" i="6"/>
  <c r="U75" i="31" s="1"/>
  <c r="B35" i="78"/>
  <c r="B37" i="78" s="1"/>
  <c r="N26" i="6"/>
  <c r="D36" i="75"/>
  <c r="D31" i="75"/>
  <c r="J38" i="76"/>
  <c r="I17" i="31"/>
  <c r="G12" i="4" s="1"/>
  <c r="AA705" i="62"/>
  <c r="X706" i="62"/>
  <c r="Q161" i="31"/>
  <c r="B90" i="78"/>
  <c r="B91" i="78" s="1"/>
  <c r="B92" i="78" s="1"/>
  <c r="B93" i="78" s="1"/>
  <c r="B95" i="78" s="1"/>
  <c r="B96" i="78" s="1"/>
  <c r="B97" i="78" s="1"/>
  <c r="B98" i="78" s="1"/>
  <c r="B99" i="78" s="1"/>
  <c r="B101" i="78" s="1"/>
  <c r="B102" i="78" s="1"/>
  <c r="B103" i="78" s="1"/>
  <c r="O161" i="31"/>
  <c r="M161" i="31"/>
  <c r="F44" i="76"/>
  <c r="F57" i="76" s="1"/>
  <c r="C36" i="75"/>
  <c r="C38" i="75" s="1"/>
  <c r="C31" i="75"/>
  <c r="C33" i="75" s="1"/>
  <c r="D309" i="78"/>
  <c r="C311" i="78"/>
  <c r="C388" i="78"/>
  <c r="E386" i="78"/>
  <c r="A30" i="77"/>
  <c r="C39" i="75" l="1"/>
  <c r="Z15" i="31"/>
  <c r="Z17" i="31" s="1"/>
  <c r="Z28" i="31" s="1"/>
  <c r="M224" i="49"/>
  <c r="Q223" i="49" s="1"/>
  <c r="Q224" i="49" s="1"/>
  <c r="N224" i="49"/>
  <c r="G43" i="97"/>
  <c r="Q29" i="97"/>
  <c r="R29" i="97" s="1"/>
  <c r="Q32" i="97"/>
  <c r="Q18" i="97"/>
  <c r="R18" i="97" s="1"/>
  <c r="Q12" i="97"/>
  <c r="R12" i="97" s="1"/>
  <c r="Q8" i="97"/>
  <c r="R8" i="97" s="1"/>
  <c r="S8" i="97" s="1"/>
  <c r="T8" i="97" s="1"/>
  <c r="Q24" i="97"/>
  <c r="R24" i="97" s="1"/>
  <c r="B38" i="78"/>
  <c r="AA62" i="31"/>
  <c r="I28" i="31"/>
  <c r="Z75" i="31"/>
  <c r="J30" i="6"/>
  <c r="K29" i="6"/>
  <c r="L29" i="6" s="1"/>
  <c r="F18" i="13"/>
  <c r="F23" i="13" s="1"/>
  <c r="E19" i="13"/>
  <c r="V35" i="4" s="1"/>
  <c r="AA35" i="4" s="1"/>
  <c r="N34" i="1" s="1"/>
  <c r="V128" i="31"/>
  <c r="P169" i="58"/>
  <c r="Q163" i="58"/>
  <c r="P163" i="58"/>
  <c r="Q17" i="6"/>
  <c r="U140" i="31" s="1"/>
  <c r="S11" i="6"/>
  <c r="K28" i="31"/>
  <c r="X12" i="4"/>
  <c r="X15" i="4" s="1"/>
  <c r="O28" i="6"/>
  <c r="Q28" i="6"/>
  <c r="L133" i="107"/>
  <c r="L134" i="107" s="1"/>
  <c r="L168" i="107"/>
  <c r="L169" i="107" s="1"/>
  <c r="S13" i="6"/>
  <c r="I12" i="4"/>
  <c r="I15" i="4" s="1"/>
  <c r="L28" i="31"/>
  <c r="O26" i="6"/>
  <c r="Q26" i="6"/>
  <c r="H29" i="4"/>
  <c r="J149" i="31"/>
  <c r="J150" i="31" s="1"/>
  <c r="J151" i="31" s="1"/>
  <c r="O148" i="107"/>
  <c r="O149" i="107" s="1"/>
  <c r="B235" i="78"/>
  <c r="C312" i="78"/>
  <c r="D311" i="78"/>
  <c r="E31" i="75"/>
  <c r="Z706" i="62"/>
  <c r="Z708" i="62" s="1"/>
  <c r="AE703" i="62"/>
  <c r="AE704" i="62" s="1"/>
  <c r="AC704" i="62"/>
  <c r="B164" i="78"/>
  <c r="E36" i="75"/>
  <c r="O34" i="4"/>
  <c r="O39" i="4" s="1"/>
  <c r="O50" i="4" s="1"/>
  <c r="R26" i="4"/>
  <c r="H25" i="1" s="1"/>
  <c r="K25" i="1" s="1"/>
  <c r="O108" i="107"/>
  <c r="O109" i="107" s="1"/>
  <c r="R24" i="4"/>
  <c r="H23" i="1" s="1"/>
  <c r="K23" i="1" s="1"/>
  <c r="H30" i="4"/>
  <c r="H31" i="4" s="1"/>
  <c r="H41" i="4" s="1"/>
  <c r="H44" i="4" s="1"/>
  <c r="B382" i="78"/>
  <c r="B383" i="78" s="1"/>
  <c r="B315" i="78"/>
  <c r="A31" i="77"/>
  <c r="A32" i="77" s="1"/>
  <c r="A33" i="77" s="1"/>
  <c r="A34" i="77" s="1"/>
  <c r="V12" i="4"/>
  <c r="V28" i="31"/>
  <c r="C389" i="78"/>
  <c r="C390" i="78" s="1"/>
  <c r="E388" i="78"/>
  <c r="B104" i="78"/>
  <c r="B105" i="78" s="1"/>
  <c r="B107" i="78" s="1"/>
  <c r="B108" i="78" s="1"/>
  <c r="B109" i="78" s="1"/>
  <c r="B110" i="78" s="1"/>
  <c r="B111" i="78" s="1"/>
  <c r="B113" i="78" s="1"/>
  <c r="B114" i="78" s="1"/>
  <c r="B115" i="78" s="1"/>
  <c r="B116" i="78" s="1"/>
  <c r="B118" i="78" s="1"/>
  <c r="B119" i="78" s="1"/>
  <c r="B120" i="78" s="1"/>
  <c r="B121" i="78" s="1"/>
  <c r="R143" i="31"/>
  <c r="O162" i="58"/>
  <c r="N168" i="58"/>
  <c r="N171" i="58" s="1"/>
  <c r="N162" i="58"/>
  <c r="N165" i="58" s="1"/>
  <c r="H31" i="97"/>
  <c r="O39" i="107"/>
  <c r="E20" i="13"/>
  <c r="E21" i="13" s="1"/>
  <c r="E22" i="13" s="1"/>
  <c r="V37" i="4" s="1"/>
  <c r="AA37" i="4" s="1"/>
  <c r="N36" i="1" s="1"/>
  <c r="Q36" i="1" s="1"/>
  <c r="W36" i="1" s="1"/>
  <c r="V34" i="4"/>
  <c r="P65" i="107"/>
  <c r="P66" i="107" s="1"/>
  <c r="R64" i="107"/>
  <c r="R65" i="107" s="1"/>
  <c r="D239" i="78"/>
  <c r="C240" i="78"/>
  <c r="M118" i="107"/>
  <c r="M119" i="107" s="1"/>
  <c r="N119" i="107" s="1"/>
  <c r="AA15" i="31" l="1"/>
  <c r="AA17" i="31" s="1"/>
  <c r="AA28" i="31" s="1"/>
  <c r="E25" i="13"/>
  <c r="E390" i="78"/>
  <c r="R163" i="58"/>
  <c r="S163" i="58"/>
  <c r="R169" i="58"/>
  <c r="I53" i="31"/>
  <c r="I54" i="31" s="1"/>
  <c r="I91" i="31"/>
  <c r="B165" i="78"/>
  <c r="U69" i="31"/>
  <c r="C241" i="78"/>
  <c r="D240" i="78"/>
  <c r="H43" i="97"/>
  <c r="J31" i="97" s="1"/>
  <c r="R149" i="31"/>
  <c r="R150" i="31" s="1"/>
  <c r="R151" i="31" s="1"/>
  <c r="O29" i="4"/>
  <c r="O30" i="4" s="1"/>
  <c r="O31" i="4" s="1"/>
  <c r="O41" i="4" s="1"/>
  <c r="P147" i="107"/>
  <c r="J161" i="31"/>
  <c r="A35" i="77"/>
  <c r="N29" i="6"/>
  <c r="B39" i="78"/>
  <c r="C391" i="78"/>
  <c r="A37" i="77"/>
  <c r="B236" i="78"/>
  <c r="AB706" i="62"/>
  <c r="AB708" i="62" s="1"/>
  <c r="Y706" i="62"/>
  <c r="Y708" i="62" s="1"/>
  <c r="J31" i="6"/>
  <c r="K30" i="6"/>
  <c r="L30" i="6" s="1"/>
  <c r="N30" i="6" s="1"/>
  <c r="P168" i="58"/>
  <c r="P171" i="58" s="1"/>
  <c r="Q162" i="58"/>
  <c r="P162" i="58"/>
  <c r="P165" i="58" s="1"/>
  <c r="B317" i="78"/>
  <c r="L91" i="31"/>
  <c r="L93" i="31" s="1"/>
  <c r="L53" i="31"/>
  <c r="I19" i="4" s="1"/>
  <c r="K53" i="31"/>
  <c r="X19" i="4" s="1"/>
  <c r="K91" i="31"/>
  <c r="K93" i="31" s="1"/>
  <c r="K54" i="31"/>
  <c r="U28" i="4"/>
  <c r="AA28" i="4" s="1"/>
  <c r="Z140" i="31"/>
  <c r="AA140" i="31" s="1"/>
  <c r="V135" i="31"/>
  <c r="V26" i="4"/>
  <c r="AA26" i="4" s="1"/>
  <c r="Z128" i="31"/>
  <c r="AA34" i="4"/>
  <c r="N33" i="1" s="1"/>
  <c r="V39" i="4"/>
  <c r="V50" i="4" s="1"/>
  <c r="V53" i="31"/>
  <c r="V19" i="4" s="1"/>
  <c r="V91" i="31"/>
  <c r="V93" i="31" s="1"/>
  <c r="P107" i="107"/>
  <c r="M132" i="107"/>
  <c r="AA75" i="31"/>
  <c r="O117" i="107"/>
  <c r="O40" i="107"/>
  <c r="O41" i="107" s="1"/>
  <c r="E389" i="78"/>
  <c r="V15" i="4"/>
  <c r="AA12" i="4"/>
  <c r="N11" i="1" s="1"/>
  <c r="D312" i="78"/>
  <c r="C313" i="78"/>
  <c r="G15" i="4"/>
  <c r="R12" i="4"/>
  <c r="H11" i="1" s="1"/>
  <c r="B384" i="78"/>
  <c r="B385" i="78" s="1"/>
  <c r="R161" i="31" l="1"/>
  <c r="O44" i="4"/>
  <c r="O47" i="4"/>
  <c r="B388" i="78"/>
  <c r="B386" i="78"/>
  <c r="D18" i="32"/>
  <c r="H18" i="32" s="1"/>
  <c r="I38" i="4" s="1"/>
  <c r="R38" i="4" s="1"/>
  <c r="H37" i="1" s="1"/>
  <c r="E37" i="1"/>
  <c r="N14" i="1"/>
  <c r="N38" i="1"/>
  <c r="Z135" i="31"/>
  <c r="AA128" i="31"/>
  <c r="AA135" i="31" s="1"/>
  <c r="X22" i="4"/>
  <c r="K125" i="31"/>
  <c r="J32" i="6"/>
  <c r="K31" i="6"/>
  <c r="L31" i="6" s="1"/>
  <c r="N31" i="6" s="1"/>
  <c r="J34" i="97"/>
  <c r="J41" i="97"/>
  <c r="J27" i="97"/>
  <c r="J35" i="97"/>
  <c r="J37" i="97"/>
  <c r="J38" i="97"/>
  <c r="J36" i="97"/>
  <c r="J16" i="97"/>
  <c r="J28" i="97"/>
  <c r="J17" i="97"/>
  <c r="J23" i="97"/>
  <c r="J29" i="97"/>
  <c r="J21" i="97"/>
  <c r="J15" i="97"/>
  <c r="J12" i="97"/>
  <c r="J18" i="97"/>
  <c r="J8" i="97"/>
  <c r="J22" i="97"/>
  <c r="J24" i="97"/>
  <c r="O30" i="6"/>
  <c r="Q30" i="6"/>
  <c r="U79" i="31" s="1"/>
  <c r="Z79" i="31" s="1"/>
  <c r="AA79" i="31" s="1"/>
  <c r="AA15" i="4"/>
  <c r="N25" i="1"/>
  <c r="Q25" i="1" s="1"/>
  <c r="W25" i="1" s="1"/>
  <c r="I93" i="31"/>
  <c r="Z91" i="31"/>
  <c r="AA91" i="31" s="1"/>
  <c r="K143" i="31"/>
  <c r="E391" i="78"/>
  <c r="P108" i="107"/>
  <c r="P109" i="107" s="1"/>
  <c r="R107" i="107"/>
  <c r="R108" i="107" s="1"/>
  <c r="B318" i="78"/>
  <c r="R162" i="58"/>
  <c r="R165" i="58" s="1"/>
  <c r="S162" i="58"/>
  <c r="R168" i="58"/>
  <c r="R171" i="58" s="1"/>
  <c r="P39" i="107"/>
  <c r="D313" i="78"/>
  <c r="C314" i="78"/>
  <c r="C392" i="78"/>
  <c r="G19" i="4"/>
  <c r="Z53" i="31"/>
  <c r="K11" i="1"/>
  <c r="K14" i="1" s="1"/>
  <c r="H14" i="1"/>
  <c r="M133" i="107"/>
  <c r="M134" i="107" s="1"/>
  <c r="N134" i="107" s="1"/>
  <c r="M168" i="107"/>
  <c r="M169" i="107" s="1"/>
  <c r="N169" i="107" s="1"/>
  <c r="V22" i="4"/>
  <c r="V125" i="31"/>
  <c r="L54" i="31"/>
  <c r="O29" i="6"/>
  <c r="Q29" i="6"/>
  <c r="D241" i="78"/>
  <c r="C242" i="78"/>
  <c r="AA39" i="4"/>
  <c r="R15" i="4"/>
  <c r="O118" i="107"/>
  <c r="O119" i="107" s="1"/>
  <c r="AA19" i="4"/>
  <c r="N27" i="1"/>
  <c r="Q27" i="1" s="1"/>
  <c r="W27" i="1" s="1"/>
  <c r="B238" i="78"/>
  <c r="B239" i="78" s="1"/>
  <c r="P148" i="107"/>
  <c r="P149" i="107" s="1"/>
  <c r="R147" i="107"/>
  <c r="R148" i="107" s="1"/>
  <c r="V54" i="31"/>
  <c r="I22" i="4"/>
  <c r="L125" i="31"/>
  <c r="B40" i="78"/>
  <c r="Z69" i="31"/>
  <c r="U72" i="31"/>
  <c r="B166" i="78"/>
  <c r="U163" i="58"/>
  <c r="T163" i="58"/>
  <c r="T169" i="58"/>
  <c r="V143" i="31" l="1"/>
  <c r="V149" i="31" s="1"/>
  <c r="V150" i="31" s="1"/>
  <c r="V151" i="31" s="1"/>
  <c r="AC26" i="4"/>
  <c r="AA50" i="4"/>
  <c r="AC28" i="4"/>
  <c r="O132" i="107"/>
  <c r="AA53" i="31"/>
  <c r="Z54" i="31"/>
  <c r="R19" i="4"/>
  <c r="H18" i="1" s="1"/>
  <c r="B320" i="78"/>
  <c r="B319" i="78"/>
  <c r="Q11" i="1"/>
  <c r="K37" i="1"/>
  <c r="Q37" i="1" s="1"/>
  <c r="W37" i="1" s="1"/>
  <c r="N18" i="1"/>
  <c r="AC19" i="4" s="1"/>
  <c r="U77" i="31"/>
  <c r="AC135" i="31"/>
  <c r="B389" i="78"/>
  <c r="D314" i="78"/>
  <c r="C315" i="78"/>
  <c r="G22" i="4"/>
  <c r="R22" i="4" s="1"/>
  <c r="H21" i="1" s="1"/>
  <c r="K21" i="1" s="1"/>
  <c r="I125" i="31"/>
  <c r="I143" i="31" s="1"/>
  <c r="O31" i="6"/>
  <c r="Q31" i="6"/>
  <c r="U81" i="31" s="1"/>
  <c r="Z81" i="31" s="1"/>
  <c r="AA81" i="31" s="1"/>
  <c r="B390" i="78"/>
  <c r="B391" i="78"/>
  <c r="C244" i="78"/>
  <c r="D242" i="78"/>
  <c r="E392" i="78"/>
  <c r="C395" i="78"/>
  <c r="J43" i="97"/>
  <c r="K32" i="6"/>
  <c r="L32" i="6" s="1"/>
  <c r="N32" i="6" s="1"/>
  <c r="J33" i="6"/>
  <c r="C393" i="78"/>
  <c r="AA69" i="31"/>
  <c r="AA72" i="31" s="1"/>
  <c r="Z72" i="31"/>
  <c r="B41" i="78"/>
  <c r="B167" i="78"/>
  <c r="B168" i="78"/>
  <c r="B170" i="78" s="1"/>
  <c r="P117" i="107"/>
  <c r="L143" i="31"/>
  <c r="P40" i="107"/>
  <c r="P41" i="107" s="1"/>
  <c r="R39" i="107"/>
  <c r="K149" i="31"/>
  <c r="K150" i="31" s="1"/>
  <c r="K151" i="31" s="1"/>
  <c r="X29" i="4"/>
  <c r="X30" i="4" s="1"/>
  <c r="X31" i="4" s="1"/>
  <c r="X41" i="4" s="1"/>
  <c r="X44" i="4" s="1"/>
  <c r="V169" i="58"/>
  <c r="V163" i="58"/>
  <c r="W163" i="58"/>
  <c r="B240" i="78"/>
  <c r="AC140" i="31"/>
  <c r="T168" i="58"/>
  <c r="T171" i="58" s="1"/>
  <c r="U162" i="58"/>
  <c r="T162" i="58"/>
  <c r="T165" i="58" s="1"/>
  <c r="V29" i="4" l="1"/>
  <c r="V30" i="4" s="1"/>
  <c r="V31" i="4" s="1"/>
  <c r="V41" i="4" s="1"/>
  <c r="V44" i="4" s="1"/>
  <c r="P118" i="107"/>
  <c r="P119" i="107" s="1"/>
  <c r="R117" i="107"/>
  <c r="R118" i="107" s="1"/>
  <c r="C396" i="78"/>
  <c r="E393" i="78"/>
  <c r="E395" i="78"/>
  <c r="C397" i="78"/>
  <c r="B321" i="78"/>
  <c r="C317" i="78"/>
  <c r="D315" i="78"/>
  <c r="K161" i="31"/>
  <c r="B44" i="78"/>
  <c r="B43" i="78"/>
  <c r="Q14" i="1"/>
  <c r="AC17" i="31"/>
  <c r="O133" i="107"/>
  <c r="O134" i="107" s="1"/>
  <c r="O168" i="107"/>
  <c r="O169" i="107" s="1"/>
  <c r="Z77" i="31"/>
  <c r="AA54" i="31"/>
  <c r="W162" i="58"/>
  <c r="V168" i="58"/>
  <c r="V171" i="58" s="1"/>
  <c r="V162" i="58"/>
  <c r="V165" i="58" s="1"/>
  <c r="I29" i="4"/>
  <c r="I30" i="4" s="1"/>
  <c r="I31" i="4" s="1"/>
  <c r="L149" i="31"/>
  <c r="L150" i="31" s="1"/>
  <c r="L151" i="31" s="1"/>
  <c r="B172" i="78"/>
  <c r="B241" i="78"/>
  <c r="D244" i="78"/>
  <c r="C245" i="78"/>
  <c r="Y163" i="58"/>
  <c r="X163" i="58"/>
  <c r="X169" i="58"/>
  <c r="R40" i="107"/>
  <c r="B173" i="78"/>
  <c r="J34" i="6"/>
  <c r="K33" i="6"/>
  <c r="L33" i="6" s="1"/>
  <c r="N33" i="6" s="1"/>
  <c r="B171" i="78"/>
  <c r="B174" i="78" s="1"/>
  <c r="O32" i="6"/>
  <c r="Q32" i="6"/>
  <c r="U83" i="31" s="1"/>
  <c r="Z83" i="31" s="1"/>
  <c r="AA83" i="31" s="1"/>
  <c r="B392" i="78"/>
  <c r="B393" i="78" s="1"/>
  <c r="G29" i="4"/>
  <c r="R29" i="4" s="1"/>
  <c r="H28" i="1" s="1"/>
  <c r="K28" i="1" s="1"/>
  <c r="I149" i="31"/>
  <c r="I150" i="31" s="1"/>
  <c r="I151" i="31" s="1"/>
  <c r="K18" i="1"/>
  <c r="V161" i="31" l="1"/>
  <c r="V47" i="4"/>
  <c r="U84" i="31"/>
  <c r="U85" i="31" s="1"/>
  <c r="U21" i="4" s="1"/>
  <c r="H29" i="1"/>
  <c r="H30" i="1" s="1"/>
  <c r="Z169" i="58"/>
  <c r="Z163" i="58"/>
  <c r="AA163" i="58"/>
  <c r="AA77" i="31"/>
  <c r="AA84" i="31" s="1"/>
  <c r="AA85" i="31" s="1"/>
  <c r="Z84" i="31"/>
  <c r="Z85" i="31" s="1"/>
  <c r="P132" i="107"/>
  <c r="C318" i="78"/>
  <c r="D317" i="78"/>
  <c r="E397" i="78"/>
  <c r="X168" i="58"/>
  <c r="X171" i="58" s="1"/>
  <c r="Y162" i="58"/>
  <c r="X162" i="58"/>
  <c r="X165" i="58" s="1"/>
  <c r="B395" i="78"/>
  <c r="C398" i="78"/>
  <c r="B242" i="78"/>
  <c r="Q33" i="6"/>
  <c r="U88" i="31" s="1"/>
  <c r="O33" i="6"/>
  <c r="B244" i="78"/>
  <c r="B245" i="78" s="1"/>
  <c r="B323" i="78"/>
  <c r="K29" i="1"/>
  <c r="K30" i="1" s="1"/>
  <c r="G30" i="4"/>
  <c r="J35" i="6"/>
  <c r="K34" i="6"/>
  <c r="L34" i="6" s="1"/>
  <c r="N34" i="6" s="1"/>
  <c r="B176" i="78"/>
  <c r="Q18" i="1"/>
  <c r="C399" i="78"/>
  <c r="E396" i="78"/>
  <c r="D245" i="78"/>
  <c r="C246" i="78"/>
  <c r="L161" i="31"/>
  <c r="B45" i="78"/>
  <c r="D19" i="26"/>
  <c r="AC28" i="31"/>
  <c r="R30" i="4" l="1"/>
  <c r="G31" i="4"/>
  <c r="B396" i="78"/>
  <c r="C247" i="78"/>
  <c r="D246" i="78"/>
  <c r="AC53" i="31"/>
  <c r="E398" i="78"/>
  <c r="C401" i="78"/>
  <c r="P133" i="107"/>
  <c r="P134" i="107" s="1"/>
  <c r="R132" i="107"/>
  <c r="P168" i="107"/>
  <c r="P169" i="107" s="1"/>
  <c r="AB163" i="58"/>
  <c r="AB169" i="58"/>
  <c r="AC163" i="58"/>
  <c r="Z88" i="31"/>
  <c r="B324" i="78"/>
  <c r="B46" i="78"/>
  <c r="B47" i="78" s="1"/>
  <c r="B397" i="78"/>
  <c r="B177" i="78"/>
  <c r="AA162" i="58"/>
  <c r="Z168" i="58"/>
  <c r="Z171" i="58" s="1"/>
  <c r="Z162" i="58"/>
  <c r="Z165" i="58" s="1"/>
  <c r="AA21" i="4"/>
  <c r="O34" i="6"/>
  <c r="Q34" i="6"/>
  <c r="U89" i="31" s="1"/>
  <c r="Z89" i="31" s="1"/>
  <c r="AA89" i="31" s="1"/>
  <c r="B246" i="78"/>
  <c r="E399" i="78"/>
  <c r="C402" i="78"/>
  <c r="J36" i="6"/>
  <c r="K35" i="6"/>
  <c r="L35" i="6" s="1"/>
  <c r="N35" i="6" s="1"/>
  <c r="B325" i="78"/>
  <c r="D318" i="78"/>
  <c r="C319" i="78"/>
  <c r="AA88" i="31" l="1"/>
  <c r="N20" i="1"/>
  <c r="B398" i="78"/>
  <c r="E402" i="78"/>
  <c r="B247" i="78"/>
  <c r="R31" i="4"/>
  <c r="G41" i="4"/>
  <c r="I161" i="31"/>
  <c r="O35" i="6"/>
  <c r="Q35" i="6"/>
  <c r="U90" i="31" s="1"/>
  <c r="Z90" i="31" s="1"/>
  <c r="AA90" i="31" s="1"/>
  <c r="J37" i="6"/>
  <c r="K36" i="6"/>
  <c r="L36" i="6" s="1"/>
  <c r="N36" i="6" s="1"/>
  <c r="B178" i="78"/>
  <c r="B179" i="78"/>
  <c r="B326" i="78"/>
  <c r="R133" i="107"/>
  <c r="R168" i="107"/>
  <c r="R169" i="107" s="1"/>
  <c r="B399" i="78"/>
  <c r="B401" i="78" s="1"/>
  <c r="D319" i="78"/>
  <c r="C320" i="78"/>
  <c r="B49" i="78"/>
  <c r="B50" i="78" s="1"/>
  <c r="AD169" i="58"/>
  <c r="AD163" i="58"/>
  <c r="C403" i="78"/>
  <c r="C404" i="78"/>
  <c r="E401" i="78"/>
  <c r="C248" i="78"/>
  <c r="D247" i="78"/>
  <c r="AB168" i="58"/>
  <c r="AB171" i="58" s="1"/>
  <c r="AC162" i="58"/>
  <c r="AB162" i="58"/>
  <c r="AB165" i="58" s="1"/>
  <c r="G44" i="4" l="1"/>
  <c r="G47" i="4"/>
  <c r="U93" i="31"/>
  <c r="B402" i="78"/>
  <c r="B183" i="78"/>
  <c r="B403" i="78"/>
  <c r="B404" i="78" s="1"/>
  <c r="D248" i="78"/>
  <c r="C250" i="78"/>
  <c r="U22" i="4"/>
  <c r="B248" i="78"/>
  <c r="K37" i="6"/>
  <c r="L37" i="6" s="1"/>
  <c r="N37" i="6" s="1"/>
  <c r="J38" i="6"/>
  <c r="AD162" i="58"/>
  <c r="AD165" i="58" s="1"/>
  <c r="AD168" i="58"/>
  <c r="AD171" i="58" s="1"/>
  <c r="Q20" i="1"/>
  <c r="E404" i="78"/>
  <c r="B327" i="78"/>
  <c r="B180" i="78"/>
  <c r="AC21" i="4"/>
  <c r="Z93" i="31"/>
  <c r="C405" i="78"/>
  <c r="C407" i="78" s="1"/>
  <c r="E403" i="78"/>
  <c r="AA93" i="31"/>
  <c r="B329" i="78"/>
  <c r="C321" i="78"/>
  <c r="D320" i="78"/>
  <c r="B51" i="78"/>
  <c r="B52" i="78" s="1"/>
  <c r="B53" i="78" s="1"/>
  <c r="B182" i="78"/>
  <c r="O36" i="6"/>
  <c r="Q36" i="6"/>
  <c r="U97" i="31" s="1"/>
  <c r="E407" i="78" l="1"/>
  <c r="B330" i="78"/>
  <c r="B331" i="78"/>
  <c r="B250" i="78"/>
  <c r="B251" i="78"/>
  <c r="B252" i="78"/>
  <c r="C323" i="78"/>
  <c r="D321" i="78"/>
  <c r="B184" i="78"/>
  <c r="B185" i="78" s="1"/>
  <c r="W20" i="1"/>
  <c r="AC85" i="31"/>
  <c r="J39" i="6"/>
  <c r="K38" i="6"/>
  <c r="L38" i="6" s="1"/>
  <c r="N38" i="6" s="1"/>
  <c r="B253" i="78"/>
  <c r="B405" i="78"/>
  <c r="O37" i="6"/>
  <c r="Q37" i="6"/>
  <c r="U99" i="31" s="1"/>
  <c r="Z99" i="31" s="1"/>
  <c r="AA99" i="31" s="1"/>
  <c r="E405" i="78"/>
  <c r="C408" i="78"/>
  <c r="C409" i="78" s="1"/>
  <c r="H13" i="32"/>
  <c r="AF165" i="58"/>
  <c r="D13" i="32" s="1"/>
  <c r="C251" i="78"/>
  <c r="D250" i="78"/>
  <c r="Z97" i="31"/>
  <c r="H14" i="32"/>
  <c r="AF171" i="58"/>
  <c r="D14" i="32" s="1"/>
  <c r="E34" i="1" s="1"/>
  <c r="AA22" i="4"/>
  <c r="U100" i="31" l="1"/>
  <c r="U23" i="4" s="1"/>
  <c r="AA23" i="4" s="1"/>
  <c r="B186" i="78"/>
  <c r="E409" i="78"/>
  <c r="N21" i="1"/>
  <c r="E33" i="1"/>
  <c r="E38" i="1" s="1"/>
  <c r="E39" i="1" s="1"/>
  <c r="D15" i="32"/>
  <c r="D19" i="32" s="1"/>
  <c r="B407" i="78"/>
  <c r="C324" i="78"/>
  <c r="D323" i="78"/>
  <c r="C411" i="78"/>
  <c r="E408" i="78"/>
  <c r="I34" i="4"/>
  <c r="H15" i="32"/>
  <c r="H19" i="32" s="1"/>
  <c r="I35" i="4"/>
  <c r="R35" i="4" s="1"/>
  <c r="H34" i="1" s="1"/>
  <c r="K34" i="1" s="1"/>
  <c r="Q34" i="1" s="1"/>
  <c r="W34" i="1" s="1"/>
  <c r="C410" i="78"/>
  <c r="O38" i="6"/>
  <c r="Q38" i="6"/>
  <c r="U104" i="31" s="1"/>
  <c r="B254" i="78"/>
  <c r="B332" i="78"/>
  <c r="Z100" i="31"/>
  <c r="AA97" i="31"/>
  <c r="AA100" i="31" s="1"/>
  <c r="C252" i="78"/>
  <c r="D251" i="78"/>
  <c r="J40" i="6"/>
  <c r="K39" i="6"/>
  <c r="L39" i="6" s="1"/>
  <c r="N39" i="6" s="1"/>
  <c r="E411" i="78" l="1"/>
  <c r="Q21" i="1"/>
  <c r="C253" i="78"/>
  <c r="D252" i="78"/>
  <c r="R34" i="4"/>
  <c r="H33" i="1" s="1"/>
  <c r="I39" i="4"/>
  <c r="U107" i="31"/>
  <c r="Z104" i="31"/>
  <c r="B408" i="78"/>
  <c r="B410" i="78" s="1"/>
  <c r="B409" i="78"/>
  <c r="B333" i="78"/>
  <c r="B335" i="78"/>
  <c r="E410" i="78"/>
  <c r="C413" i="78"/>
  <c r="C414" i="78" s="1"/>
  <c r="B188" i="78"/>
  <c r="N22" i="1"/>
  <c r="Q22" i="1" s="1"/>
  <c r="W22" i="1" s="1"/>
  <c r="O39" i="6"/>
  <c r="Q39" i="6"/>
  <c r="K40" i="6"/>
  <c r="L40" i="6" s="1"/>
  <c r="N40" i="6" s="1"/>
  <c r="J41" i="6"/>
  <c r="B256" i="78"/>
  <c r="D324" i="78"/>
  <c r="C325" i="78"/>
  <c r="AC22" i="4"/>
  <c r="AC100" i="31" l="1"/>
  <c r="AC23" i="4"/>
  <c r="E414" i="78"/>
  <c r="AC93" i="31"/>
  <c r="B189" i="78"/>
  <c r="B337" i="78"/>
  <c r="B411" i="78"/>
  <c r="B413" i="78" s="1"/>
  <c r="B257" i="78"/>
  <c r="B258" i="78"/>
  <c r="B259" i="78" s="1"/>
  <c r="B336" i="78"/>
  <c r="I41" i="4"/>
  <c r="R39" i="4"/>
  <c r="AC39" i="4" s="1"/>
  <c r="AC50" i="4" s="1"/>
  <c r="U24" i="4"/>
  <c r="AA24" i="4" s="1"/>
  <c r="D325" i="78"/>
  <c r="C326" i="78"/>
  <c r="H38" i="1"/>
  <c r="K33" i="1"/>
  <c r="J75" i="6"/>
  <c r="K41" i="6"/>
  <c r="O40" i="6"/>
  <c r="Q40" i="6"/>
  <c r="U111" i="31" s="1"/>
  <c r="Z111" i="31" s="1"/>
  <c r="AA111" i="31" s="1"/>
  <c r="E413" i="78"/>
  <c r="C415" i="78"/>
  <c r="AA104" i="31"/>
  <c r="AA107" i="31" s="1"/>
  <c r="Z107" i="31"/>
  <c r="C254" i="78"/>
  <c r="D253" i="78"/>
  <c r="I44" i="4" l="1"/>
  <c r="R44" i="4" s="1"/>
  <c r="I47" i="4"/>
  <c r="R41" i="4"/>
  <c r="R47" i="4" s="1"/>
  <c r="R50" i="4"/>
  <c r="B414" i="78"/>
  <c r="B415" i="78" s="1"/>
  <c r="K38" i="1"/>
  <c r="K39" i="1" s="1"/>
  <c r="Q33" i="1"/>
  <c r="J76" i="6"/>
  <c r="K75" i="6"/>
  <c r="C327" i="78"/>
  <c r="D326" i="78"/>
  <c r="B260" i="78"/>
  <c r="B262" i="78" s="1"/>
  <c r="B190" i="78"/>
  <c r="L41" i="6"/>
  <c r="K42" i="6"/>
  <c r="N23" i="1"/>
  <c r="AC24" i="4" s="1"/>
  <c r="C256" i="78"/>
  <c r="D254" i="78"/>
  <c r="E415" i="78"/>
  <c r="B338" i="78"/>
  <c r="B339" i="78" s="1"/>
  <c r="N41" i="6" l="1"/>
  <c r="L42" i="6"/>
  <c r="B263" i="78"/>
  <c r="C329" i="78"/>
  <c r="D327" i="78"/>
  <c r="Q38" i="1"/>
  <c r="D7" i="26" s="1"/>
  <c r="D10" i="26" s="1"/>
  <c r="W33" i="1"/>
  <c r="W38" i="1" s="1"/>
  <c r="B16" i="24" s="1"/>
  <c r="D16" i="24" s="1"/>
  <c r="F16" i="24" s="1"/>
  <c r="H16" i="24" s="1"/>
  <c r="T143" i="31" s="1"/>
  <c r="B264" i="78"/>
  <c r="C257" i="78"/>
  <c r="D256" i="78"/>
  <c r="L75" i="6"/>
  <c r="B191" i="78"/>
  <c r="B192" i="78" s="1"/>
  <c r="K76" i="6"/>
  <c r="L76" i="6" s="1"/>
  <c r="J77" i="6"/>
  <c r="Q23" i="1"/>
  <c r="B341" i="78"/>
  <c r="B342" i="78" s="1"/>
  <c r="J78" i="6" l="1"/>
  <c r="K77" i="6"/>
  <c r="L77" i="6" s="1"/>
  <c r="O41" i="6"/>
  <c r="O42" i="6" s="1"/>
  <c r="Q41" i="6"/>
  <c r="N42" i="6"/>
  <c r="T29" i="4"/>
  <c r="T149" i="31"/>
  <c r="T150" i="31" s="1"/>
  <c r="T151" i="31" s="1"/>
  <c r="N75" i="6"/>
  <c r="O75" i="6" s="1"/>
  <c r="D257" i="78"/>
  <c r="C258" i="78"/>
  <c r="C330" i="78"/>
  <c r="D329" i="78"/>
  <c r="B343" i="78"/>
  <c r="N76" i="6"/>
  <c r="Q76" i="6" s="1"/>
  <c r="B194" i="78"/>
  <c r="W23" i="1"/>
  <c r="AC107" i="31"/>
  <c r="B344" i="78"/>
  <c r="B345" i="78" s="1"/>
  <c r="B265" i="78"/>
  <c r="O76" i="6" l="1"/>
  <c r="U115" i="31"/>
  <c r="Z115" i="31" s="1"/>
  <c r="AA115" i="31" s="1"/>
  <c r="Q42" i="6"/>
  <c r="Q75" i="6"/>
  <c r="T30" i="4"/>
  <c r="D258" i="78"/>
  <c r="C259" i="78"/>
  <c r="N77" i="6"/>
  <c r="Q77" i="6" s="1"/>
  <c r="C331" i="78"/>
  <c r="D330" i="78"/>
  <c r="J79" i="6"/>
  <c r="K78" i="6"/>
  <c r="B195" i="78"/>
  <c r="B266" i="78"/>
  <c r="O77" i="6" l="1"/>
  <c r="T31" i="4"/>
  <c r="K79" i="6"/>
  <c r="L79" i="6" s="1"/>
  <c r="J80" i="6"/>
  <c r="C332" i="78"/>
  <c r="D331" i="78"/>
  <c r="B268" i="78"/>
  <c r="B269" i="78" s="1"/>
  <c r="B196" i="78"/>
  <c r="B197" i="78" s="1"/>
  <c r="L78" i="6"/>
  <c r="C260" i="78"/>
  <c r="D259" i="78"/>
  <c r="C262" i="78" l="1"/>
  <c r="D260" i="78"/>
  <c r="J81" i="6"/>
  <c r="K80" i="6"/>
  <c r="L80" i="6" s="1"/>
  <c r="N79" i="6"/>
  <c r="Q79" i="6" s="1"/>
  <c r="T41" i="4"/>
  <c r="T161" i="31"/>
  <c r="C333" i="78"/>
  <c r="D332" i="78"/>
  <c r="N78" i="6"/>
  <c r="B270" i="78"/>
  <c r="B271" i="78" s="1"/>
  <c r="B272" i="78" s="1"/>
  <c r="B273" i="78" s="1"/>
  <c r="B198" i="78"/>
  <c r="B199" i="78" s="1"/>
  <c r="T44" i="4" l="1"/>
  <c r="T47" i="4"/>
  <c r="AA47" i="4" s="1"/>
  <c r="J82" i="6"/>
  <c r="K81" i="6"/>
  <c r="L81" i="6" s="1"/>
  <c r="N80" i="6"/>
  <c r="Q80" i="6" s="1"/>
  <c r="O80" i="6"/>
  <c r="Q78" i="6"/>
  <c r="C335" i="78"/>
  <c r="D333" i="78"/>
  <c r="O78" i="6"/>
  <c r="O79" i="6"/>
  <c r="C263" i="78"/>
  <c r="D262" i="78"/>
  <c r="D263" i="78" l="1"/>
  <c r="C264" i="78"/>
  <c r="N81" i="6"/>
  <c r="O81" i="6" s="1"/>
  <c r="D335" i="78"/>
  <c r="C336" i="78"/>
  <c r="J83" i="6"/>
  <c r="K82" i="6"/>
  <c r="L82" i="6" s="1"/>
  <c r="Q81" i="6" l="1"/>
  <c r="N82" i="6"/>
  <c r="Q82" i="6" s="1"/>
  <c r="K83" i="6"/>
  <c r="L83" i="6" s="1"/>
  <c r="J84" i="6"/>
  <c r="C265" i="78"/>
  <c r="D264" i="78"/>
  <c r="D336" i="78"/>
  <c r="C337" i="78"/>
  <c r="D265" i="78" l="1"/>
  <c r="C266" i="78"/>
  <c r="N83" i="6"/>
  <c r="Q83" i="6" s="1"/>
  <c r="O82" i="6"/>
  <c r="J85" i="6"/>
  <c r="K84" i="6"/>
  <c r="L84" i="6" s="1"/>
  <c r="D337" i="78"/>
  <c r="C338" i="78"/>
  <c r="N84" i="6" l="1"/>
  <c r="O84" i="6"/>
  <c r="J86" i="6"/>
  <c r="K85" i="6"/>
  <c r="L85" i="6" s="1"/>
  <c r="D266" i="78"/>
  <c r="C268" i="78"/>
  <c r="D338" i="78"/>
  <c r="C339" i="78"/>
  <c r="O83" i="6"/>
  <c r="D268" i="78" l="1"/>
  <c r="C269" i="78"/>
  <c r="N85" i="6"/>
  <c r="Q85" i="6" s="1"/>
  <c r="J87" i="6"/>
  <c r="K86" i="6"/>
  <c r="L86" i="6" s="1"/>
  <c r="C341" i="78"/>
  <c r="D339" i="78"/>
  <c r="Q84" i="6"/>
  <c r="O85" i="6" l="1"/>
  <c r="C342" i="78"/>
  <c r="D341" i="78"/>
  <c r="N86" i="6"/>
  <c r="Q86" i="6" s="1"/>
  <c r="C270" i="78"/>
  <c r="D269" i="78"/>
  <c r="J88" i="6"/>
  <c r="K87" i="6"/>
  <c r="L87" i="6" s="1"/>
  <c r="O86" i="6" l="1"/>
  <c r="C271" i="78"/>
  <c r="D270" i="78"/>
  <c r="N87" i="6"/>
  <c r="Q87" i="6" s="1"/>
  <c r="K88" i="6"/>
  <c r="L88" i="6" s="1"/>
  <c r="J89" i="6"/>
  <c r="C343" i="78"/>
  <c r="D342" i="78"/>
  <c r="O87" i="6" l="1"/>
  <c r="N88" i="6"/>
  <c r="Q88" i="6" s="1"/>
  <c r="J90" i="6"/>
  <c r="K89" i="6"/>
  <c r="L89" i="6" s="1"/>
  <c r="C344" i="78"/>
  <c r="D343" i="78"/>
  <c r="D271" i="78"/>
  <c r="C272" i="78"/>
  <c r="C345" i="78" l="1"/>
  <c r="D344" i="78"/>
  <c r="D272" i="78"/>
  <c r="C273" i="78"/>
  <c r="N89" i="6"/>
  <c r="Q89" i="6" s="1"/>
  <c r="J91" i="6"/>
  <c r="K90" i="6"/>
  <c r="L90" i="6" s="1"/>
  <c r="O88" i="6"/>
  <c r="O89" i="6" l="1"/>
  <c r="D273" i="78"/>
  <c r="N90" i="6"/>
  <c r="Q90" i="6" s="1"/>
  <c r="O90" i="6"/>
  <c r="J92" i="6"/>
  <c r="K91" i="6"/>
  <c r="L91" i="6" s="1"/>
  <c r="D345" i="78"/>
  <c r="C346" i="78"/>
  <c r="K92" i="6" l="1"/>
  <c r="L92" i="6" s="1"/>
  <c r="J93" i="6"/>
  <c r="D346" i="78"/>
  <c r="N91" i="6"/>
  <c r="Q91" i="6" s="1"/>
  <c r="O91" i="6"/>
  <c r="J94" i="6" l="1"/>
  <c r="K93" i="6"/>
  <c r="L93" i="6" s="1"/>
  <c r="N92" i="6"/>
  <c r="Q92" i="6" s="1"/>
  <c r="O92" i="6" l="1"/>
  <c r="N93" i="6"/>
  <c r="Q93" i="6" s="1"/>
  <c r="O93" i="6"/>
  <c r="J95" i="6"/>
  <c r="K94" i="6"/>
  <c r="L94" i="6" s="1"/>
  <c r="N94" i="6" l="1"/>
  <c r="Q94" i="6" s="1"/>
  <c r="K95" i="6"/>
  <c r="L95" i="6" s="1"/>
  <c r="J96" i="6"/>
  <c r="K96" i="6" l="1"/>
  <c r="L96" i="6" s="1"/>
  <c r="J97" i="6"/>
  <c r="N95" i="6"/>
  <c r="Q95" i="6" s="1"/>
  <c r="O95" i="6"/>
  <c r="O94" i="6"/>
  <c r="J98" i="6" l="1"/>
  <c r="K97" i="6"/>
  <c r="L97" i="6" s="1"/>
  <c r="N96" i="6"/>
  <c r="Q96" i="6" s="1"/>
  <c r="O96" i="6" l="1"/>
  <c r="N97" i="6"/>
  <c r="Q97" i="6" s="1"/>
  <c r="O97" i="6"/>
  <c r="J99" i="6"/>
  <c r="K98" i="6"/>
  <c r="L98" i="6" s="1"/>
  <c r="K99" i="6" l="1"/>
  <c r="L99" i="6" s="1"/>
  <c r="J100" i="6"/>
  <c r="N98" i="6"/>
  <c r="Q98" i="6" s="1"/>
  <c r="O98" i="6" l="1"/>
  <c r="K100" i="6"/>
  <c r="L100" i="6" s="1"/>
  <c r="J101" i="6"/>
  <c r="N99" i="6"/>
  <c r="Q99" i="6" s="1"/>
  <c r="O99" i="6" l="1"/>
  <c r="J102" i="6"/>
  <c r="K101" i="6"/>
  <c r="L101" i="6" s="1"/>
  <c r="N100" i="6"/>
  <c r="Q100" i="6" s="1"/>
  <c r="N101" i="6" l="1"/>
  <c r="Q101" i="6" s="1"/>
  <c r="O101" i="6"/>
  <c r="O100" i="6"/>
  <c r="J103" i="6"/>
  <c r="K102" i="6"/>
  <c r="L102" i="6" s="1"/>
  <c r="N102" i="6" l="1"/>
  <c r="Q102" i="6" s="1"/>
  <c r="K103" i="6"/>
  <c r="L103" i="6" s="1"/>
  <c r="J104" i="6"/>
  <c r="N103" i="6" l="1"/>
  <c r="Q103" i="6" s="1"/>
  <c r="O103" i="6"/>
  <c r="K104" i="6"/>
  <c r="L104" i="6" s="1"/>
  <c r="J105" i="6"/>
  <c r="O102" i="6"/>
  <c r="J106" i="6" l="1"/>
  <c r="K105" i="6"/>
  <c r="L105" i="6" s="1"/>
  <c r="N104" i="6"/>
  <c r="Q104" i="6" s="1"/>
  <c r="O104" i="6" l="1"/>
  <c r="N105" i="6"/>
  <c r="Q105" i="6" s="1"/>
  <c r="J107" i="6"/>
  <c r="K106" i="6"/>
  <c r="L106" i="6" s="1"/>
  <c r="O105" i="6" l="1"/>
  <c r="N106" i="6"/>
  <c r="Q106" i="6" s="1"/>
  <c r="K107" i="6"/>
  <c r="L107" i="6" s="1"/>
  <c r="J108" i="6"/>
  <c r="N107" i="6" l="1"/>
  <c r="Q107" i="6" s="1"/>
  <c r="O107" i="6"/>
  <c r="K108" i="6"/>
  <c r="L108" i="6" s="1"/>
  <c r="J109" i="6"/>
  <c r="O106" i="6"/>
  <c r="J110" i="6" l="1"/>
  <c r="K110" i="6" s="1"/>
  <c r="K109" i="6"/>
  <c r="L109" i="6" s="1"/>
  <c r="N108" i="6"/>
  <c r="Q108" i="6" s="1"/>
  <c r="O108" i="6" l="1"/>
  <c r="N109" i="6"/>
  <c r="Q109" i="6" s="1"/>
  <c r="O109" i="6"/>
  <c r="L110" i="6"/>
  <c r="K111" i="6"/>
  <c r="O3" i="6" s="1"/>
  <c r="O4" i="6" s="1"/>
  <c r="N110" i="6" l="1"/>
  <c r="O110" i="6"/>
  <c r="O111" i="6" s="1"/>
  <c r="L111" i="6"/>
  <c r="Q110" i="6" l="1"/>
  <c r="Q111" i="6" s="1"/>
  <c r="U110" i="31" s="1"/>
  <c r="N111" i="6"/>
  <c r="U121" i="31" l="1"/>
  <c r="U123" i="31" s="1"/>
  <c r="Z110" i="31"/>
  <c r="Z121" i="31" l="1"/>
  <c r="Z123" i="31" s="1"/>
  <c r="AA110" i="31"/>
  <c r="AA121" i="31" s="1"/>
  <c r="AA123" i="31" s="1"/>
  <c r="U25" i="4"/>
  <c r="AA25" i="4" s="1"/>
  <c r="U125" i="31"/>
  <c r="U143" i="31" s="1"/>
  <c r="AA125" i="31" l="1"/>
  <c r="U149" i="31"/>
  <c r="U150" i="31" s="1"/>
  <c r="U151" i="31" s="1"/>
  <c r="U29" i="4"/>
  <c r="Z143" i="31"/>
  <c r="N24" i="1"/>
  <c r="Q24" i="1" s="1"/>
  <c r="W24" i="1" s="1"/>
  <c r="Z125" i="31"/>
  <c r="AC25" i="4" l="1"/>
  <c r="AC123" i="31"/>
  <c r="Z149" i="31"/>
  <c r="Z150" i="31" s="1"/>
  <c r="AA143" i="31"/>
  <c r="AA149" i="31" s="1"/>
  <c r="U30" i="4"/>
  <c r="AA29" i="4"/>
  <c r="AA150" i="31" l="1"/>
  <c r="N28" i="1"/>
  <c r="AC29" i="4" s="1"/>
  <c r="U31" i="4"/>
  <c r="AA30" i="4"/>
  <c r="Z151" i="31"/>
  <c r="U41" i="4" l="1"/>
  <c r="AA31" i="4"/>
  <c r="U161" i="31"/>
  <c r="Q28" i="1"/>
  <c r="N29" i="1"/>
  <c r="AA151" i="31"/>
  <c r="U44" i="4" l="1"/>
  <c r="U47" i="4"/>
  <c r="AA41" i="4"/>
  <c r="Q29" i="1"/>
  <c r="AC149" i="31"/>
  <c r="Z161" i="31"/>
  <c r="N30" i="1"/>
  <c r="AC151" i="31" s="1"/>
  <c r="AC150" i="31"/>
  <c r="AA44" i="4"/>
  <c r="AC30" i="4"/>
  <c r="AC31" i="4" l="1"/>
  <c r="Q30" i="1"/>
  <c r="D11" i="26" s="1"/>
  <c r="AD150" i="31"/>
  <c r="D13" i="26" l="1"/>
  <c r="D17" i="26" s="1"/>
  <c r="Q39" i="1"/>
  <c r="AD151" i="31"/>
  <c r="T11" i="1" l="1"/>
  <c r="D21" i="26"/>
  <c r="T14" i="1" l="1"/>
  <c r="W11" i="1"/>
  <c r="W14" i="1" l="1"/>
  <c r="T21" i="1"/>
  <c r="W21" i="1" s="1"/>
  <c r="T18" i="1"/>
  <c r="W18" i="1" l="1"/>
  <c r="L43" i="97"/>
  <c r="K31" i="97"/>
  <c r="L31" i="97" s="1"/>
  <c r="K27" i="97"/>
  <c r="L27" i="97" s="1"/>
  <c r="K28" i="97"/>
  <c r="L28" i="97" s="1"/>
  <c r="F27" i="97" s="1"/>
  <c r="N27" i="97" s="1"/>
  <c r="O27" i="97" s="1"/>
  <c r="K38" i="97"/>
  <c r="L38" i="97" s="1"/>
  <c r="F37" i="97" s="1"/>
  <c r="N37" i="97" s="1"/>
  <c r="O37" i="97" s="1"/>
  <c r="K21" i="97"/>
  <c r="L21" i="97" s="1"/>
  <c r="K22" i="97"/>
  <c r="L22" i="97" s="1"/>
  <c r="F21" i="97" s="1"/>
  <c r="N21" i="97" s="1"/>
  <c r="O21" i="97" s="1"/>
  <c r="K34" i="97"/>
  <c r="L34" i="97" s="1"/>
  <c r="K37" i="97"/>
  <c r="L37" i="97" s="1"/>
  <c r="F36" i="97" s="1"/>
  <c r="N36" i="97" s="1"/>
  <c r="O36" i="97" s="1"/>
  <c r="K23" i="97"/>
  <c r="L23" i="97" s="1"/>
  <c r="F22" i="97" s="1"/>
  <c r="N22" i="97" s="1"/>
  <c r="O22" i="97" s="1"/>
  <c r="K17" i="97"/>
  <c r="L17" i="97" s="1"/>
  <c r="F16" i="97" s="1"/>
  <c r="N16" i="97" s="1"/>
  <c r="O16" i="97" s="1"/>
  <c r="K35" i="97"/>
  <c r="L35" i="97" s="1"/>
  <c r="F34" i="97" s="1"/>
  <c r="N34" i="97" s="1"/>
  <c r="O34" i="97" s="1"/>
  <c r="K41" i="97"/>
  <c r="L41" i="97" s="1"/>
  <c r="K29" i="97"/>
  <c r="L29" i="97" s="1"/>
  <c r="F28" i="97" s="1"/>
  <c r="N28" i="97" s="1"/>
  <c r="O28" i="97" s="1"/>
  <c r="K8" i="97"/>
  <c r="L8" i="97" s="1"/>
  <c r="F7" i="97" s="1"/>
  <c r="N7" i="97" s="1"/>
  <c r="O7" i="97" s="1"/>
  <c r="K36" i="97"/>
  <c r="L36" i="97" s="1"/>
  <c r="F35" i="97" s="1"/>
  <c r="N35" i="97" s="1"/>
  <c r="O35" i="97" s="1"/>
  <c r="K18" i="97"/>
  <c r="L18" i="97" s="1"/>
  <c r="F17" i="97" s="1"/>
  <c r="N17" i="97" s="1"/>
  <c r="O17" i="97" s="1"/>
  <c r="K15" i="97"/>
  <c r="L15" i="97" s="1"/>
  <c r="K24" i="97"/>
  <c r="L24" i="97" s="1"/>
  <c r="F23" i="97" s="1"/>
  <c r="N23" i="97" s="1"/>
  <c r="O23" i="97" s="1"/>
  <c r="K16" i="97"/>
  <c r="L16" i="97" s="1"/>
  <c r="F15" i="97" s="1"/>
  <c r="N15" i="97" s="1"/>
  <c r="O15" i="97" s="1"/>
  <c r="K12" i="97"/>
  <c r="L12" i="97" s="1"/>
  <c r="F11" i="97" s="1"/>
  <c r="N11" i="97" s="1"/>
  <c r="O11" i="97" s="1"/>
  <c r="T28" i="1"/>
  <c r="W28" i="1" s="1"/>
  <c r="H22" i="76" l="1"/>
  <c r="I15" i="97"/>
  <c r="H32" i="76"/>
  <c r="I23" i="97"/>
  <c r="H31" i="76"/>
  <c r="I22" i="97"/>
  <c r="H50" i="76"/>
  <c r="I27" i="97"/>
  <c r="H24" i="76"/>
  <c r="I17" i="97"/>
  <c r="H42" i="76"/>
  <c r="I36" i="97"/>
  <c r="H16" i="76"/>
  <c r="I11" i="97"/>
  <c r="I12" i="97" s="1"/>
  <c r="H40" i="76"/>
  <c r="I34" i="97"/>
  <c r="H23" i="76"/>
  <c r="I16" i="97"/>
  <c r="H41" i="76"/>
  <c r="I35" i="97"/>
  <c r="W29" i="1"/>
  <c r="W30" i="1" s="1"/>
  <c r="W39" i="1" s="1"/>
  <c r="H51" i="76"/>
  <c r="I28" i="97"/>
  <c r="H43" i="76"/>
  <c r="I37" i="97"/>
  <c r="H10" i="76"/>
  <c r="I7" i="97"/>
  <c r="I8" i="97" s="1"/>
  <c r="H30" i="76"/>
  <c r="I21" i="97"/>
  <c r="T29" i="1"/>
  <c r="T30" i="1" s="1"/>
  <c r="I24" i="97" l="1"/>
  <c r="I29" i="97"/>
  <c r="AI318" i="93"/>
  <c r="AJ318" i="93" s="1"/>
  <c r="AK318" i="93" s="1"/>
  <c r="E362" i="78"/>
  <c r="I41" i="76"/>
  <c r="J41" i="76" s="1"/>
  <c r="K41" i="76" s="1"/>
  <c r="AI116" i="93"/>
  <c r="AJ116" i="93" s="1"/>
  <c r="I30" i="76"/>
  <c r="E363" i="78"/>
  <c r="AI319" i="93"/>
  <c r="AJ319" i="93" s="1"/>
  <c r="AK319" i="93" s="1"/>
  <c r="I42" i="76"/>
  <c r="J42" i="76" s="1"/>
  <c r="K42" i="76" s="1"/>
  <c r="AI118" i="93"/>
  <c r="AJ118" i="93" s="1"/>
  <c r="AK118" i="93" s="1"/>
  <c r="I32" i="76"/>
  <c r="J32" i="76" s="1"/>
  <c r="K32" i="76" s="1"/>
  <c r="E71" i="78"/>
  <c r="AI49" i="93"/>
  <c r="AJ49" i="93" s="1"/>
  <c r="I16" i="76"/>
  <c r="AI117" i="93"/>
  <c r="AJ117" i="93" s="1"/>
  <c r="AK117" i="93" s="1"/>
  <c r="I31" i="76"/>
  <c r="J31" i="76" s="1"/>
  <c r="K31" i="76" s="1"/>
  <c r="E215" i="78"/>
  <c r="E141" i="78"/>
  <c r="AI82" i="93"/>
  <c r="AJ82" i="93" s="1"/>
  <c r="AK82" i="93" s="1"/>
  <c r="I23" i="76"/>
  <c r="J23" i="76" s="1"/>
  <c r="K23" i="76" s="1"/>
  <c r="E365" i="78"/>
  <c r="AI320" i="93"/>
  <c r="AJ320" i="93" s="1"/>
  <c r="AK320" i="93" s="1"/>
  <c r="I43" i="76"/>
  <c r="J43" i="76" s="1"/>
  <c r="K43" i="76" s="1"/>
  <c r="I18" i="97"/>
  <c r="E289" i="78"/>
  <c r="AI284" i="93"/>
  <c r="AJ284" i="93" s="1"/>
  <c r="AK284" i="93" s="1"/>
  <c r="I51" i="76"/>
  <c r="J51" i="76" s="1"/>
  <c r="K51" i="76" s="1"/>
  <c r="E13" i="78"/>
  <c r="E14" i="77"/>
  <c r="AI13" i="93"/>
  <c r="AJ13" i="93" s="1"/>
  <c r="I10" i="76"/>
  <c r="E142" i="78"/>
  <c r="E216" i="78"/>
  <c r="AI83" i="93"/>
  <c r="AJ83" i="93" s="1"/>
  <c r="AK83" i="93" s="1"/>
  <c r="I24" i="76"/>
  <c r="J24" i="76" s="1"/>
  <c r="K24" i="76" s="1"/>
  <c r="I38" i="97"/>
  <c r="I41" i="97" s="1"/>
  <c r="AI317" i="93"/>
  <c r="AJ317" i="93" s="1"/>
  <c r="E361" i="78"/>
  <c r="I40" i="76"/>
  <c r="E288" i="78"/>
  <c r="AI283" i="93"/>
  <c r="AJ283" i="93" s="1"/>
  <c r="I50" i="76"/>
  <c r="E140" i="78"/>
  <c r="AI81" i="93"/>
  <c r="AJ81" i="93" s="1"/>
  <c r="E214" i="78"/>
  <c r="I22" i="76"/>
  <c r="I31" i="97" l="1"/>
  <c r="I43" i="97" s="1"/>
  <c r="D21" i="75"/>
  <c r="J22" i="76"/>
  <c r="I25" i="76"/>
  <c r="E33" i="77"/>
  <c r="F33" i="77" s="1"/>
  <c r="G33" i="77" s="1"/>
  <c r="E34" i="77"/>
  <c r="F34" i="77" s="1"/>
  <c r="G34" i="77" s="1"/>
  <c r="E32" i="77"/>
  <c r="F32" i="77" s="1"/>
  <c r="G32" i="77" s="1"/>
  <c r="E23" i="77"/>
  <c r="E25" i="77"/>
  <c r="F25" i="77" s="1"/>
  <c r="G25" i="77" s="1"/>
  <c r="E30" i="77"/>
  <c r="F30" i="77" s="1"/>
  <c r="G30" i="77" s="1"/>
  <c r="E24" i="77"/>
  <c r="F24" i="77" s="1"/>
  <c r="G24" i="77" s="1"/>
  <c r="E28" i="77"/>
  <c r="F28" i="77" s="1"/>
  <c r="G28" i="77" s="1"/>
  <c r="E27" i="77"/>
  <c r="F27" i="77" s="1"/>
  <c r="G27" i="77" s="1"/>
  <c r="E26" i="77"/>
  <c r="F26" i="77" s="1"/>
  <c r="G26" i="77" s="1"/>
  <c r="E29" i="77"/>
  <c r="F29" i="77" s="1"/>
  <c r="G29" i="77" s="1"/>
  <c r="E31" i="77"/>
  <c r="F31" i="77" s="1"/>
  <c r="G31" i="77" s="1"/>
  <c r="D16" i="75"/>
  <c r="J16" i="76"/>
  <c r="I17" i="76"/>
  <c r="D26" i="75"/>
  <c r="J30" i="76"/>
  <c r="I33" i="76"/>
  <c r="D8" i="99"/>
  <c r="H8" i="99" s="1"/>
  <c r="AK13" i="93"/>
  <c r="AK14" i="93" s="1"/>
  <c r="AJ14" i="93"/>
  <c r="E35" i="78"/>
  <c r="F35" i="78" s="1"/>
  <c r="G35" i="78" s="1"/>
  <c r="E53" i="78"/>
  <c r="F53" i="78" s="1"/>
  <c r="G53" i="78" s="1"/>
  <c r="E38" i="78"/>
  <c r="F38" i="78" s="1"/>
  <c r="G38" i="78" s="1"/>
  <c r="E26" i="78"/>
  <c r="F26" i="78" s="1"/>
  <c r="G26" i="78" s="1"/>
  <c r="E45" i="78"/>
  <c r="F45" i="78" s="1"/>
  <c r="G45" i="78" s="1"/>
  <c r="E46" i="78"/>
  <c r="F46" i="78" s="1"/>
  <c r="G46" i="78" s="1"/>
  <c r="E40" i="78"/>
  <c r="F40" i="78" s="1"/>
  <c r="G40" i="78" s="1"/>
  <c r="E29" i="78"/>
  <c r="F29" i="78" s="1"/>
  <c r="G29" i="78" s="1"/>
  <c r="E49" i="78"/>
  <c r="F49" i="78" s="1"/>
  <c r="G49" i="78" s="1"/>
  <c r="E33" i="78"/>
  <c r="F33" i="78" s="1"/>
  <c r="G33" i="78" s="1"/>
  <c r="E52" i="78"/>
  <c r="F52" i="78" s="1"/>
  <c r="G52" i="78" s="1"/>
  <c r="E41" i="78"/>
  <c r="F41" i="78" s="1"/>
  <c r="G41" i="78" s="1"/>
  <c r="E43" i="78"/>
  <c r="F43" i="78" s="1"/>
  <c r="G43" i="78" s="1"/>
  <c r="E21" i="78"/>
  <c r="F21" i="78" s="1"/>
  <c r="G21" i="78" s="1"/>
  <c r="E32" i="78"/>
  <c r="F32" i="78" s="1"/>
  <c r="G32" i="78" s="1"/>
  <c r="E27" i="78"/>
  <c r="F27" i="78" s="1"/>
  <c r="G27" i="78" s="1"/>
  <c r="E28" i="78"/>
  <c r="F28" i="78" s="1"/>
  <c r="G28" i="78" s="1"/>
  <c r="E47" i="78"/>
  <c r="F47" i="78" s="1"/>
  <c r="G47" i="78" s="1"/>
  <c r="E50" i="78"/>
  <c r="F50" i="78" s="1"/>
  <c r="G50" i="78" s="1"/>
  <c r="E44" i="78"/>
  <c r="F44" i="78" s="1"/>
  <c r="G44" i="78" s="1"/>
  <c r="E37" i="78"/>
  <c r="F37" i="78" s="1"/>
  <c r="G37" i="78" s="1"/>
  <c r="E31" i="78"/>
  <c r="F31" i="78" s="1"/>
  <c r="G31" i="78" s="1"/>
  <c r="E51" i="78"/>
  <c r="F51" i="78" s="1"/>
  <c r="G51" i="78" s="1"/>
  <c r="E34" i="78"/>
  <c r="F34" i="78" s="1"/>
  <c r="G34" i="78" s="1"/>
  <c r="E39" i="78"/>
  <c r="F39" i="78" s="1"/>
  <c r="G39" i="78" s="1"/>
  <c r="E23" i="78"/>
  <c r="F23" i="78" s="1"/>
  <c r="G23" i="78" s="1"/>
  <c r="E25" i="78"/>
  <c r="F25" i="78" s="1"/>
  <c r="G25" i="78" s="1"/>
  <c r="F414" i="78"/>
  <c r="G414" i="78" s="1"/>
  <c r="H414" i="78" s="1"/>
  <c r="F413" i="78"/>
  <c r="G413" i="78" s="1"/>
  <c r="H413" i="78" s="1"/>
  <c r="F415" i="78"/>
  <c r="G415" i="78" s="1"/>
  <c r="H415" i="78" s="1"/>
  <c r="AJ50" i="93"/>
  <c r="D10" i="99"/>
  <c r="H10" i="99" s="1"/>
  <c r="AK49" i="93"/>
  <c r="AK50" i="93" s="1"/>
  <c r="AJ119" i="93"/>
  <c r="AK116" i="93"/>
  <c r="AK119" i="93" s="1"/>
  <c r="D14" i="99"/>
  <c r="H14" i="99" s="1"/>
  <c r="AJ84" i="93"/>
  <c r="D12" i="99"/>
  <c r="H12" i="99" s="1"/>
  <c r="AK81" i="93"/>
  <c r="AK84" i="93" s="1"/>
  <c r="E155" i="78"/>
  <c r="F155" i="78" s="1"/>
  <c r="G155" i="78" s="1"/>
  <c r="E150" i="78"/>
  <c r="F150" i="78" s="1"/>
  <c r="G150" i="78" s="1"/>
  <c r="E156" i="78"/>
  <c r="F156" i="78" s="1"/>
  <c r="G156" i="78" s="1"/>
  <c r="E153" i="78"/>
  <c r="F153" i="78" s="1"/>
  <c r="G153" i="78" s="1"/>
  <c r="E154" i="78"/>
  <c r="F154" i="78" s="1"/>
  <c r="G154" i="78" s="1"/>
  <c r="E152" i="78"/>
  <c r="F152" i="78" s="1"/>
  <c r="G152" i="78" s="1"/>
  <c r="E96" i="78"/>
  <c r="F96" i="78" s="1"/>
  <c r="G96" i="78" s="1"/>
  <c r="E99" i="78"/>
  <c r="F99" i="78" s="1"/>
  <c r="G99" i="78" s="1"/>
  <c r="E114" i="78"/>
  <c r="F114" i="78" s="1"/>
  <c r="G114" i="78" s="1"/>
  <c r="E101" i="78"/>
  <c r="F101" i="78" s="1"/>
  <c r="G101" i="78" s="1"/>
  <c r="E90" i="78"/>
  <c r="F90" i="78" s="1"/>
  <c r="G90" i="78" s="1"/>
  <c r="E121" i="78"/>
  <c r="F121" i="78" s="1"/>
  <c r="G121" i="78" s="1"/>
  <c r="E95" i="78"/>
  <c r="F95" i="78" s="1"/>
  <c r="G95" i="78" s="1"/>
  <c r="E116" i="78"/>
  <c r="F116" i="78" s="1"/>
  <c r="G116" i="78" s="1"/>
  <c r="E91" i="78"/>
  <c r="F91" i="78" s="1"/>
  <c r="G91" i="78" s="1"/>
  <c r="E79" i="78"/>
  <c r="F79" i="78" s="1"/>
  <c r="G79" i="78" s="1"/>
  <c r="E118" i="78"/>
  <c r="F118" i="78" s="1"/>
  <c r="G118" i="78" s="1"/>
  <c r="E84" i="78"/>
  <c r="F84" i="78" s="1"/>
  <c r="G84" i="78" s="1"/>
  <c r="E115" i="78"/>
  <c r="F115" i="78" s="1"/>
  <c r="G115" i="78" s="1"/>
  <c r="E108" i="78"/>
  <c r="F108" i="78" s="1"/>
  <c r="G108" i="78" s="1"/>
  <c r="E97" i="78"/>
  <c r="F97" i="78" s="1"/>
  <c r="G97" i="78" s="1"/>
  <c r="E86" i="78"/>
  <c r="F86" i="78" s="1"/>
  <c r="G86" i="78" s="1"/>
  <c r="E105" i="78"/>
  <c r="F105" i="78" s="1"/>
  <c r="G105" i="78" s="1"/>
  <c r="E98" i="78"/>
  <c r="F98" i="78" s="1"/>
  <c r="G98" i="78" s="1"/>
  <c r="E87" i="78"/>
  <c r="F87" i="78" s="1"/>
  <c r="G87" i="78" s="1"/>
  <c r="E109" i="78"/>
  <c r="F109" i="78" s="1"/>
  <c r="G109" i="78" s="1"/>
  <c r="E104" i="78"/>
  <c r="F104" i="78" s="1"/>
  <c r="G104" i="78" s="1"/>
  <c r="E89" i="78"/>
  <c r="F89" i="78" s="1"/>
  <c r="G89" i="78" s="1"/>
  <c r="E113" i="78"/>
  <c r="F113" i="78" s="1"/>
  <c r="G113" i="78" s="1"/>
  <c r="E111" i="78"/>
  <c r="F111" i="78" s="1"/>
  <c r="G111" i="78" s="1"/>
  <c r="E83" i="78"/>
  <c r="F83" i="78" s="1"/>
  <c r="G83" i="78" s="1"/>
  <c r="E81" i="78"/>
  <c r="F81" i="78" s="1"/>
  <c r="G81" i="78" s="1"/>
  <c r="E103" i="78"/>
  <c r="F103" i="78" s="1"/>
  <c r="G103" i="78" s="1"/>
  <c r="E102" i="78"/>
  <c r="F102" i="78" s="1"/>
  <c r="G102" i="78" s="1"/>
  <c r="E85" i="78"/>
  <c r="F85" i="78" s="1"/>
  <c r="G85" i="78" s="1"/>
  <c r="E110" i="78"/>
  <c r="F110" i="78" s="1"/>
  <c r="G110" i="78" s="1"/>
  <c r="E119" i="78"/>
  <c r="F119" i="78" s="1"/>
  <c r="G119" i="78" s="1"/>
  <c r="E93" i="78"/>
  <c r="F93" i="78" s="1"/>
  <c r="G93" i="78" s="1"/>
  <c r="E92" i="78"/>
  <c r="F92" i="78" s="1"/>
  <c r="G92" i="78" s="1"/>
  <c r="E120" i="78"/>
  <c r="F120" i="78" s="1"/>
  <c r="G120" i="78" s="1"/>
  <c r="E107" i="78"/>
  <c r="F107" i="78" s="1"/>
  <c r="G107" i="78" s="1"/>
  <c r="AK317" i="93"/>
  <c r="AK321" i="93" s="1"/>
  <c r="AJ321" i="93"/>
  <c r="E164" i="78"/>
  <c r="F164" i="78" s="1"/>
  <c r="G164" i="78" s="1"/>
  <c r="E168" i="78"/>
  <c r="F168" i="78" s="1"/>
  <c r="G168" i="78" s="1"/>
  <c r="E160" i="78"/>
  <c r="F160" i="78" s="1"/>
  <c r="G160" i="78" s="1"/>
  <c r="E170" i="78"/>
  <c r="F170" i="78" s="1"/>
  <c r="G170" i="78" s="1"/>
  <c r="E167" i="78"/>
  <c r="F167" i="78" s="1"/>
  <c r="G167" i="78" s="1"/>
  <c r="E159" i="78"/>
  <c r="F159" i="78" s="1"/>
  <c r="G159" i="78" s="1"/>
  <c r="E166" i="78"/>
  <c r="F166" i="78" s="1"/>
  <c r="G166" i="78" s="1"/>
  <c r="E158" i="78"/>
  <c r="F158" i="78" s="1"/>
  <c r="G158" i="78" s="1"/>
  <c r="E161" i="78"/>
  <c r="F161" i="78" s="1"/>
  <c r="G161" i="78" s="1"/>
  <c r="E174" i="78"/>
  <c r="F174" i="78" s="1"/>
  <c r="G174" i="78" s="1"/>
  <c r="E172" i="78"/>
  <c r="F172" i="78" s="1"/>
  <c r="G172" i="78" s="1"/>
  <c r="E173" i="78"/>
  <c r="F173" i="78" s="1"/>
  <c r="G173" i="78" s="1"/>
  <c r="E171" i="78"/>
  <c r="F171" i="78" s="1"/>
  <c r="G171" i="78" s="1"/>
  <c r="E165" i="78"/>
  <c r="F165" i="78" s="1"/>
  <c r="G165" i="78" s="1"/>
  <c r="E162" i="78"/>
  <c r="F162" i="78" s="1"/>
  <c r="G162" i="78" s="1"/>
  <c r="E229" i="78"/>
  <c r="F229" i="78" s="1"/>
  <c r="G229" i="78" s="1"/>
  <c r="E226" i="78"/>
  <c r="F226" i="78" s="1"/>
  <c r="G226" i="78" s="1"/>
  <c r="E236" i="78"/>
  <c r="F236" i="78" s="1"/>
  <c r="G236" i="78" s="1"/>
  <c r="E232" i="78"/>
  <c r="F232" i="78" s="1"/>
  <c r="G232" i="78" s="1"/>
  <c r="E233" i="78"/>
  <c r="F233" i="78" s="1"/>
  <c r="G233" i="78" s="1"/>
  <c r="E234" i="78"/>
  <c r="F234" i="78" s="1"/>
  <c r="G234" i="78" s="1"/>
  <c r="E228" i="78"/>
  <c r="F228" i="78" s="1"/>
  <c r="G228" i="78" s="1"/>
  <c r="E224" i="78"/>
  <c r="F224" i="78" s="1"/>
  <c r="G224" i="78" s="1"/>
  <c r="E227" i="78"/>
  <c r="F227" i="78" s="1"/>
  <c r="G227" i="78" s="1"/>
  <c r="E235" i="78"/>
  <c r="F235" i="78" s="1"/>
  <c r="G235" i="78" s="1"/>
  <c r="E230" i="78"/>
  <c r="F230" i="78" s="1"/>
  <c r="G230" i="78" s="1"/>
  <c r="AJ285" i="93"/>
  <c r="D16" i="99"/>
  <c r="H16" i="99" s="1"/>
  <c r="AK283" i="93"/>
  <c r="AK285" i="93" s="1"/>
  <c r="E256" i="78"/>
  <c r="F256" i="78" s="1"/>
  <c r="G256" i="78" s="1"/>
  <c r="E257" i="78"/>
  <c r="F257" i="78" s="1"/>
  <c r="G257" i="78" s="1"/>
  <c r="E258" i="78"/>
  <c r="F258" i="78" s="1"/>
  <c r="G258" i="78" s="1"/>
  <c r="E259" i="78"/>
  <c r="F259" i="78" s="1"/>
  <c r="G259" i="78" s="1"/>
  <c r="E260" i="78"/>
  <c r="F260" i="78" s="1"/>
  <c r="G260" i="78" s="1"/>
  <c r="E262" i="78"/>
  <c r="F262" i="78" s="1"/>
  <c r="G262" i="78" s="1"/>
  <c r="E263" i="78"/>
  <c r="F263" i="78" s="1"/>
  <c r="G263" i="78" s="1"/>
  <c r="E264" i="78"/>
  <c r="F264" i="78" s="1"/>
  <c r="G264" i="78" s="1"/>
  <c r="E265" i="78"/>
  <c r="F265" i="78" s="1"/>
  <c r="G265" i="78" s="1"/>
  <c r="E266" i="78"/>
  <c r="F266" i="78" s="1"/>
  <c r="G266" i="78" s="1"/>
  <c r="E268" i="78"/>
  <c r="F268" i="78" s="1"/>
  <c r="G268" i="78" s="1"/>
  <c r="E269" i="78"/>
  <c r="F269" i="78" s="1"/>
  <c r="G269" i="78" s="1"/>
  <c r="E270" i="78"/>
  <c r="F270" i="78" s="1"/>
  <c r="G270" i="78" s="1"/>
  <c r="E271" i="78"/>
  <c r="F271" i="78" s="1"/>
  <c r="G271" i="78" s="1"/>
  <c r="E272" i="78"/>
  <c r="F272" i="78" s="1"/>
  <c r="G272" i="78" s="1"/>
  <c r="E273" i="78"/>
  <c r="F273" i="78" s="1"/>
  <c r="G273" i="78" s="1"/>
  <c r="E320" i="78"/>
  <c r="F320" i="78" s="1"/>
  <c r="G320" i="78" s="1"/>
  <c r="E313" i="78"/>
  <c r="F313" i="78" s="1"/>
  <c r="G313" i="78" s="1"/>
  <c r="E325" i="78"/>
  <c r="F325" i="78" s="1"/>
  <c r="G325" i="78" s="1"/>
  <c r="E309" i="78"/>
  <c r="F309" i="78" s="1"/>
  <c r="G309" i="78" s="1"/>
  <c r="E305" i="78"/>
  <c r="F305" i="78" s="1"/>
  <c r="G305" i="78" s="1"/>
  <c r="E323" i="78"/>
  <c r="F323" i="78" s="1"/>
  <c r="G323" i="78" s="1"/>
  <c r="E318" i="78"/>
  <c r="F318" i="78" s="1"/>
  <c r="G318" i="78" s="1"/>
  <c r="E314" i="78"/>
  <c r="F314" i="78" s="1"/>
  <c r="G314" i="78" s="1"/>
  <c r="E297" i="78"/>
  <c r="F297" i="78" s="1"/>
  <c r="G297" i="78" s="1"/>
  <c r="E311" i="78"/>
  <c r="F311" i="78" s="1"/>
  <c r="G311" i="78" s="1"/>
  <c r="E302" i="78"/>
  <c r="F302" i="78" s="1"/>
  <c r="G302" i="78" s="1"/>
  <c r="E324" i="78"/>
  <c r="F324" i="78" s="1"/>
  <c r="G324" i="78" s="1"/>
  <c r="E307" i="78"/>
  <c r="F307" i="78" s="1"/>
  <c r="G307" i="78" s="1"/>
  <c r="E326" i="78"/>
  <c r="F326" i="78" s="1"/>
  <c r="G326" i="78" s="1"/>
  <c r="E303" i="78"/>
  <c r="F303" i="78" s="1"/>
  <c r="G303" i="78" s="1"/>
  <c r="E312" i="78"/>
  <c r="F312" i="78" s="1"/>
  <c r="G312" i="78" s="1"/>
  <c r="E299" i="78"/>
  <c r="F299" i="78" s="1"/>
  <c r="G299" i="78" s="1"/>
  <c r="E300" i="78"/>
  <c r="F300" i="78" s="1"/>
  <c r="G300" i="78" s="1"/>
  <c r="E315" i="78"/>
  <c r="F315" i="78" s="1"/>
  <c r="G315" i="78" s="1"/>
  <c r="E321" i="78"/>
  <c r="F321" i="78" s="1"/>
  <c r="G321" i="78" s="1"/>
  <c r="E308" i="78"/>
  <c r="F308" i="78" s="1"/>
  <c r="G308" i="78" s="1"/>
  <c r="E327" i="78"/>
  <c r="F327" i="78" s="1"/>
  <c r="G327" i="78" s="1"/>
  <c r="E319" i="78"/>
  <c r="F319" i="78" s="1"/>
  <c r="G319" i="78" s="1"/>
  <c r="E306" i="78"/>
  <c r="F306" i="78" s="1"/>
  <c r="G306" i="78" s="1"/>
  <c r="E301" i="78"/>
  <c r="F301" i="78" s="1"/>
  <c r="G301" i="78" s="1"/>
  <c r="E317" i="78"/>
  <c r="F317" i="78" s="1"/>
  <c r="G317" i="78" s="1"/>
  <c r="E178" i="78"/>
  <c r="F178" i="78" s="1"/>
  <c r="G178" i="78" s="1"/>
  <c r="E180" i="78"/>
  <c r="F180" i="78" s="1"/>
  <c r="G180" i="78" s="1"/>
  <c r="E184" i="78"/>
  <c r="F184" i="78" s="1"/>
  <c r="G184" i="78" s="1"/>
  <c r="E188" i="78"/>
  <c r="F188" i="78" s="1"/>
  <c r="G188" i="78" s="1"/>
  <c r="E190" i="78"/>
  <c r="F190" i="78" s="1"/>
  <c r="G190" i="78" s="1"/>
  <c r="E195" i="78"/>
  <c r="F195" i="78" s="1"/>
  <c r="G195" i="78" s="1"/>
  <c r="E182" i="78"/>
  <c r="F182" i="78" s="1"/>
  <c r="G182" i="78" s="1"/>
  <c r="E179" i="78"/>
  <c r="F179" i="78" s="1"/>
  <c r="G179" i="78" s="1"/>
  <c r="E194" i="78"/>
  <c r="F194" i="78" s="1"/>
  <c r="G194" i="78" s="1"/>
  <c r="E192" i="78"/>
  <c r="F192" i="78" s="1"/>
  <c r="G192" i="78" s="1"/>
  <c r="E185" i="78"/>
  <c r="F185" i="78" s="1"/>
  <c r="G185" i="78" s="1"/>
  <c r="E189" i="78"/>
  <c r="F189" i="78" s="1"/>
  <c r="G189" i="78" s="1"/>
  <c r="E191" i="78"/>
  <c r="F191" i="78" s="1"/>
  <c r="G191" i="78" s="1"/>
  <c r="E177" i="78"/>
  <c r="F177" i="78" s="1"/>
  <c r="G177" i="78" s="1"/>
  <c r="E176" i="78"/>
  <c r="F176" i="78" s="1"/>
  <c r="G176" i="78" s="1"/>
  <c r="E186" i="78"/>
  <c r="F186" i="78" s="1"/>
  <c r="G186" i="78" s="1"/>
  <c r="E183" i="78"/>
  <c r="F183" i="78" s="1"/>
  <c r="G183" i="78" s="1"/>
  <c r="E196" i="78"/>
  <c r="F196" i="78" s="1"/>
  <c r="G196" i="78" s="1"/>
  <c r="E197" i="78"/>
  <c r="F197" i="78" s="1"/>
  <c r="G197" i="78" s="1"/>
  <c r="E198" i="78"/>
  <c r="F198" i="78" s="1"/>
  <c r="G198" i="78" s="1"/>
  <c r="E199" i="78"/>
  <c r="F199" i="78" s="1"/>
  <c r="G199" i="78" s="1"/>
  <c r="E329" i="78"/>
  <c r="F329" i="78" s="1"/>
  <c r="G329" i="78" s="1"/>
  <c r="E330" i="78"/>
  <c r="F330" i="78" s="1"/>
  <c r="G330" i="78" s="1"/>
  <c r="E331" i="78"/>
  <c r="F331" i="78" s="1"/>
  <c r="G331" i="78" s="1"/>
  <c r="E332" i="78"/>
  <c r="F332" i="78" s="1"/>
  <c r="G332" i="78" s="1"/>
  <c r="E333" i="78"/>
  <c r="F333" i="78" s="1"/>
  <c r="G333" i="78" s="1"/>
  <c r="E335" i="78"/>
  <c r="F335" i="78" s="1"/>
  <c r="G335" i="78" s="1"/>
  <c r="E336" i="78"/>
  <c r="F336" i="78" s="1"/>
  <c r="G336" i="78" s="1"/>
  <c r="E337" i="78"/>
  <c r="F337" i="78" s="1"/>
  <c r="G337" i="78" s="1"/>
  <c r="E338" i="78"/>
  <c r="F338" i="78" s="1"/>
  <c r="G338" i="78" s="1"/>
  <c r="E339" i="78"/>
  <c r="F339" i="78" s="1"/>
  <c r="G339" i="78" s="1"/>
  <c r="E341" i="78"/>
  <c r="F341" i="78" s="1"/>
  <c r="G341" i="78" s="1"/>
  <c r="E342" i="78"/>
  <c r="F342" i="78" s="1"/>
  <c r="G342" i="78" s="1"/>
  <c r="E343" i="78"/>
  <c r="F343" i="78" s="1"/>
  <c r="G343" i="78" s="1"/>
  <c r="E344" i="78"/>
  <c r="F344" i="78" s="1"/>
  <c r="G344" i="78" s="1"/>
  <c r="E345" i="78"/>
  <c r="F345" i="78" s="1"/>
  <c r="G345" i="78" s="1"/>
  <c r="E346" i="78"/>
  <c r="F346" i="78" s="1"/>
  <c r="G346" i="78" s="1"/>
  <c r="E238" i="78"/>
  <c r="F238" i="78" s="1"/>
  <c r="G238" i="78" s="1"/>
  <c r="E239" i="78"/>
  <c r="F239" i="78" s="1"/>
  <c r="G239" i="78" s="1"/>
  <c r="E240" i="78"/>
  <c r="F240" i="78" s="1"/>
  <c r="G240" i="78" s="1"/>
  <c r="E241" i="78"/>
  <c r="F241" i="78" s="1"/>
  <c r="G241" i="78" s="1"/>
  <c r="E242" i="78"/>
  <c r="F242" i="78" s="1"/>
  <c r="G242" i="78" s="1"/>
  <c r="E244" i="78"/>
  <c r="F244" i="78" s="1"/>
  <c r="G244" i="78" s="1"/>
  <c r="E245" i="78"/>
  <c r="F245" i="78" s="1"/>
  <c r="G245" i="78" s="1"/>
  <c r="E246" i="78"/>
  <c r="F246" i="78" s="1"/>
  <c r="G246" i="78" s="1"/>
  <c r="E247" i="78"/>
  <c r="F247" i="78" s="1"/>
  <c r="G247" i="78" s="1"/>
  <c r="E248" i="78"/>
  <c r="F248" i="78" s="1"/>
  <c r="G248" i="78" s="1"/>
  <c r="E250" i="78"/>
  <c r="F250" i="78" s="1"/>
  <c r="G250" i="78" s="1"/>
  <c r="E251" i="78"/>
  <c r="F251" i="78" s="1"/>
  <c r="G251" i="78" s="1"/>
  <c r="E252" i="78"/>
  <c r="F252" i="78" s="1"/>
  <c r="G252" i="78" s="1"/>
  <c r="E253" i="78"/>
  <c r="F253" i="78" s="1"/>
  <c r="G253" i="78" s="1"/>
  <c r="E254" i="78"/>
  <c r="F254" i="78" s="1"/>
  <c r="G254" i="78" s="1"/>
  <c r="F388" i="78"/>
  <c r="G388" i="78" s="1"/>
  <c r="H388" i="78" s="1"/>
  <c r="F390" i="78"/>
  <c r="G390" i="78" s="1"/>
  <c r="H390" i="78" s="1"/>
  <c r="F389" i="78"/>
  <c r="G389" i="78" s="1"/>
  <c r="H389" i="78" s="1"/>
  <c r="F391" i="78"/>
  <c r="G391" i="78" s="1"/>
  <c r="H391" i="78" s="1"/>
  <c r="F392" i="78"/>
  <c r="G392" i="78" s="1"/>
  <c r="H392" i="78" s="1"/>
  <c r="F393" i="78"/>
  <c r="G393" i="78" s="1"/>
  <c r="H393" i="78" s="1"/>
  <c r="F382" i="78"/>
  <c r="G382" i="78" s="1"/>
  <c r="H382" i="78" s="1"/>
  <c r="F383" i="78"/>
  <c r="G383" i="78" s="1"/>
  <c r="H383" i="78" s="1"/>
  <c r="F384" i="78"/>
  <c r="G384" i="78" s="1"/>
  <c r="H384" i="78" s="1"/>
  <c r="F385" i="78"/>
  <c r="G385" i="78" s="1"/>
  <c r="H385" i="78" s="1"/>
  <c r="F386" i="78"/>
  <c r="G386" i="78" s="1"/>
  <c r="H386" i="78" s="1"/>
  <c r="F401" i="78"/>
  <c r="G401" i="78" s="1"/>
  <c r="H401" i="78" s="1"/>
  <c r="F402" i="78"/>
  <c r="G402" i="78" s="1"/>
  <c r="H402" i="78" s="1"/>
  <c r="F404" i="78"/>
  <c r="G404" i="78" s="1"/>
  <c r="H404" i="78" s="1"/>
  <c r="F403" i="78"/>
  <c r="G403" i="78" s="1"/>
  <c r="H403" i="78" s="1"/>
  <c r="F405" i="78"/>
  <c r="G405" i="78" s="1"/>
  <c r="H405" i="78" s="1"/>
  <c r="F407" i="78"/>
  <c r="G407" i="78" s="1"/>
  <c r="H407" i="78" s="1"/>
  <c r="F408" i="78"/>
  <c r="G408" i="78" s="1"/>
  <c r="H408" i="78" s="1"/>
  <c r="F409" i="78"/>
  <c r="G409" i="78" s="1"/>
  <c r="H409" i="78" s="1"/>
  <c r="F410" i="78"/>
  <c r="G410" i="78" s="1"/>
  <c r="H410" i="78" s="1"/>
  <c r="F411" i="78"/>
  <c r="G411" i="78" s="1"/>
  <c r="H411" i="78" s="1"/>
  <c r="F395" i="78"/>
  <c r="G395" i="78" s="1"/>
  <c r="H395" i="78" s="1"/>
  <c r="F396" i="78"/>
  <c r="G396" i="78" s="1"/>
  <c r="H396" i="78" s="1"/>
  <c r="F397" i="78"/>
  <c r="G397" i="78" s="1"/>
  <c r="H397" i="78" s="1"/>
  <c r="F398" i="78"/>
  <c r="G398" i="78" s="1"/>
  <c r="H398" i="78" s="1"/>
  <c r="F399" i="78"/>
  <c r="G399" i="78" s="1"/>
  <c r="H399" i="78" s="1"/>
  <c r="D32" i="75"/>
  <c r="J50" i="76"/>
  <c r="K50" i="76" s="1"/>
  <c r="I52" i="76"/>
  <c r="J52" i="76" s="1"/>
  <c r="D37" i="75"/>
  <c r="J40" i="76"/>
  <c r="K40" i="76" s="1"/>
  <c r="I44" i="76"/>
  <c r="J44" i="76" s="1"/>
  <c r="K44" i="76" s="1"/>
  <c r="D11" i="75"/>
  <c r="J10" i="76"/>
  <c r="I11" i="76"/>
  <c r="AK589" i="93" l="1"/>
  <c r="F23" i="77"/>
  <c r="E35" i="77"/>
  <c r="E37" i="77" s="1"/>
  <c r="G56" i="99"/>
  <c r="I56" i="99"/>
  <c r="K56" i="99"/>
  <c r="J56" i="99"/>
  <c r="O56" i="99"/>
  <c r="M56" i="99"/>
  <c r="F56" i="99"/>
  <c r="H56" i="99"/>
  <c r="E56" i="99"/>
  <c r="N56" i="99"/>
  <c r="L56" i="99"/>
  <c r="D56" i="99"/>
  <c r="K50" i="99"/>
  <c r="N50" i="99"/>
  <c r="O50" i="99"/>
  <c r="M50" i="99"/>
  <c r="G50" i="99"/>
  <c r="F50" i="99"/>
  <c r="D50" i="99"/>
  <c r="H50" i="99"/>
  <c r="L50" i="99"/>
  <c r="J50" i="99"/>
  <c r="I50" i="99"/>
  <c r="E50" i="99"/>
  <c r="K52" i="76"/>
  <c r="E32" i="75"/>
  <c r="F32" i="75" s="1"/>
  <c r="D33" i="75"/>
  <c r="E33" i="75" s="1"/>
  <c r="F33" i="75" s="1"/>
  <c r="K59" i="99"/>
  <c r="D59" i="99"/>
  <c r="J59" i="99"/>
  <c r="M59" i="99"/>
  <c r="G59" i="99"/>
  <c r="I59" i="99"/>
  <c r="E59" i="99"/>
  <c r="N59" i="99"/>
  <c r="O59" i="99"/>
  <c r="L59" i="99"/>
  <c r="H59" i="99"/>
  <c r="F59" i="99"/>
  <c r="K30" i="76"/>
  <c r="J33" i="76"/>
  <c r="K33" i="76" s="1"/>
  <c r="E37" i="75"/>
  <c r="F37" i="75" s="1"/>
  <c r="D38" i="75"/>
  <c r="E38" i="75" s="1"/>
  <c r="F38" i="75" s="1"/>
  <c r="K10" i="76"/>
  <c r="J11" i="76"/>
  <c r="K11" i="76" s="1"/>
  <c r="E26" i="75"/>
  <c r="F26" i="75" s="1"/>
  <c r="D27" i="75"/>
  <c r="E27" i="75" s="1"/>
  <c r="F27" i="75" s="1"/>
  <c r="F53" i="99"/>
  <c r="E53" i="99"/>
  <c r="G53" i="99"/>
  <c r="J53" i="99"/>
  <c r="N53" i="99"/>
  <c r="H53" i="99"/>
  <c r="O53" i="99"/>
  <c r="M53" i="99"/>
  <c r="I53" i="99"/>
  <c r="D53" i="99"/>
  <c r="L53" i="99"/>
  <c r="K53" i="99"/>
  <c r="E11" i="75"/>
  <c r="F11" i="75" s="1"/>
  <c r="D12" i="75"/>
  <c r="F62" i="99"/>
  <c r="D62" i="99"/>
  <c r="M62" i="99"/>
  <c r="H62" i="99"/>
  <c r="K62" i="99"/>
  <c r="N62" i="99"/>
  <c r="L62" i="99"/>
  <c r="I62" i="99"/>
  <c r="O62" i="99"/>
  <c r="G62" i="99"/>
  <c r="E62" i="99"/>
  <c r="J62" i="99"/>
  <c r="K22" i="76"/>
  <c r="J25" i="76"/>
  <c r="K25" i="76" s="1"/>
  <c r="E16" i="75"/>
  <c r="F16" i="75" s="1"/>
  <c r="D17" i="75"/>
  <c r="E17" i="75" s="1"/>
  <c r="F17" i="75" s="1"/>
  <c r="K16" i="76"/>
  <c r="J17" i="76"/>
  <c r="K17" i="76" s="1"/>
  <c r="E21" i="75"/>
  <c r="F21" i="75" s="1"/>
  <c r="D22" i="75"/>
  <c r="E22" i="75" s="1"/>
  <c r="F22" i="75" s="1"/>
  <c r="J57" i="76" l="1"/>
  <c r="K57" i="76" s="1"/>
  <c r="E12" i="75"/>
  <c r="E39" i="75" s="1"/>
  <c r="D39" i="75"/>
  <c r="G23" i="77"/>
  <c r="F35" i="77"/>
  <c r="F37" i="77" s="1"/>
  <c r="G37" i="77" s="1"/>
  <c r="E41" i="75" l="1"/>
  <c r="F12"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tc={16B61CCE-73A8-4707-8C64-7D187BF1C70E}</author>
  </authors>
  <commentList>
    <comment ref="S313" authorId="0" shapeId="0" xr:uid="{16B61CCE-73A8-4707-8C64-7D187BF1C70E}">
      <text>
        <t>[Threaded comment]
Your version of Excel allows you to read this threaded comment; however, any edits to it will get removed if the file is opened in a newer version of Excel. Learn more: https://go.microsoft.com/fwlink/?linkid=870924
Comment:
    Needs to include 916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tc={0F6CF6E9-B4F1-4D40-A2A1-7E4DAFC1313D}</author>
    <author>Cascade Natural Gas</author>
    <author>tc={AFC22D1B-C89B-4869-8E8D-7B543DC6AA30}</author>
  </authors>
  <commentList>
    <comment ref="AA10" authorId="0" shapeId="0" xr:uid="{0F6CF6E9-B4F1-4D40-A2A1-7E4DAFC1313D}">
      <text>
        <t>[Threaded comment]
Your version of Excel allows you to read this threaded comment; however, any edits to it will get removed if the file is opened in a newer version of Excel. Learn more: https://go.microsoft.com/fwlink/?linkid=870924
Comment:
    Low income bill assistance liability</t>
      </text>
    </comment>
    <comment ref="B127" authorId="1" shapeId="0" xr:uid="{5219A80A-9159-4ED1-8F76-7DD046ED5F12}">
      <text>
        <r>
          <rPr>
            <b/>
            <sz val="9"/>
            <color indexed="81"/>
            <rFont val="Tahoma"/>
            <family val="2"/>
          </rPr>
          <t>Cascade Natural Gas:</t>
        </r>
        <r>
          <rPr>
            <sz val="9"/>
            <color indexed="81"/>
            <rFont val="Tahoma"/>
            <family val="2"/>
          </rPr>
          <t xml:space="preserve">
Must blend 511 - 1501s</t>
        </r>
      </text>
    </comment>
    <comment ref="B153" authorId="1" shapeId="0" xr:uid="{B20B0FA6-8815-4885-A426-7433B7006817}">
      <text>
        <r>
          <rPr>
            <b/>
            <sz val="9"/>
            <color indexed="81"/>
            <rFont val="Tahoma"/>
            <family val="2"/>
          </rPr>
          <t>Cascade Natural Gas:</t>
        </r>
        <r>
          <rPr>
            <sz val="9"/>
            <color indexed="81"/>
            <rFont val="Tahoma"/>
            <family val="2"/>
          </rPr>
          <t xml:space="preserve">
Must blend 511 - 1501s</t>
        </r>
      </text>
    </comment>
    <comment ref="B219" authorId="1" shapeId="0" xr:uid="{C8A85319-2293-4AE5-BE6B-AF925421583C}">
      <text>
        <r>
          <rPr>
            <b/>
            <sz val="9"/>
            <color indexed="81"/>
            <rFont val="Tahoma"/>
            <family val="2"/>
          </rPr>
          <t>Cascade Natural Gas:</t>
        </r>
        <r>
          <rPr>
            <sz val="9"/>
            <color indexed="81"/>
            <rFont val="Tahoma"/>
            <family val="2"/>
          </rPr>
          <t xml:space="preserve">
Combined
</t>
        </r>
      </text>
    </comment>
    <comment ref="I430" authorId="2" shapeId="0" xr:uid="{AFC22D1B-C89B-4869-8E8D-7B543DC6AA30}">
      <text>
        <t>[Threaded comment]
Your version of Excel allows you to read this threaded comment; however, any edits to it will get removed if the file is opened in a newer version of Excel. Learn more: https://go.microsoft.com/fwlink/?linkid=870924
Comment:
    WA502-Adjusted in Revenue Reconciliation, cell F19.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tc={5316388D-9D55-4A67-AF8A-5C3148E66F87}</author>
    <author>tc={83560EEB-ED2D-4F8D-9F09-E5D40201EADA}</author>
    <author>tc={FDEB6750-CFD0-40C7-9A24-BBB64E0D8DE6}</author>
    <author>tc={F8F55C9B-AF4D-4083-BA1D-644B7D2BCDCA}</author>
    <author>tc={B9F9BFD2-C533-4E85-9AF8-7956B200ECBE}</author>
    <author>tc={98B62C50-B9DD-4A98-A28C-E7CFDC2AB039}</author>
    <author>tc={266E56CC-EA47-4ACB-9FFE-114DA4206F63}</author>
  </authors>
  <commentList>
    <comment ref="E19" authorId="0" shapeId="0" xr:uid="{5316388D-9D55-4A67-AF8A-5C3148E66F87}">
      <text>
        <t>[Threaded comment]
Your version of Excel allows you to read this threaded comment; however, any edits to it will get removed if the file is opened in a newer version of Excel. Learn more: https://go.microsoft.com/fwlink/?linkid=870924
Comment:
    502(R) ADJUSTMENT</t>
      </text>
    </comment>
    <comment ref="F19" authorId="1" shapeId="0" xr:uid="{83560EEB-ED2D-4F8D-9F09-E5D40201EADA}">
      <text>
        <t>[Threaded comment]
Your version of Excel allows you to read this threaded comment; however, any edits to it will get removed if the file is opened in a newer version of Excel. Learn more: https://go.microsoft.com/fwlink/?linkid=870924
Comment:
    502(R) ADJUSTMENT</t>
      </text>
    </comment>
    <comment ref="H19" authorId="2" shapeId="0" xr:uid="{FDEB6750-CFD0-40C7-9A24-BBB64E0D8DE6}">
      <text>
        <t>[Threaded comment]
Your version of Excel allows you to read this threaded comment; however, any edits to it will get removed if the file is opened in a newer version of Excel. Learn more: https://go.microsoft.com/fwlink/?linkid=870924
Comment:
    502(R) ADJUSTMENT</t>
      </text>
    </comment>
    <comment ref="O19" authorId="3" shapeId="0" xr:uid="{F8F55C9B-AF4D-4083-BA1D-644B7D2BCDCA}">
      <text>
        <t>[Threaded comment]
Your version of Excel allows you to read this threaded comment; however, any edits to it will get removed if the file is opened in a newer version of Excel. Learn more: https://go.microsoft.com/fwlink/?linkid=870924
Comment:
    502R ADJUSTMENT</t>
      </text>
    </comment>
    <comment ref="N159" authorId="4" shapeId="0" xr:uid="{B9F9BFD2-C533-4E85-9AF8-7956B200ECBE}">
      <text>
        <t>[Threaded comment]
Your version of Excel allows you to read this threaded comment; however, any edits to it will get removed if the file is opened in a newer version of Excel. Learn more: https://go.microsoft.com/fwlink/?linkid=870924
Comment:
    05LV(4809)</t>
      </text>
    </comment>
    <comment ref="P399" authorId="5" shapeId="0" xr:uid="{98B62C50-B9DD-4A98-A28C-E7CFDC2AB039}">
      <text>
        <t>[Threaded comment]
Your version of Excel allows you to read this threaded comment; however, any edits to it will get removed if the file is opened in a newer version of Excel. Learn more: https://go.microsoft.com/fwlink/?linkid=870924
Comment:
    This value is a reverse value of the difference from CNGCWA908.</t>
      </text>
    </comment>
    <comment ref="P419" authorId="6" shapeId="0" xr:uid="{266E56CC-EA47-4ACB-9FFE-114DA4206F63}">
      <text>
        <t>[Threaded comment]
Your version of Excel allows you to read this threaded comment; however, any edits to it will get removed if the file is opened in a newer version of Excel. Learn more: https://go.microsoft.com/fwlink/?linkid=870924
Comment:
    Mirror adjustment with WA903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Ryan, Christopher</author>
  </authors>
  <commentList>
    <comment ref="D8" authorId="0" shapeId="0" xr:uid="{8127901F-5F00-45FC-8ED0-55A23522531E}">
      <text>
        <r>
          <rPr>
            <b/>
            <sz val="9"/>
            <color indexed="81"/>
            <rFont val="Tahoma"/>
            <family val="2"/>
          </rPr>
          <t>Ryan, Christopher:</t>
        </r>
        <r>
          <rPr>
            <sz val="9"/>
            <color indexed="81"/>
            <rFont val="Tahoma"/>
            <family val="2"/>
          </rPr>
          <t xml:space="preserve">
MOVED TO 503 BELOW</t>
        </r>
      </text>
    </comment>
    <comment ref="D151" authorId="0" shapeId="0" xr:uid="{61D912AF-3355-4164-A96F-CDD258D81D88}">
      <text>
        <r>
          <rPr>
            <b/>
            <sz val="9"/>
            <color indexed="81"/>
            <rFont val="Tahoma"/>
            <family val="2"/>
          </rPr>
          <t>Ryan, Christopher:</t>
        </r>
        <r>
          <rPr>
            <sz val="9"/>
            <color indexed="81"/>
            <rFont val="Tahoma"/>
            <family val="2"/>
          </rPr>
          <t xml:space="preserve">
MOVED TO 570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Cascade Natural Gas</author>
    <author>tc={5F543D96-E48D-43DD-8D13-BD2270702666}</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B19" authorId="1" shapeId="0" xr:uid="{5F543D96-E48D-43DD-8D13-BD2270702666}">
      <text>
        <t>[Threaded comment]
Your version of Excel allows you to read this threaded comment; however, any edits to it will get removed if the file is opened in a newer version of Excel. Learn more: https://go.microsoft.com/fwlink/?linkid=870924
Comment:
    Missing $1.7M of resources group from MDU.</t>
      </text>
    </comment>
    <comment ref="C65" authorId="2"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Macias</author>
  </authors>
  <commentList>
    <comment ref="C28" authorId="0" shapeId="0" xr:uid="{13E0A704-B429-4ACA-B7E4-8A4C84E95EF5}">
      <text>
        <r>
          <rPr>
            <b/>
            <sz val="9"/>
            <color indexed="81"/>
            <rFont val="Tahoma"/>
            <family val="2"/>
          </rPr>
          <t>Macias:</t>
        </r>
        <r>
          <rPr>
            <sz val="9"/>
            <color indexed="81"/>
            <rFont val="Tahoma"/>
            <family val="2"/>
          </rPr>
          <t xml:space="preserve">
this is commercial and industrial combined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Greg Macias</author>
  </authors>
  <commentList>
    <comment ref="D15" authorId="0" shapeId="0" xr:uid="{0FEE082A-9260-4F97-8729-92A8F93C8DA4}">
      <text>
        <r>
          <rPr>
            <b/>
            <sz val="9"/>
            <color indexed="81"/>
            <rFont val="Tahoma"/>
            <family val="2"/>
          </rPr>
          <t>Greg Macias:</t>
        </r>
        <r>
          <rPr>
            <sz val="9"/>
            <color indexed="81"/>
            <rFont val="Tahoma"/>
            <family val="2"/>
          </rPr>
          <t xml:space="preserve">
Schedule 177
</t>
        </r>
      </text>
    </comment>
  </commentList>
</comments>
</file>

<file path=xl/sharedStrings.xml><?xml version="1.0" encoding="utf-8"?>
<sst xmlns="http://schemas.openxmlformats.org/spreadsheetml/2006/main" count="8807" uniqueCount="3398">
  <si>
    <t>Adjustments</t>
  </si>
  <si>
    <t>Adjusted</t>
  </si>
  <si>
    <t>Company</t>
  </si>
  <si>
    <t>SUMMARY SHEET</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</si>
  <si>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</si>
  <si>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</si>
  <si>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</si>
  <si>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</si>
  <si>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</si>
  <si>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</si>
  <si>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</si>
  <si>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</si>
  <si>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</si>
  <si>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</si>
  <si>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</si>
  <si>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</si>
  <si>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</si>
  <si>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</si>
  <si>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</si>
  <si>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</si>
  <si>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</si>
  <si>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</si>
  <si>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</si>
  <si>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</si>
  <si>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</si>
  <si>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</si>
  <si>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</si>
  <si>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</si>
  <si>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</si>
  <si>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</si>
  <si>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</si>
  <si>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</si>
  <si>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</si>
  <si>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</si>
  <si>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</si>
  <si>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</si>
  <si>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</si>
  <si>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</si>
  <si>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</si>
  <si>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</si>
  <si>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</si>
  <si>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</si>
  <si>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</si>
  <si>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</si>
  <si>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</si>
  <si>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</si>
  <si>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</si>
  <si>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</si>
  <si>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</si>
  <si>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</si>
  <si>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</si>
  <si>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</si>
  <si>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Cascade Natural Gas Corporation</t>
  </si>
  <si>
    <t>Promotional</t>
  </si>
  <si>
    <t>Adjustment</t>
  </si>
  <si>
    <t xml:space="preserve">Interest </t>
  </si>
  <si>
    <t>Coordination</t>
  </si>
  <si>
    <t>Additions</t>
  </si>
  <si>
    <t>Total Income Taxes</t>
  </si>
  <si>
    <t>Increase</t>
  </si>
  <si>
    <t>Adjusted Rate Base</t>
  </si>
  <si>
    <t>Required Return (ln 1 x ln 2)</t>
  </si>
  <si>
    <t>Adjusted Net Income</t>
  </si>
  <si>
    <t>Conversion Factor</t>
  </si>
  <si>
    <t>Revenue Increase Required (ln 5 / ln 6)</t>
  </si>
  <si>
    <t>Required Net Income Increase (ln 3 - ln 4)</t>
  </si>
  <si>
    <t>Summary</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</si>
  <si>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</si>
  <si>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</si>
  <si>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</si>
  <si>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</si>
  <si>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</si>
  <si>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</si>
  <si>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</si>
  <si>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</si>
  <si>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</si>
  <si>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</si>
  <si>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</si>
  <si>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</si>
  <si>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</si>
  <si>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</si>
  <si>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</si>
  <si>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</si>
  <si>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</si>
  <si>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</si>
  <si>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</si>
  <si>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</si>
  <si>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</si>
  <si>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</si>
  <si>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</si>
  <si>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</si>
  <si>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</si>
  <si>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</si>
  <si>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</si>
  <si>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</si>
  <si>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</si>
  <si>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</si>
  <si>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</si>
  <si>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</si>
  <si>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</si>
  <si>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Cascade Natural Gas</t>
  </si>
  <si>
    <t xml:space="preserve">Cascade Natural Gas </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</si>
  <si>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</si>
  <si>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</si>
  <si>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</si>
  <si>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</si>
  <si>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</si>
  <si>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</si>
  <si>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</si>
  <si>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</si>
  <si>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</si>
  <si>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</si>
  <si>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</si>
  <si>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</si>
  <si>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</si>
  <si>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</si>
  <si>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</si>
  <si>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</si>
  <si>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</si>
  <si>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</si>
  <si>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</si>
  <si>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</si>
  <si>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</si>
  <si>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</si>
  <si>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</si>
  <si>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</si>
  <si>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</si>
  <si>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</si>
  <si>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</si>
  <si>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</si>
  <si>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</si>
  <si>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</si>
  <si>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</si>
  <si>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</si>
  <si>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</si>
  <si>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</si>
  <si>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</si>
  <si>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</si>
  <si>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</si>
  <si>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</si>
  <si>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</si>
  <si>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</si>
  <si>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</si>
  <si>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</si>
  <si>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</si>
  <si>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</si>
  <si>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</si>
  <si>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</si>
  <si>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</si>
  <si>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</si>
  <si>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</si>
  <si>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</si>
  <si>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</si>
  <si>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</si>
  <si>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</si>
  <si>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</si>
  <si>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</si>
  <si>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</si>
  <si>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</si>
  <si>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</si>
  <si>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</si>
  <si>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</si>
  <si>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</si>
  <si>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</si>
  <si>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</si>
  <si>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</si>
  <si>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</si>
  <si>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</si>
  <si>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</si>
  <si>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</si>
  <si>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</si>
  <si>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</si>
  <si>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</si>
  <si>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</si>
  <si>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</si>
  <si>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</si>
  <si>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</si>
  <si>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</si>
  <si>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</si>
  <si>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</si>
  <si>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</si>
  <si>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</si>
  <si>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</si>
  <si>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</si>
  <si>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</si>
  <si>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</si>
  <si>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</si>
  <si>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</si>
  <si>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</si>
  <si>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</si>
  <si>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</si>
  <si>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</si>
  <si>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</si>
  <si>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</si>
  <si>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</si>
  <si>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</si>
  <si>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</si>
  <si>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</si>
  <si>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</si>
  <si>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</si>
  <si>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</si>
  <si>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</si>
  <si>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</si>
  <si>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</si>
  <si>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</si>
  <si>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</si>
  <si>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</si>
  <si>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</si>
  <si>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</si>
  <si>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</si>
  <si>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</si>
  <si>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</si>
  <si>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</si>
  <si>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</si>
  <si>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</si>
  <si>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</si>
  <si>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</si>
  <si>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</si>
  <si>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</si>
  <si>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</si>
  <si>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</si>
  <si>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</si>
  <si>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</si>
  <si>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</si>
  <si>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</si>
  <si>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</si>
  <si>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</si>
  <si>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</si>
  <si>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</si>
  <si>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</si>
  <si>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</si>
  <si>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</si>
  <si>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</si>
  <si>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</si>
  <si>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</si>
  <si>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</si>
  <si>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</si>
  <si>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</si>
  <si>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</si>
  <si>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</si>
  <si>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</si>
  <si>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</si>
  <si>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</si>
  <si>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</si>
  <si>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</si>
  <si>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</si>
  <si>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</si>
  <si>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</si>
  <si>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</si>
  <si>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</si>
  <si>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</si>
  <si>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</si>
  <si>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</si>
  <si>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</si>
  <si>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</si>
  <si>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</si>
  <si>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</si>
  <si>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</si>
  <si>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</si>
  <si>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</si>
  <si>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</si>
  <si>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</si>
  <si>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</si>
  <si>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</si>
  <si>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</si>
  <si>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</si>
  <si>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</si>
  <si>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</si>
  <si>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</si>
  <si>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</si>
  <si>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</si>
  <si>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</si>
  <si>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</si>
  <si>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</si>
  <si>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</si>
  <si>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</si>
  <si>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</si>
  <si>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</si>
  <si>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</si>
  <si>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</si>
  <si>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</si>
  <si>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</si>
  <si>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</si>
  <si>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</si>
  <si>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</si>
  <si>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</si>
  <si>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</si>
  <si>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</si>
  <si>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</si>
  <si>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</si>
  <si>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</si>
  <si>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</si>
  <si>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</si>
  <si>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</si>
  <si>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</si>
  <si>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</si>
  <si>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</si>
  <si>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</si>
  <si>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</si>
  <si>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</si>
  <si>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</si>
  <si>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</si>
  <si>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</si>
  <si>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</si>
  <si>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</si>
  <si>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</si>
  <si>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</si>
  <si>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</si>
  <si>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</si>
  <si>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</si>
  <si>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</si>
  <si>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</si>
  <si>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</si>
  <si>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</si>
  <si>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</si>
  <si>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</si>
  <si>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</si>
  <si>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</si>
  <si>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</si>
  <si>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</si>
  <si>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</si>
  <si>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</si>
  <si>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</si>
  <si>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</si>
  <si>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</si>
  <si>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</si>
  <si>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</si>
  <si>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</si>
  <si>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</si>
  <si>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</si>
  <si>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</si>
  <si>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</si>
  <si>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</si>
  <si>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</si>
  <si>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</si>
  <si>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</si>
  <si>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</si>
  <si>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</si>
  <si>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</si>
  <si>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</si>
  <si>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</si>
  <si>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</si>
  <si>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</si>
  <si>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</si>
  <si>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</si>
  <si>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</si>
  <si>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</si>
  <si>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</si>
  <si>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</si>
  <si>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</si>
  <si>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</si>
  <si>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</si>
  <si>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</si>
  <si>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</si>
  <si>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</si>
  <si>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</si>
  <si>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</si>
  <si>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</si>
  <si>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</si>
  <si>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</si>
  <si>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</si>
  <si>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</si>
  <si>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</si>
  <si>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</si>
  <si>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</si>
  <si>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</si>
  <si>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</si>
  <si>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</si>
  <si>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</si>
  <si>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</si>
  <si>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</si>
  <si>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</si>
  <si>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</si>
  <si>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</si>
  <si>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</si>
  <si>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</si>
  <si>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</si>
  <si>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</si>
  <si>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</si>
  <si>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</si>
  <si>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</si>
  <si>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</si>
  <si>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</si>
  <si>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</si>
  <si>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</si>
  <si>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</si>
  <si>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</si>
  <si>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</si>
  <si>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</si>
  <si>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</si>
  <si>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</si>
  <si>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</si>
  <si>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</si>
  <si>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</si>
  <si>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</si>
  <si>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</si>
  <si>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</si>
  <si>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</si>
  <si>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</si>
  <si>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</si>
  <si>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</si>
  <si>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</si>
  <si>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</si>
  <si>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</si>
  <si>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</si>
  <si>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</si>
  <si>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</si>
  <si>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</si>
  <si>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</si>
  <si>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</si>
  <si>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</si>
  <si>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</si>
  <si>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</si>
  <si>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</si>
  <si>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</si>
  <si>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</si>
  <si>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</si>
  <si>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</si>
  <si>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</si>
  <si>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</si>
  <si>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</si>
  <si>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</si>
  <si>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</si>
  <si>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</si>
  <si>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</si>
  <si>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</si>
  <si>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</si>
  <si>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</si>
  <si>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</si>
  <si>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</si>
  <si>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</si>
  <si>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</si>
  <si>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</si>
  <si>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</si>
  <si>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</si>
  <si>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</si>
  <si>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</si>
  <si>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</si>
  <si>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</si>
  <si>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</si>
  <si>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</si>
  <si>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</si>
  <si>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</si>
  <si>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</si>
  <si>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</si>
  <si>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</si>
  <si>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</si>
  <si>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</si>
  <si>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</si>
  <si>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</si>
  <si>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</si>
  <si>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</si>
  <si>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</si>
  <si>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</si>
  <si>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</si>
  <si>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</si>
  <si>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</si>
  <si>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</si>
  <si>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</si>
  <si>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</si>
  <si>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</si>
  <si>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</si>
  <si>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</si>
  <si>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</si>
  <si>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</si>
  <si>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</si>
  <si>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</si>
  <si>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</si>
  <si>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</si>
  <si>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</si>
  <si>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</si>
  <si>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</si>
  <si>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</si>
  <si>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</si>
  <si>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</si>
  <si>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</si>
  <si>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</si>
  <si>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</si>
  <si>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</si>
  <si>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</si>
  <si>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</si>
  <si>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</si>
  <si>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</si>
  <si>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</si>
  <si>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</si>
  <si>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</si>
  <si>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</si>
  <si>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</si>
  <si>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</si>
  <si>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</si>
  <si>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</si>
  <si>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</si>
  <si>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</si>
  <si>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</si>
  <si>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</si>
  <si>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</si>
  <si>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</si>
  <si>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</si>
  <si>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</si>
  <si>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</si>
  <si>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</si>
  <si>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</si>
  <si>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</si>
  <si>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</si>
  <si>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</si>
  <si>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</si>
  <si>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</si>
  <si>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</si>
  <si>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</si>
  <si>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</si>
  <si>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</si>
  <si>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</si>
  <si>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</si>
  <si>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</si>
  <si>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</si>
  <si>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</si>
  <si>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</si>
  <si>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</si>
  <si>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</si>
  <si>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</si>
  <si>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</si>
  <si>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</si>
  <si>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</si>
  <si>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</si>
  <si>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</si>
  <si>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</si>
  <si>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</si>
  <si>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</si>
  <si>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</si>
  <si>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</si>
  <si>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</si>
  <si>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</si>
  <si>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</si>
  <si>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</si>
  <si>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</si>
  <si>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</si>
  <si>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</si>
  <si>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</si>
  <si>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</si>
  <si>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</si>
  <si>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</si>
  <si>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</si>
  <si>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</si>
  <si>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</si>
  <si>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</si>
  <si>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</si>
  <si>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</si>
  <si>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</si>
  <si>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</si>
  <si>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</si>
  <si>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</si>
  <si>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</si>
  <si>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</si>
  <si>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</si>
  <si>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</si>
  <si>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</si>
  <si>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</si>
  <si>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</si>
  <si>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</si>
  <si>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</si>
  <si>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</si>
  <si>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</si>
  <si>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</si>
  <si>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</si>
  <si>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</si>
  <si>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</si>
  <si>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</si>
  <si>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</si>
  <si>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</si>
  <si>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</si>
  <si>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</si>
  <si>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</si>
  <si>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</si>
  <si>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</si>
  <si>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</si>
  <si>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</si>
  <si>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</si>
  <si>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</si>
  <si>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</si>
  <si>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</si>
  <si>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</si>
  <si>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</si>
  <si>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</si>
  <si>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</si>
  <si>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</si>
  <si>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</si>
  <si>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</si>
  <si>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</si>
  <si>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</si>
  <si>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</si>
  <si>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</si>
  <si>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</si>
  <si>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</si>
  <si>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</si>
  <si>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</si>
  <si>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</si>
  <si>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</si>
  <si>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</si>
  <si>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</si>
  <si>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</si>
  <si>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</si>
  <si>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</si>
  <si>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</si>
  <si>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</si>
  <si>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</si>
  <si>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</si>
  <si>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</si>
  <si>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</si>
  <si>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</si>
  <si>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</si>
  <si>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</si>
  <si>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</si>
  <si>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</si>
  <si>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</si>
  <si>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</si>
  <si>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</si>
  <si>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</si>
  <si>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</si>
  <si>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</si>
  <si>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</si>
  <si>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</si>
  <si>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</si>
  <si>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</si>
  <si>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</si>
  <si>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</si>
  <si>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</si>
  <si>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</si>
  <si>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</si>
  <si>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</si>
  <si>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</si>
  <si>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</si>
  <si>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</si>
  <si>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</si>
  <si>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</si>
  <si>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</si>
  <si>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</si>
  <si>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</si>
  <si>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</si>
  <si>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</si>
  <si>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</si>
  <si>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</si>
  <si>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</si>
  <si>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</si>
  <si>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</si>
  <si>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</si>
  <si>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</si>
  <si>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</si>
  <si>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</si>
  <si>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</si>
  <si>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</si>
  <si>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</si>
  <si>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</si>
  <si>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</si>
  <si>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</si>
  <si>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</si>
  <si>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</si>
  <si>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</si>
  <si>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</si>
  <si>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</si>
  <si>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</si>
  <si>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</si>
  <si>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</si>
  <si>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</si>
  <si>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</si>
  <si>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</si>
  <si>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</si>
  <si>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</si>
  <si>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</si>
  <si>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</si>
  <si>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</si>
  <si>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</si>
  <si>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</si>
  <si>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</si>
  <si>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</si>
  <si>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</si>
  <si>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</si>
  <si>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</si>
  <si>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</si>
  <si>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</si>
  <si>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</si>
  <si>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</si>
  <si>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</si>
  <si>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</si>
  <si>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</si>
  <si>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</si>
  <si>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</si>
  <si>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</si>
  <si>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</si>
  <si>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</si>
  <si>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</si>
  <si>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</si>
  <si>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</si>
  <si>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</si>
  <si>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</si>
  <si>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</si>
  <si>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</si>
  <si>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</si>
  <si>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</si>
  <si>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</si>
  <si>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</si>
  <si>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</si>
  <si>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</si>
  <si>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</si>
  <si>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</si>
  <si>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</si>
  <si>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</si>
  <si>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</si>
  <si>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</si>
  <si>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</si>
  <si>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</si>
  <si>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</si>
  <si>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</si>
  <si>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</si>
  <si>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</si>
  <si>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</si>
  <si>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</si>
  <si>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</si>
  <si>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</si>
  <si>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</si>
  <si>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</si>
  <si>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</si>
  <si>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</si>
  <si>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</si>
  <si>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</si>
  <si>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</si>
  <si>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</si>
  <si>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</si>
  <si>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</si>
  <si>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</si>
  <si>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</si>
  <si>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</si>
  <si>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</si>
  <si>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</si>
  <si>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</si>
  <si>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</si>
  <si>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</si>
  <si>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</si>
  <si>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</si>
  <si>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</si>
  <si>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</si>
  <si>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</si>
  <si>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</si>
  <si>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</si>
  <si>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</si>
  <si>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</si>
  <si>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</si>
  <si>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</si>
  <si>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</si>
  <si>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</si>
  <si>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</si>
  <si>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</si>
  <si>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</si>
  <si>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</si>
  <si>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</si>
  <si>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</si>
  <si>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</si>
  <si>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</si>
  <si>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</si>
  <si>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</si>
  <si>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</si>
  <si>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</si>
  <si>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</si>
  <si>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</si>
  <si>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</si>
  <si>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</si>
  <si>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</si>
  <si>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</si>
  <si>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</si>
  <si>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</si>
  <si>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</si>
  <si>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</si>
  <si>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Overall Revenue Increase</t>
  </si>
  <si>
    <t>RESULTS OF OPERATIONS SUMMARY SHEET</t>
  </si>
  <si>
    <t>Results of Operations Summary Sheet</t>
  </si>
  <si>
    <t>Summary of Proposed Plant Additions</t>
  </si>
  <si>
    <t>Line No:</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</si>
  <si>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</si>
  <si>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</si>
  <si>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</si>
  <si>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</si>
  <si>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</si>
  <si>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</si>
  <si>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</si>
  <si>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</si>
  <si>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</si>
  <si>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</si>
  <si>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</si>
  <si>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</si>
  <si>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</si>
  <si>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</si>
  <si>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</si>
  <si>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</si>
  <si>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</si>
  <si>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</si>
  <si>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</si>
  <si>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</si>
  <si>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</si>
  <si>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</si>
  <si>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</si>
  <si>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</si>
  <si>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</si>
  <si>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</si>
  <si>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</si>
  <si>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</si>
  <si>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</si>
  <si>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</si>
  <si>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</si>
  <si>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</si>
  <si>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</si>
  <si>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</si>
  <si>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</si>
  <si>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</si>
  <si>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</si>
  <si>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</si>
  <si>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</si>
  <si>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</si>
  <si>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</si>
  <si>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</si>
  <si>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</si>
  <si>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</si>
  <si>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</si>
  <si>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</si>
  <si>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</si>
  <si>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</si>
  <si>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</si>
  <si>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</si>
  <si>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</si>
  <si>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</si>
  <si>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</si>
  <si>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</si>
  <si>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</si>
  <si>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</si>
  <si>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</si>
  <si>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</si>
  <si>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</si>
  <si>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</si>
  <si>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</si>
  <si>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</si>
  <si>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</si>
  <si>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</si>
  <si>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</si>
  <si>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</si>
  <si>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</si>
  <si>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</si>
  <si>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</si>
  <si>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</si>
  <si>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</si>
  <si>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</si>
  <si>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</si>
  <si>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</si>
  <si>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</si>
  <si>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</si>
  <si>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</si>
  <si>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</si>
  <si>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</si>
  <si>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</si>
  <si>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</si>
  <si>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</si>
  <si>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</si>
  <si>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</si>
  <si>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</si>
  <si>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</si>
  <si>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</si>
  <si>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</si>
  <si>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</si>
  <si>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</si>
  <si>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</si>
  <si>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</si>
  <si>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</si>
  <si>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</si>
  <si>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</si>
  <si>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</si>
  <si>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</si>
  <si>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</si>
  <si>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</si>
  <si>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</si>
  <si>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</si>
  <si>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</si>
  <si>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</si>
  <si>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</si>
  <si>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</si>
  <si>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</si>
  <si>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</si>
  <si>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</si>
  <si>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</si>
  <si>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</si>
  <si>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</si>
  <si>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</si>
  <si>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</si>
  <si>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</si>
  <si>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</si>
  <si>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</si>
  <si>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</si>
  <si>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</si>
  <si>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</si>
  <si>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</si>
  <si>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</si>
  <si>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</si>
  <si>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</si>
  <si>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</si>
  <si>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</si>
  <si>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</si>
  <si>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</si>
  <si>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</si>
  <si>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</si>
  <si>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</si>
  <si>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</si>
  <si>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</si>
  <si>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</si>
  <si>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</si>
  <si>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</si>
  <si>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</si>
  <si>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</si>
  <si>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</si>
  <si>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</si>
  <si>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</si>
  <si>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</si>
  <si>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</si>
  <si>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</si>
  <si>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</si>
  <si>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</si>
  <si>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</si>
  <si>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</si>
  <si>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</si>
  <si>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</si>
  <si>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</si>
  <si>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</si>
  <si>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</si>
  <si>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</si>
  <si>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</si>
  <si>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</si>
  <si>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</si>
  <si>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</si>
  <si>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</si>
  <si>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</si>
  <si>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</si>
  <si>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</si>
  <si>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</si>
  <si>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</si>
  <si>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</si>
  <si>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</si>
  <si>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</si>
  <si>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</si>
  <si>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</si>
  <si>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</si>
  <si>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</si>
  <si>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</si>
  <si>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</si>
  <si>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</si>
  <si>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</si>
  <si>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</si>
  <si>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</si>
  <si>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</si>
  <si>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</si>
  <si>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</si>
  <si>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</si>
  <si>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</si>
  <si>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</si>
  <si>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</si>
  <si>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</si>
  <si>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</si>
  <si>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</si>
  <si>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</si>
  <si>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</si>
  <si>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</si>
  <si>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</si>
  <si>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</si>
  <si>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</si>
  <si>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</si>
  <si>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</si>
  <si>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</si>
  <si>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</si>
  <si>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</si>
  <si>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</si>
  <si>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</si>
  <si>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</si>
  <si>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</si>
  <si>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</si>
  <si>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</si>
  <si>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</si>
  <si>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</si>
  <si>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</si>
  <si>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</si>
  <si>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</si>
  <si>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</si>
  <si>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</si>
  <si>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</si>
  <si>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</si>
  <si>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</si>
  <si>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</si>
  <si>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</si>
  <si>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</si>
  <si>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</si>
  <si>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</si>
  <si>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</si>
  <si>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</si>
  <si>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</si>
  <si>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</si>
  <si>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</si>
  <si>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</si>
  <si>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</si>
  <si>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</si>
  <si>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</si>
  <si>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</si>
  <si>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</si>
  <si>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</si>
  <si>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</si>
  <si>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</si>
  <si>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</si>
  <si>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</si>
  <si>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</si>
  <si>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</si>
  <si>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</si>
  <si>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</si>
  <si>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</si>
  <si>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</si>
  <si>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</si>
  <si>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</si>
  <si>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</si>
  <si>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</si>
  <si>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</si>
  <si>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</si>
  <si>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</si>
  <si>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</si>
  <si>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</si>
  <si>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</si>
  <si>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</si>
  <si>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</si>
  <si>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</si>
  <si>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r>
      <rPr>
        <vertAlign val="superscript"/>
        <sz val="12"/>
        <color theme="1"/>
        <rFont val="Calibri"/>
        <family val="2"/>
        <scheme val="minor"/>
      </rPr>
      <t>1</t>
    </r>
    <r>
      <rPr>
        <sz val="12"/>
        <color theme="1"/>
        <rFont val="Calibri"/>
        <family val="2"/>
        <scheme val="minor"/>
      </rPr>
      <t>Remaining period of the program after rate case effective date</t>
    </r>
  </si>
  <si>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</si>
  <si>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</si>
  <si>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</si>
  <si>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</si>
  <si>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</si>
  <si>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</si>
  <si>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</si>
  <si>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</si>
  <si>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</si>
  <si>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</si>
  <si>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</si>
  <si>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</si>
  <si>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</si>
  <si>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</si>
  <si>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</si>
  <si>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</si>
  <si>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</si>
  <si>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</si>
  <si>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</si>
  <si>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</si>
  <si>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</si>
  <si>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</si>
  <si>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</si>
  <si>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</si>
  <si>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</si>
  <si>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</si>
  <si>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</si>
  <si>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</si>
  <si>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</si>
  <si>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</si>
  <si>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</si>
  <si>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</si>
  <si>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</si>
  <si>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</si>
  <si>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</si>
  <si>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</si>
  <si>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</si>
  <si>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</si>
  <si>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</si>
  <si>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</si>
  <si>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</si>
  <si>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</si>
  <si>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</si>
  <si>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</si>
  <si>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</si>
  <si>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</si>
  <si>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</si>
  <si>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</si>
  <si>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</si>
  <si>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</si>
  <si>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</si>
  <si>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</si>
  <si>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</si>
  <si>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</si>
  <si>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</si>
  <si>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</si>
  <si>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</si>
  <si>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</si>
  <si>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</si>
  <si>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</si>
  <si>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</si>
  <si>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</si>
  <si>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</si>
  <si>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</si>
  <si>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</si>
  <si>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</si>
  <si>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</si>
  <si>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</si>
  <si>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</si>
  <si>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</si>
  <si>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</si>
  <si>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</si>
  <si>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</si>
  <si>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</si>
  <si>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</si>
  <si>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</si>
  <si>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</si>
  <si>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</si>
  <si>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</si>
  <si>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</si>
  <si>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</si>
  <si>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</si>
  <si>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</si>
  <si>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</si>
  <si>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</si>
  <si>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</si>
  <si>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</si>
  <si>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</si>
  <si>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</si>
  <si>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</si>
  <si>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</si>
  <si>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</si>
  <si>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</si>
  <si>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</si>
  <si>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</si>
  <si>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</si>
  <si>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</si>
  <si>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</si>
  <si>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</si>
  <si>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</si>
  <si>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</si>
  <si>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</si>
  <si>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</si>
  <si>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</si>
  <si>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</si>
  <si>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</si>
  <si>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</si>
  <si>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</si>
  <si>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</si>
  <si>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</si>
  <si>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</si>
  <si>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</si>
  <si>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</si>
  <si>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</si>
  <si>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</si>
  <si>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</si>
  <si>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</si>
  <si>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</si>
  <si>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</si>
  <si>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</si>
  <si>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</si>
  <si>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</si>
  <si>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</si>
  <si>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</si>
  <si>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</si>
  <si>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</si>
  <si>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</si>
  <si>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</si>
  <si>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</si>
  <si>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</si>
  <si>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</si>
  <si>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</si>
  <si>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</si>
  <si>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</si>
  <si>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</si>
  <si>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</si>
  <si>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</si>
  <si>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</si>
  <si>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</si>
  <si>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</si>
  <si>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</si>
  <si>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</si>
  <si>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</si>
  <si>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</si>
  <si>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</si>
  <si>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</si>
  <si>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</si>
  <si>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</si>
  <si>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</si>
  <si>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</si>
  <si>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</si>
  <si>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</si>
  <si>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</si>
  <si>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</si>
  <si>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</si>
  <si>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</si>
  <si>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</si>
  <si>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</si>
  <si>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</si>
  <si>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</si>
  <si>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</si>
  <si>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</si>
  <si>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</si>
  <si>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</si>
  <si>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</si>
  <si>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</si>
  <si>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</si>
  <si>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</si>
  <si>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</si>
  <si>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</si>
  <si>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</si>
  <si>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</si>
  <si>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</si>
  <si>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</si>
  <si>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</si>
  <si>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</si>
  <si>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</si>
  <si>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</si>
  <si>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</si>
  <si>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</si>
  <si>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</si>
  <si>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</si>
  <si>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</si>
  <si>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</si>
  <si>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</si>
  <si>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</si>
  <si>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</si>
  <si>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</si>
  <si>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</si>
  <si>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</si>
  <si>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</si>
  <si>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</si>
  <si>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</si>
  <si>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</si>
  <si>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</si>
  <si>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</si>
  <si>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</si>
  <si>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</si>
  <si>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</si>
  <si>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</si>
  <si>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</si>
  <si>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</si>
  <si>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</si>
  <si>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</si>
  <si>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</si>
  <si>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</si>
  <si>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</si>
  <si>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</si>
  <si>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</si>
  <si>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</si>
  <si>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</si>
  <si>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</si>
  <si>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</si>
  <si>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</si>
  <si>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</si>
  <si>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</si>
  <si>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</si>
  <si>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</si>
  <si>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</si>
  <si>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</si>
  <si>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</si>
  <si>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</si>
  <si>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</si>
  <si>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</si>
  <si>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</si>
  <si>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MCP WP-1.8</t>
  </si>
  <si>
    <t>MCP WP-1.9</t>
  </si>
  <si>
    <t>MCP WP-1.10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</si>
  <si>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</si>
  <si>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</si>
  <si>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</si>
  <si>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</si>
  <si>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</si>
  <si>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</si>
  <si>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</si>
  <si>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</si>
  <si>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</si>
  <si>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</si>
  <si>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</si>
  <si>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</si>
  <si>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</si>
  <si>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</si>
  <si>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</si>
  <si>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</si>
  <si>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</si>
  <si>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</si>
  <si>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</si>
  <si>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</si>
  <si>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</si>
  <si>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</si>
  <si>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</si>
  <si>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</si>
  <si>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</si>
  <si>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</si>
  <si>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</si>
  <si>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</si>
  <si>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</si>
  <si>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</si>
  <si>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</si>
  <si>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</si>
  <si>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</si>
  <si>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</si>
  <si>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</si>
  <si>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</si>
  <si>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</si>
  <si>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</si>
  <si>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</si>
  <si>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</si>
  <si>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</si>
  <si>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</si>
  <si>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</si>
  <si>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</si>
  <si>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</si>
  <si>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</si>
  <si>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</si>
  <si>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</si>
  <si>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</si>
  <si>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</si>
  <si>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</si>
  <si>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</si>
  <si>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</si>
  <si>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</si>
  <si>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</si>
  <si>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</si>
  <si>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</si>
  <si>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</si>
  <si>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</si>
  <si>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</si>
  <si>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</si>
  <si>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</si>
  <si>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</si>
  <si>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</si>
  <si>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</si>
  <si>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</si>
  <si>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</si>
  <si>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</si>
  <si>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</si>
  <si>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</si>
  <si>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</si>
  <si>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</si>
  <si>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</si>
  <si>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</si>
  <si>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</si>
  <si>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</si>
  <si>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</si>
  <si>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</si>
  <si>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</si>
  <si>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</si>
  <si>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</si>
  <si>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</si>
  <si>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</si>
  <si>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</si>
  <si>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</si>
  <si>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</si>
  <si>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</si>
  <si>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</si>
  <si>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</si>
  <si>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</si>
  <si>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</si>
  <si>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</si>
  <si>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</si>
  <si>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</si>
  <si>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</si>
  <si>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Total WA Executive Incentives</t>
  </si>
  <si>
    <t>Executive Incentives</t>
  </si>
  <si>
    <t>Remove Executive Incentives</t>
  </si>
  <si>
    <t>MCP WP-1.5</t>
  </si>
  <si>
    <t>MCP WP-1.6</t>
  </si>
  <si>
    <t>MCP WP-1.11</t>
  </si>
  <si>
    <t>MCP WP-1.16</t>
  </si>
  <si>
    <t>End of Year</t>
  </si>
  <si>
    <t>R-5</t>
  </si>
  <si>
    <t>R-6</t>
  </si>
  <si>
    <t xml:space="preserve">Restate </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</si>
  <si>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</si>
  <si>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</si>
  <si>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</si>
  <si>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</si>
  <si>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</si>
  <si>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</si>
  <si>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</si>
  <si>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</si>
  <si>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</si>
  <si>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</si>
  <si>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</si>
  <si>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</si>
  <si>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</si>
  <si>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</si>
  <si>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</si>
  <si>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</si>
  <si>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</si>
  <si>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</si>
  <si>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</si>
  <si>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</si>
  <si>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</si>
  <si>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</si>
  <si>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</si>
  <si>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</si>
  <si>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</si>
  <si>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</si>
  <si>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</si>
  <si>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</si>
  <si>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</si>
  <si>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</si>
  <si>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</si>
  <si>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</si>
  <si>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</si>
  <si>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</si>
  <si>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</si>
  <si>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</si>
  <si>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</si>
  <si>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</si>
  <si>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</si>
  <si>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</si>
  <si>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</si>
  <si>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</si>
  <si>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</si>
  <si>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</si>
  <si>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</si>
  <si>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</si>
  <si>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</si>
  <si>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</si>
  <si>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</si>
  <si>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</si>
  <si>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</si>
  <si>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</si>
  <si>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</si>
  <si>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</si>
  <si>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</si>
  <si>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</si>
  <si>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</si>
  <si>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</si>
  <si>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</si>
  <si>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</si>
  <si>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</si>
  <si>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</si>
  <si>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</si>
  <si>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</si>
  <si>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</si>
  <si>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Estimated In-Service Date</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</si>
  <si>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</si>
  <si>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</si>
  <si>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</si>
  <si>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</si>
  <si>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</si>
  <si>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</si>
  <si>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</si>
  <si>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</si>
  <si>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</si>
  <si>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</si>
  <si>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</si>
  <si>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</si>
  <si>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</si>
  <si>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</si>
  <si>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</si>
  <si>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</si>
  <si>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</si>
  <si>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</si>
  <si>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</si>
  <si>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</si>
  <si>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</si>
  <si>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</si>
  <si>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</si>
  <si>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</si>
  <si>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</si>
  <si>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</si>
  <si>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</si>
  <si>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</si>
  <si>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</si>
  <si>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</si>
  <si>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</si>
  <si>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</si>
  <si>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</si>
  <si>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</si>
  <si>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</si>
  <si>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</si>
  <si>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</si>
  <si>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</si>
  <si>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</si>
  <si>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</si>
  <si>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</si>
  <si>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</si>
  <si>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</si>
  <si>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</si>
  <si>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</si>
  <si>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</si>
  <si>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</si>
  <si>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</si>
  <si>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</si>
  <si>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</si>
  <si>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</si>
  <si>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</si>
  <si>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</si>
  <si>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</si>
  <si>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</si>
  <si>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</si>
  <si>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</si>
  <si>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</si>
  <si>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</si>
  <si>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</si>
  <si>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</si>
  <si>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</si>
  <si>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</si>
  <si>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</si>
  <si>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</si>
  <si>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</si>
  <si>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</si>
  <si>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</si>
  <si>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</si>
  <si>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</si>
  <si>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</si>
  <si>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</si>
  <si>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</si>
  <si>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</si>
  <si>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</si>
  <si>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</si>
  <si>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</si>
  <si>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</si>
  <si>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</si>
  <si>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</si>
  <si>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</si>
  <si>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</si>
  <si>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</si>
  <si>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</si>
  <si>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</si>
  <si>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</si>
  <si>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</si>
  <si>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</si>
  <si>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</si>
  <si>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</si>
  <si>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</si>
  <si>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</si>
  <si>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</si>
  <si>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</si>
  <si>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</si>
  <si>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</si>
  <si>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</si>
  <si>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</si>
  <si>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</si>
  <si>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</si>
  <si>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</si>
  <si>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</si>
  <si>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</si>
  <si>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</si>
  <si>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</si>
  <si>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</si>
  <si>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</si>
  <si>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</si>
  <si>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</si>
  <si>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</si>
  <si>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</si>
  <si>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</si>
  <si>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</si>
  <si>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</si>
  <si>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</si>
  <si>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</si>
  <si>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</si>
  <si>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</si>
  <si>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</si>
  <si>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</si>
  <si>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</si>
  <si>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</si>
  <si>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</si>
  <si>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</si>
  <si>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</si>
  <si>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</si>
  <si>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</si>
  <si>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</si>
  <si>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</si>
  <si>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</si>
  <si>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</si>
  <si>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</si>
  <si>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</si>
  <si>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</si>
  <si>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</si>
  <si>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</si>
  <si>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</si>
  <si>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</si>
  <si>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</si>
  <si>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</si>
  <si>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</si>
  <si>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</si>
  <si>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</si>
  <si>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</si>
  <si>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</si>
  <si>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</si>
  <si>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</si>
  <si>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</si>
  <si>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</si>
  <si>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</si>
  <si>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</si>
  <si>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</si>
  <si>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</si>
  <si>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</si>
  <si>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</si>
  <si>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</si>
  <si>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</si>
  <si>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</si>
  <si>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</si>
  <si>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</si>
  <si>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</si>
  <si>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</si>
  <si>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</si>
  <si>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</si>
  <si>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</si>
  <si>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</si>
  <si>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</si>
  <si>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</si>
  <si>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</si>
  <si>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</si>
  <si>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</si>
  <si>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</si>
  <si>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</si>
  <si>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</si>
  <si>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</si>
  <si>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</si>
  <si>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</si>
  <si>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</si>
  <si>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</si>
  <si>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</si>
  <si>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</si>
  <si>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</si>
  <si>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</si>
  <si>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</si>
  <si>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</si>
  <si>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</si>
  <si>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</si>
  <si>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</si>
  <si>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</si>
  <si>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</si>
  <si>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</si>
  <si>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</si>
  <si>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</si>
  <si>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</si>
  <si>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</si>
  <si>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</si>
  <si>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</si>
  <si>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</si>
  <si>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</si>
  <si>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</si>
  <si>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</si>
  <si>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</si>
  <si>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</si>
  <si>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</si>
  <si>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</si>
  <si>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</si>
  <si>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</si>
  <si>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</si>
  <si>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</si>
  <si>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</si>
  <si>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</si>
  <si>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</si>
  <si>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</si>
  <si>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</si>
  <si>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</si>
  <si>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</si>
  <si>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</si>
  <si>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</si>
  <si>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</si>
  <si>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</si>
  <si>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</si>
  <si>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</si>
  <si>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</si>
  <si>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</si>
  <si>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</si>
  <si>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</si>
  <si>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</si>
  <si>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</si>
  <si>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</si>
  <si>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</si>
  <si>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</si>
  <si>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</si>
  <si>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</si>
  <si>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</si>
  <si>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</si>
  <si>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</si>
  <si>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</si>
  <si>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</si>
  <si>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</si>
  <si>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</si>
  <si>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</si>
  <si>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</si>
  <si>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</si>
  <si>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</si>
  <si>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</si>
  <si>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</si>
  <si>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</si>
  <si>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</si>
  <si>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</si>
  <si>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</si>
  <si>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</si>
  <si>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</si>
  <si>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</si>
  <si>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</si>
  <si>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</si>
  <si>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</si>
  <si>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</si>
  <si>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</si>
  <si>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</si>
  <si>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</si>
  <si>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</si>
  <si>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</si>
  <si>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</si>
  <si>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</si>
  <si>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</si>
  <si>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</si>
  <si>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</si>
  <si>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</si>
  <si>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</si>
  <si>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</si>
  <si>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</si>
  <si>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</si>
  <si>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</si>
  <si>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</si>
  <si>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</si>
  <si>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</si>
  <si>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</si>
  <si>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</si>
  <si>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</si>
  <si>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</si>
  <si>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</si>
  <si>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</si>
  <si>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</si>
  <si>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</si>
  <si>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</si>
  <si>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</si>
  <si>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</si>
  <si>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</si>
  <si>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</si>
  <si>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</si>
  <si>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</si>
  <si>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</si>
  <si>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</si>
  <si>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</si>
  <si>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</si>
  <si>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</si>
  <si>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</si>
  <si>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</si>
  <si>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</si>
  <si>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</si>
  <si>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</si>
  <si>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</si>
  <si>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</si>
  <si>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</si>
  <si>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</si>
  <si>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</si>
  <si>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</si>
  <si>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</si>
  <si>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</si>
  <si>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</si>
  <si>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</si>
  <si>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</si>
  <si>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</si>
  <si>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</si>
  <si>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</si>
  <si>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</si>
  <si>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</si>
  <si>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</si>
  <si>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</si>
  <si>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</si>
  <si>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</si>
  <si>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</si>
  <si>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</si>
  <si>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</si>
  <si>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</si>
  <si>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</si>
  <si>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</si>
  <si>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</si>
  <si>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</si>
  <si>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</si>
  <si>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</si>
  <si>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</si>
  <si>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</si>
  <si>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</si>
  <si>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</si>
  <si>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</si>
  <si>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</si>
  <si>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</si>
  <si>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</si>
  <si>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</si>
  <si>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</si>
  <si>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</si>
  <si>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</si>
  <si>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</si>
  <si>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</si>
  <si>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</si>
  <si>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</si>
  <si>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</si>
  <si>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</si>
  <si>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</si>
  <si>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</si>
  <si>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</si>
  <si>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</si>
  <si>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</si>
  <si>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</si>
  <si>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</si>
  <si>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</si>
  <si>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</si>
  <si>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</si>
  <si>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</si>
  <si>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</si>
  <si>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</si>
  <si>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</si>
  <si>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</si>
  <si>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</si>
  <si>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</si>
  <si>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</si>
  <si>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</si>
  <si>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</si>
  <si>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</si>
  <si>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</si>
  <si>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</si>
  <si>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</si>
  <si>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</si>
  <si>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</si>
  <si>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</si>
  <si>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</si>
  <si>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Difference</t>
  </si>
  <si>
    <t>Annulize</t>
  </si>
  <si>
    <t>Total CRM Proposed Rev</t>
  </si>
  <si>
    <t>Less booked CRM</t>
  </si>
  <si>
    <t>Total CRM Adjustment</t>
  </si>
  <si>
    <t>Annualize CRM Adjustment</t>
  </si>
  <si>
    <t>End of Period Revenue Adjustment</t>
  </si>
  <si>
    <t xml:space="preserve">P </t>
  </si>
  <si>
    <t>End of Period</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</si>
  <si>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</si>
  <si>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</si>
  <si>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</si>
  <si>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</si>
  <si>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</si>
  <si>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</si>
  <si>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</si>
  <si>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</si>
  <si>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</si>
  <si>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</si>
  <si>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</si>
  <si>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</si>
  <si>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</si>
  <si>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</si>
  <si>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</si>
  <si>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</si>
  <si>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</si>
  <si>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</si>
  <si>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</si>
  <si>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</si>
  <si>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</si>
  <si>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</si>
  <si>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</si>
  <si>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</si>
  <si>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</si>
  <si>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</si>
  <si>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</si>
  <si>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</si>
  <si>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</si>
  <si>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</si>
  <si>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</si>
  <si>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</si>
  <si>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</si>
  <si>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</si>
  <si>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</si>
  <si>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</si>
  <si>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</si>
  <si>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</si>
  <si>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</si>
  <si>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</si>
  <si>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</si>
  <si>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</si>
  <si>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</si>
  <si>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</si>
  <si>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</si>
  <si>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</si>
  <si>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</si>
  <si>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</si>
  <si>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</si>
  <si>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</si>
  <si>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</si>
  <si>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</si>
  <si>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</si>
  <si>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</si>
  <si>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</si>
  <si>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</si>
  <si>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</si>
  <si>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</si>
  <si>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</si>
  <si>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</si>
  <si>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</si>
  <si>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</si>
  <si>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</si>
  <si>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</si>
  <si>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</si>
  <si>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</si>
  <si>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</si>
  <si>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</si>
  <si>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</si>
  <si>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</si>
  <si>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</si>
  <si>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</si>
  <si>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</si>
  <si>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</si>
  <si>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</si>
  <si>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</si>
  <si>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</si>
  <si>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</si>
  <si>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</si>
  <si>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</si>
  <si>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</si>
  <si>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</si>
  <si>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</si>
  <si>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</si>
  <si>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</si>
  <si>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</si>
  <si>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</si>
  <si>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</si>
  <si>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</si>
  <si>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</si>
  <si>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</si>
  <si>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</si>
  <si>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</si>
  <si>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</si>
  <si>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</si>
  <si>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</si>
  <si>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</si>
  <si>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</si>
  <si>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</si>
  <si>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</si>
  <si>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</si>
  <si>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</si>
  <si>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</si>
  <si>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</si>
  <si>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</si>
  <si>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</si>
  <si>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</si>
  <si>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</si>
  <si>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</si>
  <si>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</si>
  <si>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</si>
  <si>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</si>
  <si>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</si>
  <si>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</si>
  <si>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</si>
  <si>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</si>
  <si>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</si>
  <si>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</si>
  <si>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</si>
  <si>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</si>
  <si>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</si>
  <si>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</si>
  <si>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</si>
  <si>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</si>
  <si>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</si>
  <si>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</si>
  <si>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12 Months ended December 31, 2019</t>
  </si>
  <si>
    <t>UG 20 _____</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</si>
  <si>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</si>
  <si>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</si>
  <si>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</si>
  <si>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</si>
  <si>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</si>
  <si>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</si>
  <si>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</si>
  <si>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</si>
  <si>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</si>
  <si>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</si>
  <si>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</si>
  <si>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</si>
  <si>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</si>
  <si>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</si>
  <si>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</si>
  <si>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</si>
  <si>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</si>
  <si>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</si>
  <si>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</si>
  <si>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</si>
  <si>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</si>
  <si>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</si>
  <si>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</si>
  <si>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</si>
  <si>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</si>
  <si>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</si>
  <si>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</si>
  <si>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</si>
  <si>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</si>
  <si>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</si>
  <si>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</si>
  <si>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</si>
  <si>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</si>
  <si>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</si>
  <si>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</si>
  <si>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</si>
  <si>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</si>
  <si>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</si>
  <si>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</si>
  <si>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</si>
  <si>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</si>
  <si>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</si>
  <si>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</si>
  <si>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</si>
  <si>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</si>
  <si>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</si>
  <si>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</si>
  <si>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</si>
  <si>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</si>
  <si>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</si>
  <si>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</si>
  <si>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</si>
  <si>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</si>
  <si>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</si>
  <si>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</si>
  <si>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</si>
  <si>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</si>
  <si>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</si>
  <si>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</si>
  <si>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</si>
  <si>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</si>
  <si>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</si>
  <si>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</si>
  <si>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</si>
  <si>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</si>
  <si>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</si>
  <si>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</si>
  <si>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</si>
  <si>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</si>
  <si>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</si>
  <si>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</si>
  <si>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</si>
  <si>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</si>
  <si>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</si>
  <si>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</si>
  <si>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</si>
  <si>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</si>
  <si>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</si>
  <si>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</si>
  <si>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</si>
  <si>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</si>
  <si>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</si>
  <si>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</si>
  <si>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</si>
  <si>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</si>
  <si>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</si>
  <si>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</si>
  <si>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</si>
  <si>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</si>
  <si>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</si>
  <si>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</si>
  <si>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</si>
  <si>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</si>
  <si>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</si>
  <si>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</si>
  <si>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</si>
  <si>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</si>
  <si>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</si>
  <si>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</si>
  <si>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</si>
  <si>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</si>
  <si>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</si>
  <si>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</si>
  <si>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</si>
  <si>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</si>
  <si>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</si>
  <si>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</si>
  <si>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</si>
  <si>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</si>
  <si>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</si>
  <si>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</si>
  <si>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</si>
  <si>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</si>
  <si>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</si>
  <si>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</si>
  <si>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</si>
  <si>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</si>
  <si>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</si>
  <si>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</si>
  <si>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</si>
  <si>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</si>
  <si>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</si>
  <si>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</si>
  <si>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</si>
  <si>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</si>
  <si>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</si>
  <si>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</si>
  <si>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</si>
  <si>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</si>
  <si>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</si>
  <si>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</si>
  <si>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</si>
  <si>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</si>
  <si>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</si>
  <si>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</si>
  <si>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</si>
  <si>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</si>
  <si>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</si>
  <si>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</si>
  <si>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</si>
  <si>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</si>
  <si>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</si>
  <si>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</si>
  <si>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</si>
  <si>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</si>
  <si>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</si>
  <si>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</si>
  <si>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</si>
  <si>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</si>
  <si>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</si>
  <si>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</si>
  <si>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</si>
  <si>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</si>
  <si>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</si>
  <si>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</si>
  <si>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</si>
  <si>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</si>
  <si>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</si>
  <si>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</si>
  <si>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</si>
  <si>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</si>
  <si>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</si>
  <si>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</si>
  <si>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</si>
  <si>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</si>
  <si>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</si>
  <si>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</si>
  <si>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</si>
  <si>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</si>
  <si>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</si>
  <si>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</si>
  <si>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</si>
  <si>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</si>
  <si>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</si>
  <si>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</si>
  <si>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</si>
  <si>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</si>
  <si>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</si>
  <si>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</si>
  <si>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</si>
  <si>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</si>
  <si>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</si>
  <si>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</si>
  <si>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</si>
  <si>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</si>
  <si>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</si>
  <si>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</si>
  <si>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</si>
  <si>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</si>
  <si>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</si>
  <si>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</si>
  <si>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</si>
  <si>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</si>
  <si>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</si>
  <si>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</si>
  <si>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</si>
  <si>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</si>
  <si>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</si>
  <si>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</si>
  <si>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</si>
  <si>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</si>
  <si>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</si>
  <si>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</si>
  <si>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</si>
  <si>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</si>
  <si>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</si>
  <si>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</si>
  <si>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</si>
  <si>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</si>
  <si>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</si>
  <si>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</si>
  <si>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</si>
  <si>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</si>
  <si>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</si>
  <si>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</si>
  <si>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</si>
  <si>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</si>
  <si>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</si>
  <si>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</si>
  <si>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</si>
  <si>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</si>
  <si>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</si>
  <si>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</si>
  <si>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</si>
  <si>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</si>
  <si>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</si>
  <si>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</si>
  <si>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</si>
  <si>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</si>
  <si>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</si>
  <si>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</si>
  <si>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</si>
  <si>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</si>
  <si>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</si>
  <si>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</si>
  <si>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</si>
  <si>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</si>
  <si>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</si>
  <si>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</si>
  <si>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</si>
  <si>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</si>
  <si>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</si>
  <si>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</si>
  <si>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</si>
  <si>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</si>
  <si>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</si>
  <si>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</si>
  <si>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</si>
  <si>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</si>
  <si>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</si>
  <si>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</si>
  <si>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</si>
  <si>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</si>
  <si>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</si>
  <si>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</si>
  <si>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</si>
  <si>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</si>
  <si>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</si>
  <si>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</si>
  <si>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</si>
  <si>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</si>
  <si>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</si>
  <si>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</si>
  <si>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</si>
  <si>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</si>
  <si>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</si>
  <si>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</si>
  <si>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</si>
  <si>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</si>
  <si>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</si>
  <si>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</si>
  <si>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</si>
  <si>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</si>
  <si>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</si>
  <si>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</si>
  <si>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</si>
  <si>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</si>
  <si>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</si>
  <si>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</si>
  <si>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</si>
  <si>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</si>
  <si>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</si>
  <si>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</si>
  <si>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</si>
  <si>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</si>
  <si>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</si>
  <si>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</si>
  <si>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</si>
  <si>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</si>
  <si>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</si>
  <si>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</si>
  <si>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</si>
  <si>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</si>
  <si>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</si>
  <si>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</si>
  <si>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</si>
  <si>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</si>
  <si>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</si>
  <si>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</si>
  <si>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</si>
  <si>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</si>
  <si>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</si>
  <si>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</si>
  <si>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</si>
  <si>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</si>
  <si>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</si>
  <si>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</si>
  <si>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</si>
  <si>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</si>
  <si>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</si>
  <si>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</si>
  <si>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</si>
  <si>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</si>
  <si>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</si>
  <si>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</si>
  <si>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</si>
  <si>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</si>
  <si>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</si>
  <si>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</si>
  <si>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</si>
  <si>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</si>
  <si>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</si>
  <si>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</si>
  <si>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</si>
  <si>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</si>
  <si>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</si>
  <si>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</si>
  <si>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</si>
  <si>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</si>
  <si>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</si>
  <si>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</si>
  <si>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</si>
  <si>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</si>
  <si>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</si>
  <si>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</si>
  <si>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</si>
  <si>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</si>
  <si>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</si>
  <si>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</si>
  <si>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</si>
  <si>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</si>
  <si>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</si>
  <si>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</si>
  <si>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</si>
  <si>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</si>
  <si>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</si>
  <si>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</si>
  <si>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</si>
  <si>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</si>
  <si>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</si>
  <si>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</si>
  <si>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</si>
  <si>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</si>
  <si>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</si>
  <si>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</si>
  <si>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</si>
  <si>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</si>
  <si>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</si>
  <si>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</si>
  <si>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</si>
  <si>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</si>
  <si>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</si>
  <si>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</si>
  <si>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</si>
  <si>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</si>
  <si>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</si>
  <si>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</si>
  <si>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</si>
  <si>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</si>
  <si>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</si>
  <si>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</si>
  <si>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</si>
  <si>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</si>
  <si>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</si>
  <si>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</si>
  <si>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</si>
  <si>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</si>
  <si>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</si>
  <si>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</si>
  <si>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</si>
  <si>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</si>
  <si>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</si>
  <si>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</si>
  <si>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</si>
  <si>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</si>
  <si>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</si>
  <si>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</si>
  <si>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</si>
  <si>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</si>
  <si>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</si>
  <si>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</si>
  <si>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</si>
  <si>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</si>
  <si>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</si>
  <si>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</si>
  <si>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</si>
  <si>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</si>
  <si>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</si>
  <si>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</si>
  <si>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</si>
  <si>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</si>
  <si>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</si>
  <si>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</si>
  <si>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</si>
  <si>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</si>
  <si>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</si>
  <si>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</si>
  <si>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</si>
  <si>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</si>
  <si>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</si>
  <si>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</si>
  <si>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</si>
  <si>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</si>
  <si>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</si>
  <si>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</si>
  <si>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</si>
  <si>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</si>
  <si>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</si>
  <si>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</si>
  <si>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</si>
  <si>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</si>
  <si>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</si>
  <si>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</si>
  <si>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</si>
  <si>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</si>
  <si>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</si>
  <si>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</si>
  <si>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</si>
  <si>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</si>
  <si>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</si>
  <si>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</si>
  <si>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</si>
  <si>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</si>
  <si>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</si>
  <si>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</si>
  <si>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</si>
  <si>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</si>
  <si>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</si>
  <si>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</si>
  <si>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</si>
  <si>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</si>
  <si>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</si>
  <si>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</si>
  <si>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</si>
  <si>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</si>
  <si>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</si>
  <si>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</si>
  <si>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</si>
  <si>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</si>
  <si>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</si>
  <si>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</si>
  <si>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</si>
  <si>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</si>
  <si>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</si>
  <si>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</si>
  <si>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</si>
  <si>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</si>
  <si>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</si>
  <si>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</si>
  <si>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</si>
  <si>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</si>
  <si>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</si>
  <si>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</si>
  <si>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</si>
  <si>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</si>
  <si>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</si>
  <si>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</si>
  <si>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</si>
  <si>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</si>
  <si>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</si>
  <si>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</si>
  <si>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</si>
  <si>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</si>
  <si>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</si>
  <si>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</si>
  <si>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</si>
  <si>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</si>
  <si>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</si>
  <si>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 xml:space="preserve">Replacing a vintage odorizer with obsolete parts with a new odorizer that performs correctly and can be safely maintained.  Richland </t>
  </si>
  <si>
    <t>Add Customer Billing Correction</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</si>
  <si>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</si>
  <si>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</si>
  <si>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</si>
  <si>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</si>
  <si>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</si>
  <si>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</si>
  <si>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</si>
  <si>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</si>
  <si>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Revised Filing</t>
  </si>
  <si>
    <t>Filed</t>
  </si>
  <si>
    <t>Budgeted 2020</t>
  </si>
  <si>
    <t>UG-200278</t>
  </si>
  <si>
    <t>UG200278</t>
  </si>
  <si>
    <t>ck</t>
  </si>
  <si>
    <t>Costs</t>
  </si>
  <si>
    <t>Total Costs</t>
  </si>
  <si>
    <t>UnAmort Balance</t>
  </si>
  <si>
    <t>Amort Period</t>
  </si>
  <si>
    <t>Beg. Aug. 2018 (UG-170929)</t>
  </si>
  <si>
    <t>Beg. Mar 2020 (UG-190210)</t>
  </si>
  <si>
    <t>Beg. May 2021</t>
  </si>
  <si>
    <t>2017 Deferral</t>
  </si>
  <si>
    <t>2019 Deferral</t>
  </si>
  <si>
    <t>2018 Deferral</t>
  </si>
  <si>
    <t>Description</t>
  </si>
  <si>
    <t>New Annual Amortization</t>
  </si>
  <si>
    <t>2019 Test Year Amortization Expense</t>
  </si>
  <si>
    <t xml:space="preserve">Adjustment </t>
  </si>
  <si>
    <t>CNGC/505</t>
  </si>
  <si>
    <t>Washington Jurisdiction</t>
  </si>
  <si>
    <t>Archer/1</t>
  </si>
  <si>
    <t>Test Year Ended December 31, 2019</t>
  </si>
  <si>
    <t>Summary of Revenue by Rate Class</t>
  </si>
  <si>
    <t>Present and Proposed Rates</t>
  </si>
  <si>
    <t>Customer Class</t>
  </si>
  <si>
    <t>$ Difference</t>
  </si>
  <si>
    <t>% Difference</t>
  </si>
  <si>
    <t>Residential - 503</t>
  </si>
  <si>
    <t>Basic Service Charge</t>
  </si>
  <si>
    <t>Delivery Charge</t>
  </si>
  <si>
    <t>Commercial - 504</t>
  </si>
  <si>
    <t>Industrial - Firm 505</t>
  </si>
  <si>
    <t>Com-Ind Dual Service 511</t>
  </si>
  <si>
    <t>n/a</t>
  </si>
  <si>
    <t>Interruptible General 570</t>
  </si>
  <si>
    <t>Demand Charge</t>
  </si>
  <si>
    <t>General Distribution - 663</t>
  </si>
  <si>
    <t>CNGC/506</t>
  </si>
  <si>
    <t>Analysis of Revenue by Detailed Rate Schedule</t>
  </si>
  <si>
    <t>Current Adjusted Test Year Revenues</t>
  </si>
  <si>
    <t>Proposed Revenues</t>
  </si>
  <si>
    <t>Adjusted Billing Units*</t>
  </si>
  <si>
    <t>Adjusted Current Rate</t>
  </si>
  <si>
    <t>Proposed Rates</t>
  </si>
  <si>
    <t>$ Amount</t>
  </si>
  <si>
    <t>% Amount</t>
  </si>
  <si>
    <t>General Commercial - 504</t>
  </si>
  <si>
    <t>General Industrial - 505</t>
  </si>
  <si>
    <t>Delivery Charge First 500 Therms</t>
  </si>
  <si>
    <t>Delivery Charge Next 3,500 Therms</t>
  </si>
  <si>
    <t>Delivery Charge &gt; 4,000 Therms</t>
  </si>
  <si>
    <t>Large Volume General Service - 511</t>
  </si>
  <si>
    <t xml:space="preserve">  Margin First 20,000 Therms</t>
  </si>
  <si>
    <t xml:space="preserve">  Margin Next 80,000 Therms</t>
  </si>
  <si>
    <t xml:space="preserve">  Margin&gt; 100,000 Therms</t>
  </si>
  <si>
    <t>Non-Core Industrial 663</t>
  </si>
  <si>
    <t xml:space="preserve">  Basic Service Charge</t>
  </si>
  <si>
    <t xml:space="preserve">  Contract Demand Charge</t>
  </si>
  <si>
    <t xml:space="preserve">  System Balancing Charge</t>
  </si>
  <si>
    <t xml:space="preserve"> Delivery Charge First 100,000 Therms</t>
  </si>
  <si>
    <t>Delivery Charge Next 200,000 Therms</t>
  </si>
  <si>
    <t>Delivery Charge - over 500,000 therms</t>
  </si>
  <si>
    <t>Interruptible Service - 570</t>
  </si>
  <si>
    <t xml:space="preserve">  Margin First 30,000 Therms</t>
  </si>
  <si>
    <t xml:space="preserve">  Margin &gt; 30,000 Therms</t>
  </si>
  <si>
    <t>* Delivery Charge units are in therms</t>
  </si>
  <si>
    <t>CNGC/507</t>
  </si>
  <si>
    <t>Residential Impact by Month</t>
  </si>
  <si>
    <t>Line</t>
  </si>
  <si>
    <t>No.</t>
  </si>
  <si>
    <t>(c)</t>
  </si>
  <si>
    <t>(e)</t>
  </si>
  <si>
    <t>Present</t>
  </si>
  <si>
    <t>PGA Rate</t>
  </si>
  <si>
    <t>Revenue at</t>
  </si>
  <si>
    <t>Monthly Bill Change</t>
  </si>
  <si>
    <t>therms per</t>
  </si>
  <si>
    <t>Month</t>
  </si>
  <si>
    <t>Customer</t>
  </si>
  <si>
    <t>Percent</t>
  </si>
  <si>
    <t>Therms</t>
  </si>
  <si>
    <t>customers</t>
  </si>
  <si>
    <t xml:space="preserve">January </t>
  </si>
  <si>
    <t>February</t>
  </si>
  <si>
    <t>March</t>
  </si>
  <si>
    <t>April</t>
  </si>
  <si>
    <t>May</t>
  </si>
  <si>
    <t>June</t>
  </si>
  <si>
    <t>July</t>
  </si>
  <si>
    <t>August</t>
  </si>
  <si>
    <t>September</t>
  </si>
  <si>
    <t>October</t>
  </si>
  <si>
    <t>November</t>
  </si>
  <si>
    <t>December</t>
  </si>
  <si>
    <t>Monthly Average</t>
  </si>
  <si>
    <t>CNGC/508</t>
  </si>
  <si>
    <t>Impact of Recommended Rate Changes</t>
  </si>
  <si>
    <t>Monthly Consumption</t>
  </si>
  <si>
    <t>Revenue Change</t>
  </si>
  <si>
    <t>(therms)</t>
  </si>
  <si>
    <t>Present Rates</t>
  </si>
  <si>
    <t>Archer/2</t>
  </si>
  <si>
    <t>Archer/3</t>
  </si>
  <si>
    <t>First 500 therms</t>
  </si>
  <si>
    <t>Next 3,500 therms</t>
  </si>
  <si>
    <t>Over 4,000 therms</t>
  </si>
  <si>
    <t>Archer/4</t>
  </si>
  <si>
    <t>First 20,000 therms</t>
  </si>
  <si>
    <t>Next 80,000 therms</t>
  </si>
  <si>
    <t>Over 100,000 therms</t>
  </si>
  <si>
    <t>Archer/5</t>
  </si>
  <si>
    <t>First 30,000 therms</t>
  </si>
  <si>
    <t>Over 30,000 therms</t>
  </si>
  <si>
    <t>Contract Demand</t>
  </si>
  <si>
    <t>First 10,000 therms</t>
  </si>
  <si>
    <t>Next 10,000 therms</t>
  </si>
  <si>
    <t>Next 30,000 therms</t>
  </si>
  <si>
    <t>Next 50,000 therms</t>
  </si>
  <si>
    <t>Next 400,000 therms</t>
  </si>
  <si>
    <t>Next 500,000 therms</t>
  </si>
  <si>
    <t>Over 1,000,000 therms</t>
  </si>
  <si>
    <t>Table of Contents</t>
  </si>
  <si>
    <t>Line No</t>
  </si>
  <si>
    <t>Tab</t>
  </si>
  <si>
    <t>Key</t>
  </si>
  <si>
    <t>Input</t>
  </si>
  <si>
    <t>Link</t>
  </si>
  <si>
    <t>Model Titles</t>
  </si>
  <si>
    <t>Cascade Natural Gas Corp.</t>
  </si>
  <si>
    <t>Title1</t>
  </si>
  <si>
    <t>Title2</t>
  </si>
  <si>
    <t>General Rate Case Model</t>
  </si>
  <si>
    <t>Title3</t>
  </si>
  <si>
    <t>Proof of Revenue</t>
  </si>
  <si>
    <t>Title4</t>
  </si>
  <si>
    <t>Revenue Requirement</t>
  </si>
  <si>
    <t>Title5</t>
  </si>
  <si>
    <t>Title6</t>
  </si>
  <si>
    <t>Rate Design</t>
  </si>
  <si>
    <t>Title7</t>
  </si>
  <si>
    <t>Rate Classes</t>
  </si>
  <si>
    <t>104</t>
  </si>
  <si>
    <t>105</t>
  </si>
  <si>
    <t>111</t>
  </si>
  <si>
    <t>163</t>
  </si>
  <si>
    <t>902-2</t>
  </si>
  <si>
    <t>170</t>
  </si>
  <si>
    <t>9xx</t>
  </si>
  <si>
    <t>Residential Service</t>
  </si>
  <si>
    <t>Commercial Service</t>
  </si>
  <si>
    <t>Industrial Service</t>
  </si>
  <si>
    <t>Large Volume Service</t>
  </si>
  <si>
    <t>Transportation Service</t>
  </si>
  <si>
    <t>Special Contract</t>
  </si>
  <si>
    <t>Interruptible Service</t>
  </si>
  <si>
    <t>Special Contracts</t>
  </si>
  <si>
    <t>core</t>
  </si>
  <si>
    <t>non-core</t>
  </si>
  <si>
    <t>2" Main Average 2013 Cost</t>
  </si>
  <si>
    <t>Rate Schedule</t>
  </si>
  <si>
    <t>Proof of Revenue Section</t>
  </si>
  <si>
    <t>Proof of Revenue Workpapers Section</t>
  </si>
  <si>
    <t>Revenue Requirement Section</t>
  </si>
  <si>
    <t>Revenue Requirement Workpapers Section</t>
  </si>
  <si>
    <t>Rate Design Section</t>
  </si>
  <si>
    <t>Rate Design Workpapers Section</t>
  </si>
  <si>
    <t>SUMMARY OF REVENUES BY RATE SCHEDULE</t>
  </si>
  <si>
    <t>Schedule Merge</t>
  </si>
  <si>
    <t>Adjusted Current</t>
  </si>
  <si>
    <t>2019 Customer Billing Correction</t>
  </si>
  <si>
    <t>2019 EOP Determinants at Current Rates</t>
  </si>
  <si>
    <t>2019 Revenue Migration</t>
  </si>
  <si>
    <t>Cost Recovery Mechanism CRM</t>
  </si>
  <si>
    <t xml:space="preserve"> 2020 EOP Customer Adjustment</t>
  </si>
  <si>
    <t>Rate Description</t>
  </si>
  <si>
    <t>Billing Determinants
(Therms/Bills)</t>
  </si>
  <si>
    <t>Current Rate</t>
  </si>
  <si>
    <t>Per Books Revenue 2019</t>
  </si>
  <si>
    <t>Billing Determinants (Therms/Bills)</t>
  </si>
  <si>
    <t>Rate</t>
  </si>
  <si>
    <t>Remove/Add</t>
  </si>
  <si>
    <t>Adjusted Billing Determinants</t>
  </si>
  <si>
    <t>Adjusted Per Books Margin Revenue</t>
  </si>
  <si>
    <t>Adjusted EOP Margin Revenue</t>
  </si>
  <si>
    <t>EOP Revenue Adjustment</t>
  </si>
  <si>
    <t>Billing Determinants (Therms/Bill)</t>
  </si>
  <si>
    <t>CRM Revenue</t>
  </si>
  <si>
    <t>Adjusted 2020 Margin Revenue</t>
  </si>
  <si>
    <t>2020 EOP Adjustment</t>
  </si>
  <si>
    <t>Revenue At Proposed Rates</t>
  </si>
  <si>
    <t>2019 Revenue Adjustment</t>
  </si>
  <si>
    <t>(B) = (D)/(C)</t>
  </si>
  <si>
    <t>(F)</t>
  </si>
  <si>
    <t>(H) = (B)+( E)</t>
  </si>
  <si>
    <t>(J) = (H)*(I)</t>
  </si>
  <si>
    <t>(K)</t>
  </si>
  <si>
    <t>(L) = (I)</t>
  </si>
  <si>
    <t>(M) = (K)-(L)</t>
  </si>
  <si>
    <t>(N)</t>
  </si>
  <si>
    <t>(O) = (I)*(N)</t>
  </si>
  <si>
    <t>(P) = (J)-(O)</t>
  </si>
  <si>
    <t>(Q)</t>
  </si>
  <si>
    <t>(R) = (I)</t>
  </si>
  <si>
    <t>(S) = (Q)*(R)</t>
  </si>
  <si>
    <t>(T) = (W)</t>
  </si>
  <si>
    <t>(U)</t>
  </si>
  <si>
    <t>(V) = (T)*(U)</t>
  </si>
  <si>
    <t>(W)</t>
  </si>
  <si>
    <t>(X)=(I)*(W)</t>
  </si>
  <si>
    <t>(Y) = (X)-(O)-(S)</t>
  </si>
  <si>
    <t>(Z)</t>
  </si>
  <si>
    <t>(AA) = (W)*(Z)</t>
  </si>
  <si>
    <t>(AB) = (AA)-(X)</t>
  </si>
  <si>
    <t>Rate Schedule 503 - Residential Service Rate</t>
  </si>
  <si>
    <t>Total Margin</t>
  </si>
  <si>
    <t>Weather Normalized Volume Adjustment</t>
  </si>
  <si>
    <t>Average Cost of Gas</t>
  </si>
  <si>
    <t>Non-Gas Revenue</t>
  </si>
  <si>
    <t>Temporary Gas Cost Amortization</t>
  </si>
  <si>
    <t>WA Energy Assistance Fund Program</t>
  </si>
  <si>
    <t>WA Replacement Pipe Cost Recovery</t>
  </si>
  <si>
    <t>WA Decoupling Mechanism</t>
  </si>
  <si>
    <t>WA Deferred Gas Costs</t>
  </si>
  <si>
    <t>WA Conservation Cost Recovery</t>
  </si>
  <si>
    <t>WA Protected-Plus Excess Deferred Income Tax</t>
  </si>
  <si>
    <t>WA Unprotected Excess Deferred Income Tax</t>
  </si>
  <si>
    <t>WA Temporary Federal Income Tax Rate Credit</t>
  </si>
  <si>
    <t>City Tax Tier 1</t>
  </si>
  <si>
    <t>City Tax for Cities with Annual Maximum</t>
  </si>
  <si>
    <t>City Tax Applied (City Tax &lt; Maximum)</t>
  </si>
  <si>
    <t>State Utility Tax Credit</t>
  </si>
  <si>
    <t>Indian Nation Tribal Charge</t>
  </si>
  <si>
    <t>Current Month Unbilled +</t>
  </si>
  <si>
    <t>Previous Month Unbilled -</t>
  </si>
  <si>
    <t>CAP Adjustment</t>
  </si>
  <si>
    <t>Deferrals</t>
  </si>
  <si>
    <t>Deficiency</t>
  </si>
  <si>
    <t>Misc Revenue Adjustment</t>
  </si>
  <si>
    <t xml:space="preserve">Total Non-Gas Revenue </t>
  </si>
  <si>
    <t>check</t>
  </si>
  <si>
    <t>Rate Schedule 504 - General Commercial Service</t>
  </si>
  <si>
    <t>Migrated from  04LV</t>
  </si>
  <si>
    <t>City Tax Tier 2</t>
  </si>
  <si>
    <t>Adjustment Dollars</t>
  </si>
  <si>
    <t>Total Non-Gas Revenue</t>
  </si>
  <si>
    <t>Rate Schedule 505 - General Industrial Service</t>
  </si>
  <si>
    <t>Merge from 05LV</t>
  </si>
  <si>
    <t>Margin First 500 Therms</t>
  </si>
  <si>
    <t>Margin Next 3,500 Therms</t>
  </si>
  <si>
    <t>Margin &gt; 4,000 Therms</t>
  </si>
  <si>
    <t>City Tax Applicable to Identified Bus for Tax. Rev Limits</t>
  </si>
  <si>
    <t>Rate Schedule 511 - Large Volume General Service Rate - Commercial</t>
  </si>
  <si>
    <t>Merge from WA011LV &amp; 511 Industrial</t>
  </si>
  <si>
    <t>Move to 663</t>
  </si>
  <si>
    <t>Margin First 20,000 Therms</t>
  </si>
  <si>
    <t>Margin Next 80,000 Therms</t>
  </si>
  <si>
    <t>Margin&gt; 100,000 Therms</t>
  </si>
  <si>
    <t>Total Rate Schedule 511 Revenue</t>
  </si>
  <si>
    <t>Rate Schedule 511 - Large Volume General Service Rate - Industrial</t>
  </si>
  <si>
    <t>Merge w/ 511 Comm</t>
  </si>
  <si>
    <t>Rate Schedule: CNGW04LV</t>
  </si>
  <si>
    <t>Merge w/ 504</t>
  </si>
  <si>
    <t>Margin</t>
  </si>
  <si>
    <t xml:space="preserve"> -PM CA1501A</t>
  </si>
  <si>
    <t xml:space="preserve"> +CM CA1501A</t>
  </si>
  <si>
    <t>Total Rate Schedule: CNGW04LV</t>
  </si>
  <si>
    <t>Rate Schedule: CNGW05LV</t>
  </si>
  <si>
    <t>Merge w/ 505</t>
  </si>
  <si>
    <t>Margin First 500</t>
  </si>
  <si>
    <t>Margin Next 3500</t>
  </si>
  <si>
    <t>Total Rate Schedule: CNGW05LV</t>
  </si>
  <si>
    <t>Rate Schedule: CNGWA011LV</t>
  </si>
  <si>
    <t>Merge w/ 511 Commercial</t>
  </si>
  <si>
    <t>Total Rate Schedule: CNGW11LV</t>
  </si>
  <si>
    <t>Rate Schedule 570 - Interruptible Service Schedule</t>
  </si>
  <si>
    <t>Margin First 30,000 Therms</t>
  </si>
  <si>
    <t>Margin &gt; 30,000 Therms</t>
  </si>
  <si>
    <t>Rate Schedule 6631 - Non-Core Industrial</t>
  </si>
  <si>
    <t>From other 663 &amp; 906</t>
  </si>
  <si>
    <t>Contract Demand Charge</t>
  </si>
  <si>
    <t>System Balancing Charge</t>
  </si>
  <si>
    <t>From 511/011LV</t>
  </si>
  <si>
    <t>Delivery Charge First 100,000 Therms</t>
  </si>
  <si>
    <t>Delivery Charge &gt; 500,000 Therms</t>
  </si>
  <si>
    <t>Contract Charge (applicable only if identified in contract)</t>
  </si>
  <si>
    <t>Gross Revenue Fee</t>
  </si>
  <si>
    <t>City Tax Applicable to Identified Bus. for Tax Rev Limits</t>
  </si>
  <si>
    <t>Total Rate Schedule 6631 Revenue</t>
  </si>
  <si>
    <t>Rate Schedule 906 - Interruptible Transportation</t>
  </si>
  <si>
    <t>Merge w 6631</t>
  </si>
  <si>
    <t>Dispatch Service Charge</t>
  </si>
  <si>
    <t>Contract Demand Charge (Jan-Jul)</t>
  </si>
  <si>
    <t>Contract Demand Charge (Aug-Dec)</t>
  </si>
  <si>
    <t>DSC Commodity (Jan-Sept)</t>
  </si>
  <si>
    <t>DSC Commodity (Oct-Dec)</t>
  </si>
  <si>
    <t>System Balancing Rate (Jan-Sept)</t>
  </si>
  <si>
    <t>System Balancing Rate (Oct-Dec)</t>
  </si>
  <si>
    <t>Commodity Charge First 100,000 Therms per day (Jan-Jun)</t>
  </si>
  <si>
    <t>Commodity Charge First 100,000 Therms per day (Jul-Dec)</t>
  </si>
  <si>
    <t>Commodity Charge Over 100,000 Therms per day (Jan-Jun)</t>
  </si>
  <si>
    <t>Commodity Charge Over 100,000 Therms per day  (Jul-Dec)</t>
  </si>
  <si>
    <t>Rate Schedule 909 - Interruptible Transportation</t>
  </si>
  <si>
    <t>Monthly Facilities Charge</t>
  </si>
  <si>
    <t>System Balancing Rate</t>
  </si>
  <si>
    <t>DSC Commodity</t>
  </si>
  <si>
    <t>Commodity Charge (Jan-Sept)</t>
  </si>
  <si>
    <t>Commodity Charge (Oct-Dec)</t>
  </si>
  <si>
    <t>Rate Schedule 910 - Interruptible Transportation</t>
  </si>
  <si>
    <t>Contract Demand Charge (Jan-Sept)</t>
  </si>
  <si>
    <t>Contract Demand Charge (Sept-Dec)</t>
  </si>
  <si>
    <t>Total Rate Schedule 910 Revenue</t>
  </si>
  <si>
    <t>Rate Schedule 911 - Interruptible Transportation</t>
  </si>
  <si>
    <t>Total Rate Schedule 911 Revenue</t>
  </si>
  <si>
    <t>Rate Schedule 914 - Interruptible Transportation</t>
  </si>
  <si>
    <t>Total Rate Schedule 914 Revenue</t>
  </si>
  <si>
    <t>Rate Schedule 6631</t>
  </si>
  <si>
    <t>DEFWA revenues</t>
  </si>
  <si>
    <t>Deficiency Billings</t>
  </si>
  <si>
    <t>Total Rate Schedule 6631</t>
  </si>
  <si>
    <t>Rate Schedule 6633</t>
  </si>
  <si>
    <t>Total Rate Schedule 6633</t>
  </si>
  <si>
    <t>Rate Schedule 6635</t>
  </si>
  <si>
    <t>Delivery Charge Over 500,000 Therms</t>
  </si>
  <si>
    <t>Utilization Discount First 100,000 Therms</t>
  </si>
  <si>
    <t>Utilization Discount Next 200,000 Therms</t>
  </si>
  <si>
    <t>Utilization Discount Next 100,000 Therms</t>
  </si>
  <si>
    <t>Utilization Discount Next 300,000 Therms</t>
  </si>
  <si>
    <t>Utilization Discount Next 400,000 Therms</t>
  </si>
  <si>
    <t>Utilization Discount &gt; 1,300,000 but &lt; 18,700,000 Therms</t>
  </si>
  <si>
    <t>Facilities Charge</t>
  </si>
  <si>
    <t>Compressor Operation</t>
  </si>
  <si>
    <t>Total Rate Schedule 6635</t>
  </si>
  <si>
    <t>Rate Schedule 901 - Interruptible Transportation</t>
  </si>
  <si>
    <t>Monthly Charge</t>
  </si>
  <si>
    <t>Commodity Charge (Jan-Jul)</t>
  </si>
  <si>
    <t>Commodity Charge (Aug-Dec)</t>
  </si>
  <si>
    <t>Total Rate Schedule 901 Revenue</t>
  </si>
  <si>
    <t>Rate Schedule 903 - Interruptible Transportation</t>
  </si>
  <si>
    <t>Commodity Charge (Jan-Jun)</t>
  </si>
  <si>
    <t>Commodity Charge (Jul-Dec)</t>
  </si>
  <si>
    <t>Minimum Charge per Month</t>
  </si>
  <si>
    <t>Total Rate Schedule 903 Revenue</t>
  </si>
  <si>
    <t>Rate Schedule 908- Interruptible Transportation</t>
  </si>
  <si>
    <t>Commodity Charge First 22 Million/Year</t>
  </si>
  <si>
    <t>Total Rate Schedule 908 Revenue</t>
  </si>
  <si>
    <t>Total Cascade Margin</t>
  </si>
  <si>
    <t>Total 2019 Billing Correction</t>
  </si>
  <si>
    <t>Total 2019 EOP Adj.</t>
  </si>
  <si>
    <t>Total 2019 Revenue Migration</t>
  </si>
  <si>
    <t>2020 EOP Customer Adjustment</t>
  </si>
  <si>
    <t>Total Cascade Revenue</t>
  </si>
  <si>
    <t>Total Cap Adjustments</t>
  </si>
  <si>
    <t>Net Unbilled Margins Booked</t>
  </si>
  <si>
    <t>TOTAL OPERATING REVENUE</t>
  </si>
  <si>
    <t>Check</t>
  </si>
  <si>
    <t>Revenue Adjustments</t>
  </si>
  <si>
    <t>(Per Myhrum Exh. IDM-7, column “J”, row “584”)</t>
  </si>
  <si>
    <t>(Per Exh. IDM-7, column “D”, row “584”)</t>
  </si>
  <si>
    <t>(Per Exh. IDM-7, column “J”, row “587”)</t>
  </si>
  <si>
    <t>Plus Unbilled Margins Booked</t>
  </si>
  <si>
    <t>(Per Exh. IDM-7, column “J”, row “588”)</t>
  </si>
  <si>
    <t>2019 EOP Adjustment</t>
  </si>
  <si>
    <t>(Per Exh. IDM-7, column “J”, row “590”)</t>
  </si>
  <si>
    <t>(Per Exh. IDM-7, column “M”, row “584”)</t>
  </si>
  <si>
    <t>Total Restate Revenue Adjustment</t>
  </si>
  <si>
    <t>(Per Exh. MCP-10, R-3 Adjustment)</t>
  </si>
  <si>
    <t>(Per Exh. IDM-7, column “S”, row “584”)</t>
  </si>
  <si>
    <t>Total 2019 EOP Adjustment</t>
  </si>
  <si>
    <t>(Per Exh. IDM-7, column “P”, row “584”)</t>
  </si>
  <si>
    <t>Total Restate 2019 End of Period (EOP) Adjustment</t>
  </si>
  <si>
    <t>(Per Exh. MCP-10, R-4 Adjustment)</t>
  </si>
  <si>
    <t xml:space="preserve">Total CRM Proposed Revenue </t>
  </si>
  <si>
    <t>(Per Exh. IDM-7, column “V”, row “582”)</t>
  </si>
  <si>
    <t>Less Booked CRM Revenue</t>
  </si>
  <si>
    <t>(Per Exh. IDM-7, column “V”, row “583”)</t>
  </si>
  <si>
    <t>Total Annual CRM Adjustment</t>
  </si>
  <si>
    <t>(Per Exh. IDM-7, column “V”, row “584”)</t>
  </si>
  <si>
    <t>(Per Exh. MCP-10, R-1 Adjustment)</t>
  </si>
  <si>
    <t>Total Restate 2020 End of Period (EOP) Adjustment</t>
  </si>
  <si>
    <t>(Per Exh. IDM-7, column “Y”, row “584”)</t>
  </si>
  <si>
    <r>
      <t>(Per Exh. MCP-10, P-3</t>
    </r>
    <r>
      <rPr>
        <sz val="10"/>
        <rFont val="Calibri"/>
        <family val="2"/>
      </rPr>
      <t xml:space="preserve"> Adjustment)</t>
    </r>
  </si>
  <si>
    <t>Revenue Distribution</t>
  </si>
  <si>
    <t>Block Descriptions</t>
  </si>
  <si>
    <t>Proposed Rate</t>
  </si>
  <si>
    <t>Test Year Adjusted Sales @ 12/31/2019</t>
  </si>
  <si>
    <t>Test Year  Revenue @ Current Rates</t>
  </si>
  <si>
    <t>Margin Revenue @ Proposed Rates</t>
  </si>
  <si>
    <t>Revenue Percentage by class @ 12/31/2019</t>
  </si>
  <si>
    <t>Proposed Revenue Increase</t>
  </si>
  <si>
    <t>Total Revenue % Increase</t>
  </si>
  <si>
    <t>(i)</t>
  </si>
  <si>
    <t>(j)</t>
  </si>
  <si>
    <t>(k)</t>
  </si>
  <si>
    <t>Residential</t>
  </si>
  <si>
    <t xml:space="preserve">  Optional Service</t>
  </si>
  <si>
    <t xml:space="preserve">     Total</t>
  </si>
  <si>
    <t>Commercial</t>
  </si>
  <si>
    <t xml:space="preserve">  General Service</t>
  </si>
  <si>
    <t>Industrial Firm</t>
  </si>
  <si>
    <t>First 500 therms/month</t>
  </si>
  <si>
    <t>Next 3,500 therms/month</t>
  </si>
  <si>
    <t>All over 4,000 therms/month</t>
  </si>
  <si>
    <t>Com-Ind Dual Service</t>
  </si>
  <si>
    <t xml:space="preserve">  Large Volume</t>
  </si>
  <si>
    <t>First 20,000 therms/month</t>
  </si>
  <si>
    <t>Next 80,000 therms/month</t>
  </si>
  <si>
    <t>All over 100,000 therms/month</t>
  </si>
  <si>
    <t xml:space="preserve">     Total </t>
  </si>
  <si>
    <t>Interruptible</t>
  </si>
  <si>
    <t xml:space="preserve">  General </t>
  </si>
  <si>
    <t>First 30,000 therms/month</t>
  </si>
  <si>
    <t>All over 30,000 therms/month</t>
  </si>
  <si>
    <t>Total Core</t>
  </si>
  <si>
    <t>Non-Core</t>
  </si>
  <si>
    <t xml:space="preserve">  Distribution Trans.</t>
  </si>
  <si>
    <t>First 100,000 therms/month</t>
  </si>
  <si>
    <t>Next 200,000 therms/month</t>
  </si>
  <si>
    <t>Over 500,000 therms/month</t>
  </si>
  <si>
    <t>Total Non-Core</t>
  </si>
  <si>
    <t>Rev. Increase</t>
  </si>
  <si>
    <t>Exh MCP-9</t>
  </si>
  <si>
    <t>Margin Revenue is from Exh. IDM-7, column (AA). (Margin revenue in proposed column.)</t>
  </si>
  <si>
    <t>Table 1</t>
  </si>
  <si>
    <t>Rate Schedules</t>
  </si>
  <si>
    <t>Margin Revenue (1)</t>
  </si>
  <si>
    <t>EOP Weather Normalized Or Actual Annual Therms (2)</t>
  </si>
  <si>
    <t>Rate (3)</t>
  </si>
  <si>
    <t>Customer Count (4)</t>
  </si>
  <si>
    <t>Data Sources</t>
  </si>
  <si>
    <t>Rate is Column C divided by Column E</t>
  </si>
  <si>
    <t>Table 2</t>
  </si>
  <si>
    <t xml:space="preserve">April </t>
  </si>
  <si>
    <t xml:space="preserve">May </t>
  </si>
  <si>
    <t xml:space="preserve">June </t>
  </si>
  <si>
    <t xml:space="preserve">July </t>
  </si>
  <si>
    <t xml:space="preserve">August </t>
  </si>
  <si>
    <t xml:space="preserve">September </t>
  </si>
  <si>
    <t xml:space="preserve">November </t>
  </si>
  <si>
    <t xml:space="preserve">Data Source </t>
  </si>
  <si>
    <t>Table 3</t>
  </si>
  <si>
    <t>New Authorized Revenue Per Customer (6)</t>
  </si>
  <si>
    <t xml:space="preserve">March </t>
  </si>
  <si>
    <t>Data Source</t>
  </si>
  <si>
    <t>Cascade Natural Gas Coporation</t>
  </si>
  <si>
    <t>Test Year Summary of 1501 Reports</t>
  </si>
  <si>
    <t>Source: Monthly CA1501 Reports</t>
  </si>
  <si>
    <t>BSC1</t>
  </si>
  <si>
    <t>Monthly Bill determinants</t>
  </si>
  <si>
    <t>Total Revenue</t>
  </si>
  <si>
    <t>Rate Schedule: CNGWA503</t>
  </si>
  <si>
    <t>Total Dollars</t>
  </si>
  <si>
    <t>Adjustment Therms</t>
  </si>
  <si>
    <t>Total Therms</t>
  </si>
  <si>
    <t>Rate Schedule: CNGWA504</t>
  </si>
  <si>
    <t>Rate: CNGWA011LV</t>
  </si>
  <si>
    <t>Margin &gt; 100,000 Therms</t>
  </si>
  <si>
    <t>Rate Schedule: CNGWA505</t>
  </si>
  <si>
    <t>Rate: CNGWA511 - COMMERCIAL</t>
  </si>
  <si>
    <t>Rate: CNGWA511 - INDUSTRIAL</t>
  </si>
  <si>
    <t>Rate Schedule: CNGWA570</t>
  </si>
  <si>
    <t>Contract Charge</t>
  </si>
  <si>
    <t>Commodity Charge First 100,000 Therms per day</t>
  </si>
  <si>
    <t>Commodity Charge Over 100,000 Therms per day</t>
  </si>
  <si>
    <t>Commodity Charge</t>
  </si>
  <si>
    <t>Rate Schedule 6631 - Non-Core Generating</t>
  </si>
  <si>
    <t>Check - MONTHLY CA1501 REPORT TOTAL</t>
  </si>
  <si>
    <t>Test Year Revenue Recon Report</t>
  </si>
  <si>
    <t>Jan19</t>
  </si>
  <si>
    <t>Feb19</t>
  </si>
  <si>
    <t>Mar19</t>
  </si>
  <si>
    <t>Apr19</t>
  </si>
  <si>
    <t>May19</t>
  </si>
  <si>
    <t>Jun19</t>
  </si>
  <si>
    <t>Jul19</t>
  </si>
  <si>
    <t>Aug19</t>
  </si>
  <si>
    <t>Sep19</t>
  </si>
  <si>
    <t>Oct19</t>
  </si>
  <si>
    <t>Nov19</t>
  </si>
  <si>
    <t>Dec19</t>
  </si>
  <si>
    <t>RESIDENTIAL</t>
  </si>
  <si>
    <t>CNGWA503</t>
  </si>
  <si>
    <t>CM Unbilled therms</t>
  </si>
  <si>
    <t>PM Unbilled therms</t>
  </si>
  <si>
    <t xml:space="preserve"> -PM CA1501A therms</t>
  </si>
  <si>
    <t xml:space="preserve"> +CM CA1501A therms</t>
  </si>
  <si>
    <t>Revenue (CA1501)</t>
  </si>
  <si>
    <t>CM Unbilled revenues</t>
  </si>
  <si>
    <t>PM Unbilled revenues</t>
  </si>
  <si>
    <t>CAP revenues</t>
  </si>
  <si>
    <t>COMMERCIAL</t>
  </si>
  <si>
    <t>CNGWA504</t>
  </si>
  <si>
    <t>CNGWA011LV</t>
  </si>
  <si>
    <t>INDUSTRIAL</t>
  </si>
  <si>
    <t>CNGWA505</t>
  </si>
  <si>
    <t>CNGWA511</t>
  </si>
  <si>
    <t>Industrial</t>
  </si>
  <si>
    <t>CNGW04LV</t>
  </si>
  <si>
    <t>CNGW05LV</t>
  </si>
  <si>
    <t>CNGWA570</t>
  </si>
  <si>
    <t>CNGWA6631</t>
  </si>
  <si>
    <t>Industrials</t>
  </si>
  <si>
    <t>CNGWA906</t>
  </si>
  <si>
    <t>CNGWA909</t>
  </si>
  <si>
    <t>CNGWA910</t>
  </si>
  <si>
    <t>CNGWA911</t>
  </si>
  <si>
    <t>CNGWA914</t>
  </si>
  <si>
    <t>Generating</t>
  </si>
  <si>
    <t>CNGWA6633</t>
  </si>
  <si>
    <t>CNGWA6635</t>
  </si>
  <si>
    <t>CNGWA901</t>
  </si>
  <si>
    <t>CNGWA903</t>
  </si>
  <si>
    <t>CNGWA908</t>
  </si>
  <si>
    <t>Alloc Select</t>
  </si>
  <si>
    <t>End of Period Useage Calculations</t>
  </si>
  <si>
    <t>2019 Monthly Therms - Actual(Normalized) Therms / Ave Use Per Month</t>
  </si>
  <si>
    <t>ALTERNATIVE CALCULATIONS</t>
  </si>
  <si>
    <t>Jan</t>
  </si>
  <si>
    <t>Feb</t>
  </si>
  <si>
    <t>Mar</t>
  </si>
  <si>
    <t>Apr</t>
  </si>
  <si>
    <t>Jun</t>
  </si>
  <si>
    <t>Jul</t>
  </si>
  <si>
    <t>Aug</t>
  </si>
  <si>
    <t>Sep</t>
  </si>
  <si>
    <t>Oct</t>
  </si>
  <si>
    <t>Nov</t>
  </si>
  <si>
    <t>Dec</t>
  </si>
  <si>
    <t>503 (data from Weather Norm. wksheet)</t>
  </si>
  <si>
    <t>For company use</t>
  </si>
  <si>
    <t>503 Combined Ave Useage</t>
  </si>
  <si>
    <t>504 (data from Weather Norm. wksheet)</t>
  </si>
  <si>
    <t>011LV 511 to 663 Conversion</t>
  </si>
  <si>
    <t>504 Combined Ave Useage</t>
  </si>
  <si>
    <t>505 merge</t>
  </si>
  <si>
    <t>05LV total</t>
  </si>
  <si>
    <r>
      <t xml:space="preserve">505 Combined </t>
    </r>
    <r>
      <rPr>
        <i/>
        <sz val="11"/>
        <rFont val="Calibri"/>
        <family val="2"/>
        <scheme val="minor"/>
      </rPr>
      <t>(05LV + 505)</t>
    </r>
  </si>
  <si>
    <t>505 First 500 Ave Useage</t>
  </si>
  <si>
    <t>505 Next 3500 Ave Useage</t>
  </si>
  <si>
    <t>505 &gt;4000 Ave Useage</t>
  </si>
  <si>
    <t>505 Combined Ave Useage</t>
  </si>
  <si>
    <t>511 merge</t>
  </si>
  <si>
    <t>011LV</t>
  </si>
  <si>
    <t>2019 511 ALT - W/O 011LV CUSTOMERS</t>
  </si>
  <si>
    <t>511 Margin First 20,000 Ave</t>
  </si>
  <si>
    <t>511 Margin Next 80,000 Ave</t>
  </si>
  <si>
    <t>511 Margin &gt; 100,000 Ave</t>
  </si>
  <si>
    <t>511 Combined Ave Useage</t>
  </si>
  <si>
    <t>570 Margin First 30,000 Ave</t>
  </si>
  <si>
    <t>570 Margin &gt; 30,000 Ave</t>
  </si>
  <si>
    <t>570 Combined Ave Useage</t>
  </si>
  <si>
    <t>6631 - Non Core Industrials</t>
  </si>
  <si>
    <t>2019 663 ALT - W 011LV CUSTOMERS</t>
  </si>
  <si>
    <t>Delivery Charge First 100,000 Therms Ave</t>
  </si>
  <si>
    <t>Delivery Charge Next 200,000 Therms Ave</t>
  </si>
  <si>
    <t>Delivery Charge &gt; 500,000 Therms Ave</t>
  </si>
  <si>
    <t>6631 NC Combined Average Useage</t>
  </si>
  <si>
    <t>6631 - Non Core Generating</t>
  </si>
  <si>
    <t>6631 Gen Combined Average Useage</t>
  </si>
  <si>
    <t>6633 Gen Combined Average Useage</t>
  </si>
  <si>
    <t>Combined 6631 Billing Corrections 500k therms</t>
  </si>
  <si>
    <t>6635 Combined Average Useage</t>
  </si>
  <si>
    <t>Delivery Charge Over 100,000 Therms</t>
  </si>
  <si>
    <t>Delivery Charge Over 100,000 Therms Ave</t>
  </si>
  <si>
    <t>906 Combined Average Useage</t>
  </si>
  <si>
    <t>All 663 Ave DC First 100,000 Therms</t>
  </si>
  <si>
    <t>All 663 Ave DC Next 200,000 Therms</t>
  </si>
  <si>
    <t>All 663 Ave DC&gt; 500,000 Therms</t>
  </si>
  <si>
    <t>2019 Annualized Usage Using End of Period Customer Counts</t>
  </si>
  <si>
    <t>End of Period Annualized Customer Counts</t>
  </si>
  <si>
    <t>Monthly Actual Average customer counts</t>
  </si>
  <si>
    <t>2020 End of Period Annualized Customers with Growth Projections</t>
  </si>
  <si>
    <t>503 Normalized</t>
  </si>
  <si>
    <r>
      <t xml:space="preserve">504 Combined </t>
    </r>
    <r>
      <rPr>
        <i/>
        <sz val="11"/>
        <color theme="1"/>
        <rFont val="Calibri"/>
        <family val="2"/>
        <scheme val="minor"/>
      </rPr>
      <t>(04LV+504)</t>
    </r>
  </si>
  <si>
    <t>add</t>
  </si>
  <si>
    <r>
      <t xml:space="preserve">505 Combined </t>
    </r>
    <r>
      <rPr>
        <i/>
        <sz val="11"/>
        <color theme="1"/>
        <rFont val="Calibri"/>
        <family val="2"/>
        <scheme val="minor"/>
      </rPr>
      <t>(05LV + 505)</t>
    </r>
  </si>
  <si>
    <t>wa011LV</t>
  </si>
  <si>
    <t>511 Combined</t>
  </si>
  <si>
    <t>570 Combined</t>
  </si>
  <si>
    <t>663 Combined</t>
  </si>
  <si>
    <t>Added from 011LV</t>
  </si>
  <si>
    <t>All 663 Combined</t>
  </si>
  <si>
    <t>2020 Annualized Usage Using Projected Customer Counts</t>
  </si>
  <si>
    <t>2019 Alternative Billing Determinants for RS 6631</t>
  </si>
  <si>
    <t>BILLING CORRECTION &amp; 011LV CUSTOMERS COMBINED</t>
  </si>
  <si>
    <t>Test Year State Allocation Report</t>
  </si>
  <si>
    <t>TOTAL GAS SALES</t>
  </si>
  <si>
    <t>TOTAL OTHER OPERATING REVENUE</t>
  </si>
  <si>
    <t>503 - Residential Actuals</t>
  </si>
  <si>
    <t>504 - Commercial Actuals</t>
  </si>
  <si>
    <t>Actuals</t>
  </si>
  <si>
    <t>CASCADE NAUTURAL GAS CORPORATION</t>
  </si>
  <si>
    <t>RULE 21 DECOUPLING MECHANISM</t>
  </si>
  <si>
    <t>DEFERRED ACCOUNTING DETAILS - TWELVE MONTHS ENDED DECEMBER 31, 2019</t>
  </si>
  <si>
    <t>Ammortize JE</t>
  </si>
  <si>
    <t>Interest Rate</t>
  </si>
  <si>
    <t>https://www.ferc.gov/enforcement/acct-matts/interest-rates.asp</t>
  </si>
  <si>
    <t>Days</t>
  </si>
  <si>
    <t>4800 Residential</t>
  </si>
  <si>
    <t>NO LONGER</t>
  </si>
  <si>
    <t>CC&amp;B Report: CA1499 Services Summary</t>
  </si>
  <si>
    <t>Actual Margin Revenues</t>
  </si>
  <si>
    <t>CC&amp;B Report: CA1501 Revenue by District</t>
  </si>
  <si>
    <t>Total Actual Margin Revenues</t>
  </si>
  <si>
    <t>Unbilled Margins Booked</t>
  </si>
  <si>
    <t>Authorized Revenue</t>
  </si>
  <si>
    <t>DEFERRAL AMOUNT</t>
  </si>
  <si>
    <t>Interest</t>
  </si>
  <si>
    <t>Monthly Deferral Total</t>
  </si>
  <si>
    <t>Cumulative Deferral Total</t>
  </si>
  <si>
    <t>Customer Count by Rate Class</t>
  </si>
  <si>
    <t>Unbilled Margin Revenues</t>
  </si>
  <si>
    <t>Current Month - UNBILLED THERMS &amp; REVENUE XXXX.xlsx</t>
  </si>
  <si>
    <t>Prior Month - UNBILLED THERMS &amp; REVENUE XXXX.xlsx</t>
  </si>
  <si>
    <t>4809 Industrial</t>
  </si>
  <si>
    <t>CC&amp;B Report: CA1501 &amp; CI1564 CRM Adjustment for old rates</t>
  </si>
  <si>
    <t>CC&amp;B Report: CA1501 Revenue by District - First 500</t>
  </si>
  <si>
    <t>CC&amp;B Report: CA1501 Revenue by District - Next 3,500</t>
  </si>
  <si>
    <t>CC&amp;B Report: CA1501 Revenue by District - Over 4,000</t>
  </si>
  <si>
    <t>CC&amp;B Report: CA1501 Revenue by District - First 20,000</t>
  </si>
  <si>
    <t>CC&amp;B Report: CA1501 Revenue by District - Next 80,000</t>
  </si>
  <si>
    <t>CC&amp;B Report: CA1501 Revenue by District - Over 100,000</t>
  </si>
  <si>
    <t>4810 Commercial</t>
  </si>
  <si>
    <t>04LV</t>
  </si>
  <si>
    <t>CC&amp;B Report: Current Month CA1501A Revenue by District</t>
  </si>
  <si>
    <t>CC&amp;B Report: Prior Month CA1501A Revenue by District</t>
  </si>
  <si>
    <t>11LV</t>
  </si>
  <si>
    <t>CC&amp;B Report: CA1501A Revenue by District - First 20,000</t>
  </si>
  <si>
    <t>CC&amp;B Report: CA1501A Revenue by District - Next 80,000</t>
  </si>
  <si>
    <t>CC&amp;B Report: CA1501A Revenue by District - Over 100,000</t>
  </si>
  <si>
    <t>4811 Commercial</t>
  </si>
  <si>
    <t>05LV</t>
  </si>
  <si>
    <t>CC&amp;B Report: Current Month CA1501A Revenue by District - First 500</t>
  </si>
  <si>
    <t>CC&amp;B Report: Current Month CA1501A Revenue by District - Next 3,500</t>
  </si>
  <si>
    <t>CC&amp;B Report: Prior Month CA1501A Revenue by District - First 500</t>
  </si>
  <si>
    <t>CC&amp;B Report: Prior Month CA1501A Revenue by District - Next 3,500</t>
  </si>
  <si>
    <t>4813 Industrial</t>
  </si>
  <si>
    <t>CC&amp;B Report: CA1501 Revenue by District - First 30,000</t>
  </si>
  <si>
    <t>CC&amp;B Report: CA1501 Revenue by District - Over 30,000</t>
  </si>
  <si>
    <t>CC&amp;B Report: Current Month CA1501A Revenue by District - First 30,000</t>
  </si>
  <si>
    <t>CC&amp;B Report: Current Month CA1501A Revenue by District - Over 30,000</t>
  </si>
  <si>
    <t>CC&amp;B Report: Prior Month CA1501A Revenue by District - First 30,000</t>
  </si>
  <si>
    <t>CC&amp;B Report: Prior Month CA1501A Revenue by District - Over 30,000</t>
  </si>
  <si>
    <t>CC&amp;B Report: CA1501 Revenue by District - First 4,000</t>
  </si>
  <si>
    <t>CC&amp;B Report: Current Month CA1501A Revenue by District - First 4,000</t>
  </si>
  <si>
    <t>CC&amp;B Report: Current Month CA1501A Revenue by District - Over 4,000</t>
  </si>
  <si>
    <t>CC&amp;B Report: Prior Month CA1501A Revenue by District - First 4,000</t>
  </si>
  <si>
    <t>CC&amp;B Report: Prior Month CA1501A Revenue by District - Over 4,000</t>
  </si>
  <si>
    <t>TOTAL DEFERRAL AMOUNT</t>
  </si>
  <si>
    <t>Total Unbilled Margins Booked</t>
  </si>
  <si>
    <t>Interest (rounding)</t>
  </si>
  <si>
    <t>Journal Entry</t>
  </si>
  <si>
    <t xml:space="preserve">Aug </t>
  </si>
  <si>
    <t>47WA.1862.20477</t>
  </si>
  <si>
    <t>WA Decoupling Mechanism variance deferral</t>
  </si>
  <si>
    <t>47WA.4002.4800CP</t>
  </si>
  <si>
    <t>Residential CAP</t>
  </si>
  <si>
    <t>47WA.4002.4809CP</t>
  </si>
  <si>
    <t>Industrial CAP</t>
  </si>
  <si>
    <t>47WA.4002.4810CP</t>
  </si>
  <si>
    <t>Commerical CAP</t>
  </si>
  <si>
    <t>47WA.4002.4811CP</t>
  </si>
  <si>
    <t>Small Commerical CAP</t>
  </si>
  <si>
    <t>47WA.4002.4813CP</t>
  </si>
  <si>
    <t>Small Industrial CAP</t>
  </si>
  <si>
    <t>Original Entry</t>
  </si>
  <si>
    <t>2nd Entry</t>
  </si>
  <si>
    <t>2020 New Customer Forecast</t>
  </si>
  <si>
    <t>Table A</t>
  </si>
  <si>
    <t>Table B</t>
  </si>
  <si>
    <t>2020 Projected Customer Counts. Starting point: Dec 2019 EOP Customer Counts</t>
  </si>
  <si>
    <t>Customer Forecast from 2018 WA IRP - UG-171186</t>
  </si>
  <si>
    <t>511-Com</t>
  </si>
  <si>
    <t>511-LV-COM</t>
  </si>
  <si>
    <t>511-Ind</t>
  </si>
  <si>
    <t xml:space="preserve">WA503 </t>
  </si>
  <si>
    <t xml:space="preserve">WA504 </t>
  </si>
  <si>
    <t xml:space="preserve">WA505 </t>
  </si>
  <si>
    <t xml:space="preserve">WA511 </t>
  </si>
  <si>
    <t xml:space="preserve">WA570 </t>
  </si>
  <si>
    <t>Customer Schedule</t>
  </si>
  <si>
    <t>RS 663</t>
  </si>
  <si>
    <t>Overbilled Therms</t>
  </si>
  <si>
    <t>&gt; 500k Rate</t>
  </si>
  <si>
    <t>Therm Diff</t>
  </si>
  <si>
    <t>Total 2020</t>
  </si>
  <si>
    <t>Total 2019</t>
  </si>
  <si>
    <t>Meters</t>
  </si>
  <si>
    <t>Exh 301, Proof of Revenue</t>
  </si>
  <si>
    <t>Calculation of Baseline Monthly Commodity Margin Per Customer</t>
  </si>
  <si>
    <t>Exh 302, Margin Baseline</t>
  </si>
  <si>
    <t>Revenue Recon</t>
  </si>
  <si>
    <t>Allocation Summary</t>
  </si>
  <si>
    <t>Therm Forecast</t>
  </si>
  <si>
    <t>Forecast</t>
  </si>
  <si>
    <t>Sch. 163 Therm Forecast</t>
  </si>
  <si>
    <t xml:space="preserve">Special Contract Number </t>
  </si>
  <si>
    <t>902-905</t>
  </si>
  <si>
    <t>Peak Days for Sch. 163</t>
  </si>
  <si>
    <t>163 3 Day Peak</t>
  </si>
  <si>
    <t>Exh 401, RR Summary</t>
  </si>
  <si>
    <t>Exh 402, RR Calc</t>
  </si>
  <si>
    <t>Twelve-Months ended December 31, 2019</t>
  </si>
  <si>
    <t>Embedded Cost of Service (ECOS) Study</t>
  </si>
  <si>
    <t>List</t>
  </si>
  <si>
    <t>2020 Total Company's Plant</t>
  </si>
  <si>
    <t>FP-101194</t>
  </si>
  <si>
    <t>FP-101210</t>
  </si>
  <si>
    <t>FP-317630</t>
  </si>
  <si>
    <t>FP-317632</t>
  </si>
  <si>
    <t>FP-317634</t>
  </si>
  <si>
    <t>FP-317636</t>
  </si>
  <si>
    <t>FP-317638</t>
  </si>
  <si>
    <t>FP-317640</t>
  </si>
  <si>
    <t>FP-317642</t>
  </si>
  <si>
    <t>FP-317644</t>
  </si>
  <si>
    <t>FP-317646</t>
  </si>
  <si>
    <t>FP-317648</t>
  </si>
  <si>
    <t>FP-317650</t>
  </si>
  <si>
    <t>FP-317652</t>
  </si>
  <si>
    <t>FP-317654</t>
  </si>
  <si>
    <t>FP-317656</t>
  </si>
  <si>
    <t>FP-317750</t>
  </si>
  <si>
    <t>FP-317752</t>
  </si>
  <si>
    <t>Updated</t>
  </si>
  <si>
    <t>Exh 301, Proof of Revenue - AC587</t>
  </si>
  <si>
    <t>Exh 301, Proof of Revenue - AC588</t>
  </si>
  <si>
    <t>Exh 301, Proof of Revenue - AC589</t>
  </si>
  <si>
    <t>FP-101413GP BUILDINGS - WALLAWALLA</t>
  </si>
  <si>
    <t>FP-101416GP TOOLS - WALLAWALLA</t>
  </si>
  <si>
    <t>FP-317628</t>
  </si>
  <si>
    <t>FP-317658</t>
  </si>
  <si>
    <t>FP-300233</t>
  </si>
  <si>
    <t>FP-316586</t>
  </si>
  <si>
    <t>FP-317322</t>
  </si>
  <si>
    <t>FP-316429</t>
  </si>
  <si>
    <t>FP-318987</t>
  </si>
  <si>
    <t>FP-318808</t>
  </si>
  <si>
    <t>FP-318829</t>
  </si>
  <si>
    <t>FP-318352</t>
  </si>
  <si>
    <t>FP-318690</t>
  </si>
  <si>
    <t>FP-306998</t>
  </si>
  <si>
    <t>FP-306988</t>
  </si>
  <si>
    <t>FP-316589</t>
  </si>
  <si>
    <t>FP-318746</t>
  </si>
  <si>
    <t>FP-318747</t>
  </si>
  <si>
    <t>FP-318566</t>
  </si>
  <si>
    <t>FP-318482</t>
  </si>
  <si>
    <t>FP-317060</t>
  </si>
  <si>
    <t>FP-318742</t>
  </si>
  <si>
    <t>FP-318588</t>
  </si>
  <si>
    <t>FP-302596</t>
  </si>
  <si>
    <t>FP-316587</t>
  </si>
  <si>
    <t>FP-317535</t>
  </si>
  <si>
    <t>FP-316670</t>
  </si>
  <si>
    <t>FP-319072</t>
  </si>
  <si>
    <t>FP-319063</t>
  </si>
  <si>
    <t>FP-319056</t>
  </si>
  <si>
    <t>Scott</t>
  </si>
  <si>
    <t>Project Name</t>
  </si>
  <si>
    <t>Actual Cost</t>
  </si>
  <si>
    <t>Actual In Service Date</t>
  </si>
  <si>
    <t>Arlington Gate Project</t>
  </si>
  <si>
    <t>FP-317322 ARLINGTON GATE UPGR; NWP</t>
  </si>
  <si>
    <t>Aberdeen 6" HP Project</t>
  </si>
  <si>
    <t>Othello Gate Project</t>
  </si>
  <si>
    <t>Bremerton Office Project</t>
  </si>
  <si>
    <t>Walla Walla 6" Distribution Project</t>
  </si>
  <si>
    <t>Walla Walla Gate Project</t>
  </si>
  <si>
    <t>FP-306998 SOUTH WALLA GATE-NWP</t>
  </si>
  <si>
    <t>Bremerton Reg Station Project</t>
  </si>
  <si>
    <t>Moses Lake 4" PE Project</t>
  </si>
  <si>
    <t>Bellingham 8" HP Project</t>
  </si>
  <si>
    <t>Mount Vernon Reg Station Project</t>
  </si>
  <si>
    <t xml:space="preserve">FP-317535 - GR; R-128 BURB; TIE-IN TO ATTALIA </t>
  </si>
  <si>
    <t>Richland Keene Rd Project</t>
  </si>
  <si>
    <t>Kennewick Odorizer Project</t>
  </si>
  <si>
    <t>Richland Odorizer Project</t>
  </si>
  <si>
    <t>Projects</t>
  </si>
  <si>
    <t>Blanket</t>
  </si>
  <si>
    <t>Depn</t>
  </si>
  <si>
    <t>AWEC</t>
  </si>
  <si>
    <r>
      <t xml:space="preserve">Coupon Rate
</t>
    </r>
    <r>
      <rPr>
        <b/>
        <sz val="5"/>
        <rFont val="Arial"/>
        <family val="2"/>
      </rPr>
      <t xml:space="preserve">
</t>
    </r>
    <r>
      <rPr>
        <b/>
        <sz val="12"/>
        <rFont val="Arial"/>
        <family val="2"/>
      </rPr>
      <t>(%)</t>
    </r>
  </si>
  <si>
    <t>Maturity Date</t>
  </si>
  <si>
    <t>Settlement Date</t>
  </si>
  <si>
    <r>
      <t xml:space="preserve">Original Term
</t>
    </r>
    <r>
      <rPr>
        <b/>
        <sz val="5"/>
        <rFont val="Arial"/>
        <family val="2"/>
      </rPr>
      <t xml:space="preserve">
</t>
    </r>
    <r>
      <rPr>
        <b/>
        <sz val="12"/>
        <rFont val="Arial"/>
        <family val="2"/>
      </rPr>
      <t>(years)</t>
    </r>
  </si>
  <si>
    <r>
      <t xml:space="preserve">Principal Amount
</t>
    </r>
    <r>
      <rPr>
        <b/>
        <sz val="5"/>
        <rFont val="Arial"/>
        <family val="2"/>
      </rPr>
      <t xml:space="preserve">
</t>
    </r>
    <r>
      <rPr>
        <b/>
        <sz val="12"/>
        <rFont val="Arial"/>
        <family val="2"/>
      </rPr>
      <t>($1,000)</t>
    </r>
  </si>
  <si>
    <r>
      <t xml:space="preserve">Issuance Costs
</t>
    </r>
    <r>
      <rPr>
        <b/>
        <sz val="5"/>
        <rFont val="Arial"/>
        <family val="2"/>
      </rPr>
      <t xml:space="preserve">
</t>
    </r>
    <r>
      <rPr>
        <b/>
        <sz val="12"/>
        <rFont val="Arial"/>
        <family val="2"/>
      </rPr>
      <t>($1,000)</t>
    </r>
  </si>
  <si>
    <r>
      <t xml:space="preserve">Settled Hedge
Loss / (Gain)
</t>
    </r>
    <r>
      <rPr>
        <b/>
        <sz val="5"/>
        <rFont val="Arial"/>
        <family val="2"/>
      </rPr>
      <t xml:space="preserve">
</t>
    </r>
    <r>
      <rPr>
        <b/>
        <sz val="12"/>
        <rFont val="Arial"/>
        <family val="2"/>
      </rPr>
      <t>($1,000)</t>
    </r>
  </si>
  <si>
    <r>
      <t xml:space="preserve">Discount /
(Premium)
</t>
    </r>
    <r>
      <rPr>
        <b/>
        <sz val="5"/>
        <rFont val="Arial"/>
        <family val="2"/>
      </rPr>
      <t xml:space="preserve">
</t>
    </r>
    <r>
      <rPr>
        <b/>
        <sz val="12"/>
        <rFont val="Arial"/>
        <family val="2"/>
      </rPr>
      <t>($1,000)</t>
    </r>
  </si>
  <si>
    <r>
      <t xml:space="preserve">Redemption Expenses
</t>
    </r>
    <r>
      <rPr>
        <b/>
        <sz val="5"/>
        <rFont val="Arial"/>
        <family val="2"/>
      </rPr>
      <t xml:space="preserve">
</t>
    </r>
    <r>
      <rPr>
        <b/>
        <sz val="12"/>
        <rFont val="Arial"/>
        <family val="2"/>
      </rPr>
      <t>($1,000)</t>
    </r>
  </si>
  <si>
    <r>
      <t xml:space="preserve">Net Proceeds 
</t>
    </r>
    <r>
      <rPr>
        <b/>
        <sz val="5"/>
        <rFont val="Arial"/>
        <family val="2"/>
      </rPr>
      <t xml:space="preserve">
</t>
    </r>
    <r>
      <rPr>
        <b/>
        <sz val="12"/>
        <rFont val="Arial"/>
        <family val="2"/>
      </rPr>
      <t>($1,000)</t>
    </r>
  </si>
  <si>
    <t>Per $100 Principal</t>
  </si>
  <si>
    <r>
      <t xml:space="preserve">Yield to Maturity
</t>
    </r>
    <r>
      <rPr>
        <b/>
        <sz val="5"/>
        <rFont val="Arial"/>
        <family val="2"/>
      </rPr>
      <t xml:space="preserve">
</t>
    </r>
    <r>
      <rPr>
        <b/>
        <sz val="12"/>
        <rFont val="Arial"/>
        <family val="2"/>
      </rPr>
      <t>(%)</t>
    </r>
  </si>
  <si>
    <r>
      <t xml:space="preserve">Outstanding Amount on 12/31/2020
</t>
    </r>
    <r>
      <rPr>
        <b/>
        <sz val="5"/>
        <rFont val="Arial"/>
        <family val="2"/>
      </rPr>
      <t xml:space="preserve">
</t>
    </r>
    <r>
      <rPr>
        <b/>
        <sz val="12"/>
        <rFont val="Arial"/>
        <family val="2"/>
      </rPr>
      <t>($1,000)</t>
    </r>
  </si>
  <si>
    <r>
      <t xml:space="preserve">Effective Cost
</t>
    </r>
    <r>
      <rPr>
        <b/>
        <sz val="5"/>
        <rFont val="Arial"/>
        <family val="2"/>
      </rPr>
      <t xml:space="preserve">
</t>
    </r>
    <r>
      <rPr>
        <b/>
        <sz val="12"/>
        <rFont val="Arial"/>
        <family val="2"/>
      </rPr>
      <t>($1,000)</t>
    </r>
  </si>
  <si>
    <r>
      <t>Remaining Term</t>
    </r>
    <r>
      <rPr>
        <b/>
        <sz val="5"/>
        <rFont val="Arial"/>
        <family val="2"/>
      </rPr>
      <t xml:space="preserve">
</t>
    </r>
    <r>
      <rPr>
        <b/>
        <sz val="12"/>
        <rFont val="Arial"/>
        <family val="2"/>
      </rPr>
      <t>(years)</t>
    </r>
  </si>
  <si>
    <t>(E)</t>
  </si>
  <si>
    <t>(J)</t>
  </si>
  <si>
    <r>
      <t xml:space="preserve">(K)
</t>
    </r>
    <r>
      <rPr>
        <sz val="11"/>
        <rFont val="Arial"/>
        <family val="2"/>
      </rPr>
      <t>[F - G - H - I - J]</t>
    </r>
  </si>
  <si>
    <r>
      <t xml:space="preserve">(L)
</t>
    </r>
    <r>
      <rPr>
        <sz val="11"/>
        <rFont val="Arial"/>
        <family val="2"/>
      </rPr>
      <t>[K / F] * 100</t>
    </r>
  </si>
  <si>
    <t>(M)</t>
  </si>
  <si>
    <t>(O)
[M * N]</t>
  </si>
  <si>
    <t>(P)</t>
  </si>
  <si>
    <t>LT Debt in Test Year</t>
  </si>
  <si>
    <t>Test year 01/01/2020 - 12/31/2020</t>
  </si>
  <si>
    <t>Includes LT Debt issuances on May 20, 2020</t>
  </si>
  <si>
    <t>No proforma debt issuances are forecasted by the Company</t>
  </si>
  <si>
    <t>Oregon Jurisdiction</t>
  </si>
  <si>
    <t>ROO PGA</t>
  </si>
  <si>
    <t>Total PGA</t>
  </si>
  <si>
    <t>Total Decoupling</t>
  </si>
  <si>
    <t>Rev Sen.</t>
  </si>
  <si>
    <t>Total PGA Revenues</t>
  </si>
  <si>
    <t>Natural Gas/Production Costs</t>
  </si>
  <si>
    <t>Exh. IDM-7</t>
  </si>
  <si>
    <t>Exh. MCP-8</t>
  </si>
  <si>
    <t>Remaining Balance (revenue sensitive)</t>
  </si>
  <si>
    <t>Debt Amortized</t>
  </si>
  <si>
    <t>Director Fees</t>
  </si>
  <si>
    <t>UTC</t>
  </si>
  <si>
    <t>5-YR Avg</t>
  </si>
  <si>
    <t>No</t>
  </si>
  <si>
    <t>Norm Incentive</t>
  </si>
  <si>
    <t>Removal and Retirement Adjustment</t>
  </si>
  <si>
    <t>Removal</t>
  </si>
  <si>
    <t>Retirements</t>
  </si>
  <si>
    <t>R-7</t>
  </si>
  <si>
    <t>Remove</t>
  </si>
  <si>
    <t>Tracker</t>
  </si>
  <si>
    <t>Schedules</t>
  </si>
  <si>
    <t>Main</t>
  </si>
  <si>
    <t>Serv</t>
  </si>
  <si>
    <t>Reg</t>
  </si>
  <si>
    <t>Rebuttal</t>
  </si>
  <si>
    <t>2020 Actual Customer Counts. Starting point: Dec 2019 EOP Customer Counts</t>
  </si>
  <si>
    <t>Plant Additions</t>
  </si>
  <si>
    <t>Provision for Rate Refund (Out of Period - EDIT revenue)</t>
  </si>
  <si>
    <t>AWEC-50</t>
  </si>
  <si>
    <t>D&amp;O Total</t>
  </si>
  <si>
    <t>Plant Additions Summary</t>
  </si>
  <si>
    <t>Description / Project Name</t>
  </si>
  <si>
    <t>Total Blanket Projects</t>
  </si>
  <si>
    <t>Total Plant Additions</t>
  </si>
  <si>
    <t xml:space="preserve">	Mains for Growth </t>
  </si>
  <si>
    <t xml:space="preserve">	Regulator Station Growth and Gas Meters </t>
  </si>
  <si>
    <t xml:space="preserve">	Services for Growth </t>
  </si>
  <si>
    <t>Total Discrete Projects</t>
  </si>
  <si>
    <t>Discrete Projects</t>
  </si>
  <si>
    <t>Total Delayed Discrete Projects</t>
  </si>
  <si>
    <t>Blankets Projects</t>
  </si>
  <si>
    <t>Forecasted</t>
  </si>
  <si>
    <t>Total Increase</t>
  </si>
  <si>
    <t>R-8</t>
  </si>
  <si>
    <t>Interim Period</t>
  </si>
  <si>
    <t>EDIT Benefits</t>
  </si>
  <si>
    <t>R-9</t>
  </si>
  <si>
    <t>Settlement</t>
  </si>
  <si>
    <t>Audit</t>
  </si>
  <si>
    <t>R-10</t>
  </si>
  <si>
    <t>R-11</t>
  </si>
  <si>
    <t>Removal &amp;</t>
  </si>
  <si>
    <t>Impact of Removal on Expense</t>
  </si>
  <si>
    <t>$</t>
  </si>
  <si>
    <t>Impact of Retirement on Expense</t>
  </si>
  <si>
    <t>Average Depreciation Rate (UG-200278)</t>
  </si>
  <si>
    <t>2018 - ERTs Replacement Program</t>
  </si>
  <si>
    <t>Delayed or Removed Discrete Projects</t>
  </si>
  <si>
    <t>Adj</t>
  </si>
  <si>
    <t>Disallowed</t>
  </si>
  <si>
    <t>Actual In-Service Date</t>
  </si>
  <si>
    <t>Exhibit PCD-4</t>
  </si>
  <si>
    <t>Funding Project Number / Name</t>
  </si>
  <si>
    <t>Estimated Project Cost</t>
  </si>
  <si>
    <t>2020 Amount</t>
  </si>
  <si>
    <t>Exhibit MPP-5</t>
  </si>
  <si>
    <t>Actual Project Cost</t>
  </si>
  <si>
    <t>Estimated Funding Project Cost</t>
  </si>
  <si>
    <t>Actual Funding Project Cost</t>
  </si>
  <si>
    <t>2020 Total Plant Additions</t>
  </si>
  <si>
    <t>2020 Plant Additions Seeking Recovery</t>
  </si>
  <si>
    <t>Recovery Percentage of 2020 Total Plant Additions</t>
  </si>
  <si>
    <t>2020 Plant Figures</t>
  </si>
  <si>
    <t>Total Impact of 2020 Removal &amp; Retirements on Expenses</t>
  </si>
  <si>
    <t>Removal &amp; Retirements Expense Adjustment</t>
  </si>
  <si>
    <t>Gibraltar 4" PE Project**</t>
  </si>
  <si>
    <t xml:space="preserve">  Revenue Requirement Effect</t>
  </si>
  <si>
    <r>
      <t>(Per Exh. MCG-14, R-7</t>
    </r>
    <r>
      <rPr>
        <sz val="10"/>
        <rFont val="Calibri"/>
        <family val="2"/>
      </rPr>
      <t xml:space="preserve"> Adjustment)</t>
    </r>
  </si>
  <si>
    <t>** - This project has been removed because a change in scope caused the actual cost to fall below Cascade's proposed major resource threshold.  The actual cost was approximately $35,000.</t>
  </si>
  <si>
    <t>Wallula Gate Project*</t>
  </si>
  <si>
    <t>* - Funding Project 317535 has been removed because it was not placed in-service before the end of 2020; however, the regulator station  has been installed and currently has natural gas inside the pipe.</t>
  </si>
  <si>
    <t>Updated 1-8</t>
  </si>
  <si>
    <t>Last provided by Scott 1-8</t>
  </si>
  <si>
    <t>2019 - ERTs Replacement Program / AWEC Used</t>
  </si>
  <si>
    <t>Wallula Gate Project</t>
  </si>
  <si>
    <t>Gibraltar 4" PE Project</t>
  </si>
  <si>
    <t>Blankets</t>
  </si>
  <si>
    <t>Discrete</t>
  </si>
  <si>
    <t>Total at 10/31</t>
  </si>
  <si>
    <t>Restating</t>
  </si>
  <si>
    <t>Proforma</t>
  </si>
  <si>
    <t>ACTUAL</t>
  </si>
  <si>
    <t>RESTATED</t>
  </si>
  <si>
    <t>ADJUSTED</t>
  </si>
  <si>
    <t>RESULTS OF</t>
  </si>
  <si>
    <t xml:space="preserve">RESTATING </t>
  </si>
  <si>
    <t>PROFORMA</t>
  </si>
  <si>
    <t xml:space="preserve">OPERATIONS </t>
  </si>
  <si>
    <t>ADJUSTMENTS</t>
  </si>
  <si>
    <t>OPERATIONS</t>
  </si>
  <si>
    <t>NET REVENUE</t>
  </si>
  <si>
    <t>CHANGE TO</t>
  </si>
  <si>
    <t>BASE RATES</t>
  </si>
  <si>
    <t>AFTER</t>
  </si>
  <si>
    <t>RATE</t>
  </si>
  <si>
    <t>INCREASE</t>
  </si>
  <si>
    <t>a</t>
  </si>
  <si>
    <t>b</t>
  </si>
  <si>
    <t>c = a + b</t>
  </si>
  <si>
    <t>e = c + d</t>
  </si>
  <si>
    <t>d</t>
  </si>
  <si>
    <t>f</t>
  </si>
  <si>
    <t>g = e + f</t>
  </si>
  <si>
    <t>R-3 / P-5</t>
  </si>
  <si>
    <t>Commission Order - RB</t>
  </si>
  <si>
    <t>Total RB</t>
  </si>
  <si>
    <t>Order</t>
  </si>
  <si>
    <t>`</t>
  </si>
  <si>
    <t>Explanation as to why they don't tie</t>
  </si>
  <si>
    <t>EI Amount</t>
  </si>
  <si>
    <t>DR-43</t>
  </si>
  <si>
    <t>To Do List</t>
  </si>
  <si>
    <t>Disconnect Plan - May 18, 2022</t>
  </si>
  <si>
    <t>WEAF Status Report - April 1, 2022</t>
  </si>
  <si>
    <t>Load Study Progress Report - Aug 21, 2021</t>
  </si>
  <si>
    <t>Load Study Written Plan - Aug 21, 2021</t>
  </si>
  <si>
    <t xml:space="preserve">Load Study Status - Summer 2021 </t>
  </si>
  <si>
    <t>Load Study Completed - Sept 21, 2022</t>
  </si>
  <si>
    <t>Commission Order - Attachment</t>
  </si>
  <si>
    <t>Total Incentives</t>
  </si>
  <si>
    <t>Employee Incentives</t>
  </si>
  <si>
    <t>Total incentive adjustment</t>
  </si>
  <si>
    <t>PC-46</t>
  </si>
  <si>
    <t>MEG-7</t>
  </si>
  <si>
    <t>2019 Monthly EOP &amp; Normalized/Actual Therms</t>
  </si>
  <si>
    <t>From Myhrum Workpaper - "End of Period Calculations". Using 2019 EOP annualized usage.</t>
  </si>
  <si>
    <t>2019 EOP annualized test year customer counts are from Myhrum Workpaper "End of Period Calculations" column "O".</t>
  </si>
  <si>
    <t>2019 EOP Customer Billing Determinants</t>
  </si>
  <si>
    <t>New Authorized Revenue Per Customer is (2019) Monthly EOP &amp; Normalized/Actual Therms * Rate) divided by customer count.</t>
  </si>
  <si>
    <t>Matching Principle</t>
  </si>
  <si>
    <t>5-YR Avg of Incentives Adj.</t>
  </si>
  <si>
    <t>Incentive Baseline, Not  5-YR AVG</t>
  </si>
  <si>
    <t>Order 05 Direction / Method</t>
  </si>
  <si>
    <t>Order 05 Attachment Result - Incorrect Direction / Method</t>
  </si>
  <si>
    <t>Difference in Results</t>
  </si>
  <si>
    <t>2019 Actual - 511</t>
  </si>
  <si>
    <t>Remove Actual - 511 C</t>
  </si>
  <si>
    <t>diff</t>
  </si>
  <si>
    <t>2019 EOP #1</t>
  </si>
  <si>
    <t>2019 EOP #2</t>
  </si>
  <si>
    <t>2019 Actual w/o 511 C</t>
  </si>
  <si>
    <t>incorrect</t>
  </si>
  <si>
    <t>June - Itron</t>
  </si>
  <si>
    <t>Linda - will update plan</t>
  </si>
  <si>
    <t>IT - Greg Anderson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</si>
</sst>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_);\(&quot;$&quot;#,##0.000\)"/>
    <numFmt numFmtId="183" formatCode="&quot;$&quot;#,##0.00000000_);\(&quot;$&quot;#,##0.00000000\)"/>
    <numFmt numFmtId="184" formatCode="0.00000"/>
    <numFmt numFmtId="185" formatCode="0.0000000%"/>
    <numFmt numFmtId="186" formatCode="_(* #,##0.0000_);_(* \(#,##0.0000\);_(* &quot;-&quot;??_);_(@_)"/>
    <numFmt numFmtId="187" formatCode="#,##0.00000_);\(#,##0.00000\)"/>
    <numFmt numFmtId="188" formatCode="&quot;$&quot;#,##0"/>
    <numFmt numFmtId="189" formatCode="dd\-mmm\-yy_)"/>
    <numFmt numFmtId="190" formatCode="&quot;$&quot;#,##0.00"/>
    <numFmt numFmtId="191" formatCode="#,##0.0000000000_);[Red]\(#,##0.0000000000\)"/>
    <numFmt numFmtId="192" formatCode="0.00000%"/>
    <numFmt numFmtId="193" formatCode="#,##0.0000_);\(#,##0.0000\)"/>
    <numFmt numFmtId="194" formatCode="mmm\-yy_)"/>
    <numFmt numFmtId="195" formatCode="0_)"/>
    <numFmt numFmtId="196" formatCode="#,##0.000000_);\(#,##0.000000\)"/>
    <numFmt numFmtId="197" formatCode="#,##0.0000000"/>
    <numFmt numFmtId="198" formatCode="[$-409]m/d/yy\ h:mm\ AM/PM;@"/>
    <numFmt numFmtId="199" formatCode="0_);\(0\)"/>
    <numFmt numFmtId="200" formatCode="#,##0.0"/>
    <numFmt numFmtId="201" formatCode="#,##0.000"/>
    <numFmt numFmtId="202" formatCode="_(&quot;$&quot;* #,##0_);_(&quot;$&quot;* \(#,##0\);_(&quot;$&quot;* &quot;-&quot;??_);_(@_)"/>
    <numFmt numFmtId="203" formatCode="0.0%"/>
    <numFmt numFmtId="204" formatCode="&quot;$&quot;#,##0.00000"/>
    <numFmt numFmtId="205" formatCode="_(&quot;$&quot;* #,##0.00000_);_(&quot;$&quot;* \(#,##0.00000\);_(&quot;$&quot;* &quot;-&quot;??_);_(@_)"/>
    <numFmt numFmtId="206" formatCode="ddd\,\ m/d/yyyy"/>
    <numFmt numFmtId="207" formatCode="m/d/yy;@"/>
    <numFmt numFmtId="208" formatCode="&quot;$&quot;#,##0.0000"/>
    <numFmt numFmtId="209" formatCode="&quot;$&quot;#,##0.0000000"/>
    <numFmt numFmtId="210" formatCode="_(&quot;$&quot;* #,##0.0000_);_(&quot;$&quot;* \(#,##0.0000\);_(&quot;$&quot;* &quot;-&quot;??_);_(@_)"/>
    <numFmt numFmtId="211" formatCode="_(&quot;$&quot;* #,##0.0000000_);_(&quot;$&quot;* \(#,##0.0000000\);_(&quot;$&quot;* &quot;-&quot;??_);_(@_)"/>
    <numFmt numFmtId="212" formatCode="_(* #,##0.0000000_);_(* \(#,##0.0000000\);_(* &quot;-&quot;??_);_(@_)"/>
    <numFmt numFmtId="213" formatCode="#,##0.000000"/>
    <numFmt numFmtId="214" formatCode="#,##0.00000000"/>
    <numFmt numFmtId="215" formatCode="#,##0.00000"/>
    <numFmt numFmtId="216" formatCode="0.000000"/>
    <numFmt numFmtId="217" formatCode="0.0000"/>
    <numFmt numFmtId="218" formatCode="0.00_);\(0.00\)"/>
    <numFmt numFmtId="219" formatCode="[$-409]mmm\-yy;@"/>
    <numFmt numFmtId="220" formatCode="_(* #,##0.00000_);_(* \(#,##0.00000\);_(* &quot;-&quot;??_);_(@_)"/>
    <numFmt numFmtId="221" formatCode="_(&quot;$&quot;* #,##0.0000_);_(&quot;$&quot;* \(#,##0.0000\);_(&quot;$&quot;* &quot;-&quot;????_);_(@_)"/>
    <numFmt numFmtId="222" formatCode="0.000"/>
    <numFmt numFmtId="223" formatCode="mm/dd/yyyy"/>
    <numFmt numFmtId="224" formatCode="mmm\,\ yyyy"/>
  </numFmts>
  <fonts count="19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u/>
      <sz val="12"/>
      <color theme="1"/>
      <name val="Calibri"/>
      <family val="2"/>
      <scheme val="minor"/>
    </font>
    <font>
      <vertAlign val="superscript"/>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sz val="12"/>
      <color rgb="FFC00000"/>
      <name val="Times New Roman"/>
      <family val="1"/>
    </font>
    <font>
      <sz val="10"/>
      <color theme="1"/>
      <name val="Calibri"/>
      <family val="2"/>
      <scheme val="minor"/>
    </font>
    <font>
      <b/>
      <u val="singleAccounting"/>
      <sz val="11"/>
      <name val="Calibri"/>
      <family val="2"/>
      <scheme val="minor"/>
    </font>
    <font>
      <b/>
      <sz val="11"/>
      <color rgb="FFFF0000"/>
      <name val="Calibri"/>
      <family val="2"/>
      <scheme val="minor"/>
    </font>
    <font>
      <sz val="11"/>
      <color theme="0" tint="-0.499984740745262"/>
      <name val="Calibri"/>
      <family val="2"/>
      <scheme val="minor"/>
    </font>
    <font>
      <u val="doubleAccounting"/>
      <sz val="11"/>
      <name val="Calibri"/>
      <family val="2"/>
      <scheme val="minor"/>
    </font>
    <font>
      <sz val="12"/>
      <name val="Helv"/>
    </font>
    <font>
      <b/>
      <u/>
      <sz val="11"/>
      <color theme="1"/>
      <name val="Calibri"/>
      <family val="2"/>
      <scheme val="minor"/>
    </font>
    <font>
      <b/>
      <u/>
      <sz val="11"/>
      <name val="Calibri"/>
      <family val="2"/>
      <scheme val="minor"/>
    </font>
    <font>
      <u val="singleAccounting"/>
      <sz val="11"/>
      <name val="Calibri"/>
      <family val="2"/>
      <scheme val="minor"/>
    </font>
    <font>
      <sz val="11"/>
      <color rgb="FF0066FF"/>
      <name val="Calibri"/>
      <family val="2"/>
      <scheme val="minor"/>
    </font>
    <font>
      <sz val="11"/>
      <color rgb="FF00B050"/>
      <name val="Calibri"/>
      <family val="2"/>
      <scheme val="minor"/>
    </font>
    <font>
      <u/>
      <sz val="11"/>
      <color theme="1"/>
      <name val="Calibri"/>
      <family val="2"/>
      <scheme val="minor"/>
    </font>
    <font>
      <u/>
      <sz val="11"/>
      <name val="Calibri"/>
      <family val="2"/>
      <scheme val="minor"/>
    </font>
    <font>
      <b/>
      <sz val="22"/>
      <color theme="1" tint="0.34998626667073579"/>
      <name val="Cambria"/>
      <family val="2"/>
      <scheme val="major"/>
    </font>
    <font>
      <sz val="10"/>
      <name val="Calibri"/>
      <family val="2"/>
      <scheme val="minor"/>
    </font>
    <font>
      <sz val="14"/>
      <color theme="1"/>
      <name val="Calibri"/>
      <family val="2"/>
      <scheme val="minor"/>
    </font>
    <font>
      <u/>
      <sz val="11"/>
      <color indexed="12"/>
      <name val="Arial"/>
      <family val="2"/>
    </font>
    <font>
      <i/>
      <sz val="11"/>
      <color theme="1"/>
      <name val="Calibri"/>
      <family val="2"/>
      <scheme val="minor"/>
    </font>
    <font>
      <sz val="9"/>
      <name val="Calibri"/>
      <family val="2"/>
      <scheme val="minor"/>
    </font>
    <font>
      <sz val="48"/>
      <color theme="1"/>
      <name val="Calibri"/>
      <family val="2"/>
      <scheme val="minor"/>
    </font>
    <font>
      <sz val="11"/>
      <color indexed="8"/>
      <name val="Calibri"/>
      <family val="2"/>
      <scheme val="minor"/>
    </font>
    <font>
      <i/>
      <sz val="11"/>
      <name val="Calibri"/>
      <family val="2"/>
      <scheme val="minor"/>
    </font>
    <font>
      <b/>
      <sz val="14"/>
      <color theme="1"/>
      <name val="Calibri"/>
      <family val="2"/>
      <scheme val="minor"/>
    </font>
    <font>
      <sz val="10"/>
      <name val="Calibri"/>
      <family val="2"/>
    </font>
    <font>
      <u/>
      <sz val="10"/>
      <name val="Arial"/>
      <family val="2"/>
    </font>
    <font>
      <i/>
      <sz val="11"/>
      <color rgb="FFFF0000"/>
      <name val="Calibri"/>
      <family val="2"/>
      <scheme val="minor"/>
    </font>
    <font>
      <sz val="10"/>
      <name val="Arial Narrow"/>
      <family val="2"/>
    </font>
    <font>
      <b/>
      <sz val="14"/>
      <name val="Calibri"/>
      <family val="2"/>
      <scheme val="minor"/>
    </font>
    <font>
      <b/>
      <sz val="16"/>
      <name val="Calibri"/>
      <family val="2"/>
      <scheme val="minor"/>
    </font>
    <font>
      <b/>
      <sz val="13"/>
      <name val="Calibri"/>
      <family val="2"/>
      <scheme val="minor"/>
    </font>
    <font>
      <b/>
      <sz val="12"/>
      <name val="Calibri"/>
      <family val="2"/>
      <scheme val="minor"/>
    </font>
    <font>
      <u/>
      <sz val="11"/>
      <color theme="10"/>
      <name val="Calibri"/>
      <family val="2"/>
      <scheme val="minor"/>
    </font>
    <font>
      <sz val="11.5"/>
      <name val="Calibri"/>
      <family val="2"/>
      <scheme val="minor"/>
    </font>
    <font>
      <u/>
      <sz val="11"/>
      <name val="Arial"/>
      <family val="2"/>
    </font>
    <font>
      <sz val="12"/>
      <name val="Calibri"/>
      <family val="2"/>
      <scheme val="minor"/>
    </font>
    <font>
      <sz val="12"/>
      <name val="SWISS"/>
    </font>
    <font>
      <b/>
      <sz val="12"/>
      <color indexed="56"/>
      <name val="Arial"/>
      <family val="2"/>
    </font>
    <font>
      <b/>
      <sz val="14"/>
      <color indexed="56"/>
      <name val="Arial"/>
      <family val="2"/>
    </font>
    <font>
      <b/>
      <u val="doubleAccounting"/>
      <sz val="11"/>
      <name val="Calibri"/>
      <family val="2"/>
      <scheme val="minor"/>
    </font>
    <font>
      <b/>
      <sz val="10"/>
      <name val="Calibri"/>
      <family val="2"/>
      <scheme val="minor"/>
    </font>
    <font>
      <b/>
      <sz val="13"/>
      <name val="Arial"/>
      <family val="2"/>
    </font>
    <font>
      <b/>
      <sz val="5"/>
      <name val="Arial"/>
      <family val="2"/>
    </font>
    <font>
      <b/>
      <i/>
      <sz val="13"/>
      <name val="Arial"/>
      <family val="2"/>
    </font>
    <font>
      <sz val="12"/>
      <color rgb="FFFF0000"/>
      <name val="Arial"/>
      <family val="2"/>
    </font>
    <font>
      <b/>
      <sz val="12"/>
      <color theme="0"/>
      <name val="Arial"/>
      <family val="2"/>
    </font>
    <font>
      <b/>
      <sz val="20"/>
      <color theme="0"/>
      <name val="Arial"/>
      <family val="2"/>
    </font>
    <font>
      <sz val="12"/>
      <color theme="1"/>
      <name val="Times New Roman"/>
      <family val="2"/>
    </font>
    <font>
      <i/>
      <u/>
      <sz val="11"/>
      <color theme="1"/>
      <name val="Calibri"/>
      <family val="2"/>
      <scheme val="minor"/>
    </font>
    <font>
      <sz val="12"/>
      <color theme="0"/>
      <name val="Times New Roman"/>
      <family val="1"/>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indexed="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theme="5"/>
        <bgColor indexed="64"/>
      </patternFill>
    </fill>
    <fill>
      <patternFill patternType="solid">
        <fgColor theme="4" tint="0.79998168889431442"/>
        <bgColor indexed="64"/>
      </patternFill>
    </fill>
    <fill>
      <patternFill patternType="solid">
        <fgColor theme="5" tint="0.79998168889431442"/>
        <bgColor indexed="64"/>
      </patternFill>
    </fill>
  </fills>
  <borders count="2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auto="1"/>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theme="0" tint="-0.14996795556505021"/>
      </top>
      <bottom style="medium">
        <color theme="0" tint="-0.14996795556505021"/>
      </bottom>
      <diagonal/>
    </border>
    <border>
      <left style="thin">
        <color theme="0" tint="-0.249977111117893"/>
      </left>
      <right style="thin">
        <color theme="0" tint="-0.249977111117893"/>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auto="1"/>
      </left>
      <right/>
      <top/>
      <bottom style="thin">
        <color indexed="64"/>
      </bottom>
      <diagonal/>
    </border>
    <border>
      <left style="thin">
        <color auto="1"/>
      </left>
      <right style="medium">
        <color auto="1"/>
      </right>
      <top style="thin">
        <color auto="1"/>
      </top>
      <bottom/>
      <diagonal/>
    </border>
    <border>
      <left style="thin">
        <color auto="1"/>
      </left>
      <right/>
      <top style="thin">
        <color auto="1"/>
      </top>
      <bottom style="medium">
        <color auto="1"/>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top style="medium">
        <color auto="1"/>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s>
  <cellStyleXfs count="33385">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2"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8"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0" fillId="0" borderId="0"/>
    <xf numFmtId="43" fontId="140"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xf numFmtId="0" fontId="151" fillId="0" borderId="0"/>
    <xf numFmtId="0" fontId="159" fillId="0" borderId="0" applyNumberFormat="0" applyFill="0" applyBorder="0" applyAlignment="0" applyProtection="0"/>
    <xf numFmtId="0" fontId="17" fillId="0" borderId="0"/>
    <xf numFmtId="0" fontId="161" fillId="0" borderId="0" applyNumberFormat="0" applyFill="0" applyAlignment="0" applyProtection="0"/>
    <xf numFmtId="0" fontId="162" fillId="0" borderId="0" applyNumberFormat="0" applyFill="0" applyBorder="0" applyAlignment="0" applyProtection="0">
      <alignment vertical="top"/>
      <protection locked="0"/>
    </xf>
    <xf numFmtId="0" fontId="161" fillId="0" borderId="0" applyNumberFormat="0" applyFill="0" applyProtection="0">
      <alignment vertical="top"/>
    </xf>
    <xf numFmtId="0" fontId="1" fillId="0" borderId="0" applyNumberFormat="0" applyFill="0" applyProtection="0">
      <alignment horizontal="right" indent="1"/>
    </xf>
    <xf numFmtId="206" fontId="1" fillId="0" borderId="181">
      <alignment horizontal="center" vertical="center"/>
    </xf>
    <xf numFmtId="0" fontId="1" fillId="0" borderId="182" applyFill="0">
      <alignment horizontal="center" vertical="center"/>
    </xf>
    <xf numFmtId="0" fontId="1" fillId="0" borderId="182" applyFill="0">
      <alignment horizontal="left" vertical="center" indent="2"/>
    </xf>
    <xf numFmtId="207" fontId="1" fillId="0" borderId="182" applyFill="0">
      <alignment horizontal="center" vertical="center"/>
    </xf>
    <xf numFmtId="0" fontId="57" fillId="0" borderId="0"/>
    <xf numFmtId="0" fontId="177" fillId="0" borderId="0" applyNumberFormat="0" applyFill="0" applyBorder="0" applyAlignment="0" applyProtection="0"/>
    <xf numFmtId="0" fontId="1" fillId="10" borderId="0" applyNumberFormat="0" applyBorder="0" applyAlignment="0" applyProtection="0"/>
    <xf numFmtId="0" fontId="32" fillId="0" borderId="0"/>
    <xf numFmtId="0" fontId="181" fillId="0" borderId="0"/>
    <xf numFmtId="190" fontId="182" fillId="59" borderId="0">
      <alignment horizontal="left" vertical="center"/>
    </xf>
    <xf numFmtId="0" fontId="20" fillId="59" borderId="0">
      <alignment horizontal="left" wrapText="1"/>
    </xf>
    <xf numFmtId="0" fontId="20" fillId="59" borderId="204" applyNumberFormat="0">
      <alignment horizontal="center" vertical="center" wrapText="1"/>
    </xf>
    <xf numFmtId="42" fontId="18" fillId="59" borderId="0"/>
    <xf numFmtId="42" fontId="18" fillId="59" borderId="80">
      <alignment vertical="center"/>
    </xf>
    <xf numFmtId="42" fontId="18" fillId="59" borderId="205">
      <alignment horizontal="left"/>
    </xf>
    <xf numFmtId="0" fontId="183" fillId="0" borderId="0">
      <alignment horizontal="left" vertical="center"/>
    </xf>
    <xf numFmtId="41" fontId="18" fillId="59" borderId="0"/>
    <xf numFmtId="221" fontId="18" fillId="59" borderId="0"/>
    <xf numFmtId="0" fontId="18" fillId="0" borderId="0"/>
    <xf numFmtId="0" fontId="18" fillId="0" borderId="0"/>
    <xf numFmtId="0" fontId="192" fillId="0" borderId="0"/>
    <xf numFmtId="43" fontId="192" fillId="0" borderId="0" applyFont="0" applyFill="0" applyBorder="0" applyAlignment="0" applyProtection="0"/>
    <xf numFmtId="44" fontId="192" fillId="0" borderId="0" applyFont="0" applyFill="0" applyBorder="0" applyAlignment="0" applyProtection="0"/>
    <xf numFmtId="9" fontId="192" fillId="0" borderId="0" applyFont="0" applyFill="0" applyBorder="0" applyAlignment="0" applyProtection="0"/>
  </cellStyleXfs>
  <cellXfs count="1980">
    <xf numFmtId="0" fontId="0" fillId="0" borderId="0" xfId="0"/>
    <xf numFmtId="0" fontId="0" fillId="0" borderId="0" xfId="0" applyBorder="1"/>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2" fillId="0" borderId="0" xfId="0" applyFont="1" applyFill="1"/>
    <xf numFmtId="0" fontId="122" fillId="0" borderId="0" xfId="0" applyFont="1" applyFill="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11" xfId="1" applyNumberFormat="1" applyFont="1" applyBorder="1"/>
    <xf numFmtId="38" fontId="32" fillId="0" borderId="0" xfId="2" applyNumberFormat="1" applyFont="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38" fontId="32" fillId="0" borderId="11" xfId="2" applyNumberFormat="1" applyFont="1" applyFill="1" applyBorder="1" applyProtection="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38" fontId="32" fillId="0" borderId="0" xfId="2" applyNumberFormat="1" applyFont="1" applyFill="1" applyBorder="1"/>
    <xf numFmtId="0" fontId="121" fillId="0" borderId="0" xfId="1" applyFont="1" applyFill="1" applyBorder="1"/>
    <xf numFmtId="0" fontId="122" fillId="0" borderId="0" xfId="0" applyFont="1" applyFill="1" applyBorder="1"/>
    <xf numFmtId="38" fontId="32" fillId="0" borderId="11" xfId="2" applyNumberFormat="1" applyFont="1" applyBorder="1"/>
    <xf numFmtId="10" fontId="32" fillId="0" borderId="11" xfId="4" applyNumberFormat="1" applyFont="1" applyFill="1" applyBorder="1"/>
    <xf numFmtId="5" fontId="122" fillId="0" borderId="0" xfId="0" applyNumberFormat="1" applyFont="1"/>
    <xf numFmtId="0" fontId="32" fillId="0" borderId="0" xfId="25455" applyFont="1"/>
    <xf numFmtId="0" fontId="32" fillId="0" borderId="0" xfId="25455" applyFont="1" applyFill="1" applyBorder="1"/>
    <xf numFmtId="10" fontId="122" fillId="0" borderId="55" xfId="0" applyNumberFormat="1" applyFont="1" applyFill="1" applyBorder="1"/>
    <xf numFmtId="0" fontId="32" fillId="0" borderId="35" xfId="25276" applyFont="1" applyBorder="1"/>
    <xf numFmtId="0" fontId="32" fillId="0" borderId="0" xfId="25276" applyFont="1" applyBorder="1"/>
    <xf numFmtId="184"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4" fontId="122" fillId="0" borderId="0" xfId="0" applyNumberFormat="1" applyFont="1"/>
    <xf numFmtId="184" fontId="32" fillId="0" borderId="13" xfId="25276" applyNumberFormat="1" applyFont="1" applyFill="1" applyBorder="1"/>
    <xf numFmtId="184" fontId="32" fillId="0" borderId="52" xfId="25276" applyNumberFormat="1" applyFont="1" applyFill="1" applyBorder="1"/>
    <xf numFmtId="0" fontId="32" fillId="0" borderId="35" xfId="25276" applyFont="1" applyBorder="1" applyAlignment="1">
      <alignment horizontal="left" indent="1"/>
    </xf>
    <xf numFmtId="184" fontId="32" fillId="0" borderId="21" xfId="25276" applyNumberFormat="1" applyFont="1" applyFill="1" applyBorder="1"/>
    <xf numFmtId="184" fontId="121" fillId="0" borderId="51" xfId="25276" applyNumberFormat="1" applyFont="1" applyFill="1" applyBorder="1"/>
    <xf numFmtId="0" fontId="32" fillId="0" borderId="0" xfId="0" applyFont="1" applyBorder="1"/>
    <xf numFmtId="187"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8"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164" fontId="32" fillId="0" borderId="76" xfId="25455" applyNumberFormat="1" applyFont="1" applyBorder="1" applyAlignment="1"/>
    <xf numFmtId="0" fontId="32" fillId="0" borderId="78"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165" fontId="32" fillId="0" borderId="0" xfId="25455" applyNumberFormat="1" applyFont="1" applyBorder="1" applyAlignment="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15" xfId="25455" applyFont="1" applyBorder="1" applyAlignment="1">
      <alignment horizontal="center"/>
    </xf>
    <xf numFmtId="0" fontId="32" fillId="0" borderId="54" xfId="25455" applyFont="1" applyBorder="1"/>
    <xf numFmtId="0" fontId="121" fillId="0" borderId="55" xfId="25455" quotePrefix="1" applyFont="1" applyBorder="1"/>
    <xf numFmtId="0" fontId="32" fillId="0" borderId="56" xfId="25455" applyFont="1" applyBorder="1"/>
    <xf numFmtId="49" fontId="32" fillId="0" borderId="16" xfId="25455" applyNumberFormat="1" applyFont="1" applyFill="1" applyBorder="1" applyAlignment="1">
      <alignment horizontal="center"/>
    </xf>
    <xf numFmtId="0" fontId="32" fillId="0" borderId="55" xfId="25455" applyFont="1" applyBorder="1"/>
    <xf numFmtId="0" fontId="32" fillId="0" borderId="16" xfId="25455" applyFont="1" applyBorder="1"/>
    <xf numFmtId="0" fontId="32" fillId="0" borderId="85" xfId="25455" applyFont="1" applyFill="1" applyBorder="1"/>
    <xf numFmtId="0" fontId="32" fillId="0" borderId="14" xfId="25455" applyFont="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0" fontId="121" fillId="0" borderId="11" xfId="25455" applyFont="1" applyBorder="1"/>
    <xf numFmtId="0" fontId="121" fillId="0" borderId="0" xfId="25455" applyFont="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2"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6" xfId="25455" applyFont="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37" fontId="32" fillId="0" borderId="0" xfId="25455" applyNumberFormat="1"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43" fontId="32" fillId="0" borderId="75" xfId="2574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3" fontId="32" fillId="0" borderId="15" xfId="25745" applyNumberFormat="1" applyFont="1" applyFill="1" applyBorder="1" applyAlignment="1">
      <alignment horizontal="center"/>
    </xf>
    <xf numFmtId="4" fontId="122" fillId="0" borderId="0" xfId="0" applyNumberFormat="1" applyFont="1"/>
    <xf numFmtId="8"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9" borderId="88" xfId="0" applyFont="1" applyFill="1" applyBorder="1"/>
    <xf numFmtId="0" fontId="122" fillId="89" borderId="0" xfId="0" applyFont="1" applyFill="1" applyBorder="1"/>
    <xf numFmtId="0" fontId="122" fillId="89"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1" borderId="88" xfId="25742" applyNumberFormat="1" applyFont="1" applyFill="1" applyBorder="1"/>
    <xf numFmtId="166" fontId="122" fillId="91" borderId="0" xfId="25742" applyNumberFormat="1" applyFont="1" applyFill="1" applyBorder="1"/>
    <xf numFmtId="166" fontId="122" fillId="91"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3" borderId="88" xfId="25742" applyNumberFormat="1" applyFont="1" applyFill="1" applyBorder="1"/>
    <xf numFmtId="166" fontId="122" fillId="93" borderId="0" xfId="25742" applyNumberFormat="1" applyFont="1" applyFill="1" applyBorder="1"/>
    <xf numFmtId="166" fontId="122" fillId="93" borderId="89" xfId="25742" applyNumberFormat="1" applyFont="1" applyFill="1" applyBorder="1"/>
    <xf numFmtId="0" fontId="122" fillId="93" borderId="88" xfId="0" applyFont="1" applyFill="1" applyBorder="1"/>
    <xf numFmtId="49" fontId="122" fillId="93" borderId="0" xfId="0" applyNumberFormat="1" applyFont="1" applyFill="1" applyBorder="1" applyAlignment="1">
      <alignment horizontal="center"/>
    </xf>
    <xf numFmtId="49" fontId="122" fillId="93" borderId="89" xfId="0" applyNumberFormat="1" applyFont="1" applyFill="1" applyBorder="1" applyAlignment="1">
      <alignment horizontal="center"/>
    </xf>
    <xf numFmtId="166" fontId="122" fillId="87" borderId="88" xfId="25742" applyNumberFormat="1" applyFont="1" applyFill="1" applyBorder="1"/>
    <xf numFmtId="166" fontId="122" fillId="87" borderId="89" xfId="25742" applyNumberFormat="1" applyFont="1" applyFill="1" applyBorder="1"/>
    <xf numFmtId="166" fontId="122" fillId="92"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0" fontId="32" fillId="86" borderId="0" xfId="25292" applyNumberFormat="1" applyFont="1" applyFill="1" applyBorder="1" applyAlignment="1">
      <alignment horizontal="center"/>
    </xf>
    <xf numFmtId="167" fontId="32" fillId="0" borderId="0" xfId="25292" applyNumberFormat="1" applyFont="1" applyBorder="1" applyAlignment="1">
      <alignment horizontal="center"/>
    </xf>
    <xf numFmtId="167" fontId="32" fillId="86" borderId="0" xfId="25292" applyNumberFormat="1" applyFont="1" applyFill="1" applyBorder="1" applyAlignment="1">
      <alignment horizontal="center"/>
    </xf>
    <xf numFmtId="167" fontId="32" fillId="0" borderId="0" xfId="25292" applyNumberFormat="1" applyFont="1" applyBorder="1"/>
    <xf numFmtId="167" fontId="32" fillId="0" borderId="0" xfId="25295" applyNumberFormat="1" applyFont="1" applyFill="1" applyBorder="1" applyAlignment="1">
      <alignment horizontal="center"/>
    </xf>
    <xf numFmtId="190" fontId="122" fillId="0" borderId="0" xfId="0" applyNumberFormat="1" applyFont="1"/>
    <xf numFmtId="10" fontId="32" fillId="0" borderId="19" xfId="25292" applyNumberFormat="1" applyFont="1" applyBorder="1" applyAlignment="1">
      <alignment horizontal="center"/>
    </xf>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37" fontId="32" fillId="0" borderId="0" xfId="25741" applyFont="1" applyFill="1" applyAlignment="1">
      <alignment horizontal="left"/>
    </xf>
    <xf numFmtId="187"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4" fontId="122" fillId="0" borderId="33" xfId="0" applyNumberFormat="1" applyFont="1" applyBorder="1"/>
    <xf numFmtId="0" fontId="130"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3"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5"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184"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8"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4" fontId="122" fillId="0" borderId="0" xfId="0" applyNumberFormat="1" applyFont="1" applyFill="1"/>
    <xf numFmtId="10" fontId="32" fillId="0" borderId="0" xfId="25794"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39" fontId="121" fillId="0" borderId="98"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0"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0"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190"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4" borderId="88" xfId="25742" applyNumberFormat="1" applyFont="1" applyFill="1" applyBorder="1"/>
    <xf numFmtId="166" fontId="122" fillId="94" borderId="89" xfId="25742" applyNumberFormat="1" applyFont="1" applyFill="1" applyBorder="1"/>
    <xf numFmtId="166" fontId="122" fillId="92"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6"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7" fontId="122" fillId="0" borderId="0" xfId="0" applyNumberFormat="1" applyFont="1"/>
    <xf numFmtId="43" fontId="122" fillId="0" borderId="85" xfId="0" applyNumberFormat="1" applyFont="1" applyFill="1" applyBorder="1"/>
    <xf numFmtId="44" fontId="0" fillId="0" borderId="0" xfId="25745" applyFont="1"/>
    <xf numFmtId="44" fontId="0" fillId="0" borderId="80" xfId="25745" applyFont="1" applyBorder="1"/>
    <xf numFmtId="44" fontId="0" fillId="0" borderId="80" xfId="0" applyNumberFormat="1" applyBorder="1"/>
    <xf numFmtId="44" fontId="0" fillId="0" borderId="0" xfId="0" applyNumberFormat="1"/>
    <xf numFmtId="37" fontId="18" fillId="0" borderId="0" xfId="25795" applyFont="1" applyFill="1" applyAlignment="1">
      <alignment horizontal="center"/>
    </xf>
    <xf numFmtId="37" fontId="26" fillId="0" borderId="0" xfId="25795" applyFont="1" applyFill="1"/>
    <xf numFmtId="37" fontId="134" fillId="0" borderId="0" xfId="25795" applyFont="1" applyFill="1"/>
    <xf numFmtId="37" fontId="60" fillId="0" borderId="0" xfId="25795" applyFont="1" applyFill="1" applyAlignment="1">
      <alignment horizontal="center"/>
    </xf>
    <xf numFmtId="195" fontId="23" fillId="0" borderId="88" xfId="25795" applyNumberFormat="1" applyFont="1" applyFill="1" applyBorder="1" applyAlignment="1" applyProtection="1">
      <alignment horizontal="centerContinuous"/>
      <protection locked="0"/>
    </xf>
    <xf numFmtId="195" fontId="18" fillId="0" borderId="0" xfId="25795" applyNumberFormat="1" applyFont="1" applyFill="1" applyBorder="1" applyAlignment="1" applyProtection="1">
      <alignment horizontal="centerContinuous"/>
    </xf>
    <xf numFmtId="195"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4"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6"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44" fontId="122" fillId="0" borderId="0" xfId="0" applyNumberFormat="1" applyFont="1" applyFill="1"/>
    <xf numFmtId="192" fontId="122" fillId="0" borderId="0" xfId="0" applyNumberFormat="1" applyFont="1" applyFill="1" applyBorder="1"/>
    <xf numFmtId="188"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7" fontId="122" fillId="0" borderId="56" xfId="0" applyNumberFormat="1" applyFont="1" applyFill="1" applyBorder="1" applyAlignment="1"/>
    <xf numFmtId="0" fontId="121" fillId="0" borderId="0" xfId="24690" applyFont="1" applyFill="1" applyBorder="1" applyAlignment="1">
      <alignment horizontal="center"/>
    </xf>
    <xf numFmtId="3" fontId="127" fillId="0" borderId="0" xfId="0" applyNumberFormat="1" applyFont="1" applyFill="1" applyBorder="1"/>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6" fontId="32" fillId="0" borderId="0" xfId="23895" applyNumberFormat="1" applyFont="1" applyFill="1" applyAlignment="1">
      <alignment horizontal="center"/>
    </xf>
    <xf numFmtId="10" fontId="32" fillId="0" borderId="0" xfId="24219" applyNumberFormat="1" applyFont="1" applyFill="1" applyAlignment="1">
      <alignment horizontal="center"/>
    </xf>
    <xf numFmtId="185" fontId="32" fillId="0" borderId="0" xfId="24219"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90" borderId="0" xfId="0" applyNumberFormat="1" applyFont="1" applyFill="1" applyBorder="1"/>
    <xf numFmtId="0" fontId="32" fillId="0" borderId="11" xfId="25455" applyFont="1" applyBorder="1" applyAlignment="1">
      <alignment horizontal="center"/>
    </xf>
    <xf numFmtId="49" fontId="32" fillId="0" borderId="56" xfId="25455" applyNumberFormat="1" applyFont="1" applyBorder="1" applyAlignment="1">
      <alignment horizontal="center"/>
    </xf>
    <xf numFmtId="49" fontId="32" fillId="0" borderId="99" xfId="25455" applyNumberFormat="1" applyFont="1" applyBorder="1" applyAlignment="1">
      <alignment horizontal="center"/>
    </xf>
    <xf numFmtId="49" fontId="32" fillId="0" borderId="99" xfId="25455" applyNumberFormat="1" applyFont="1" applyFill="1" applyBorder="1" applyAlignment="1">
      <alignment horizontal="center"/>
    </xf>
    <xf numFmtId="0" fontId="121" fillId="0" borderId="131" xfId="25455" applyFont="1" applyBorder="1" applyAlignment="1">
      <alignment horizontal="center"/>
    </xf>
    <xf numFmtId="0" fontId="121" fillId="0" borderId="15" xfId="25455" applyFont="1" applyBorder="1" applyAlignment="1">
      <alignment horizontal="center"/>
    </xf>
    <xf numFmtId="0" fontId="32" fillId="0" borderId="99" xfId="25455" applyFont="1" applyBorder="1"/>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7"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8" fillId="0" borderId="85" xfId="0" quotePrefix="1" applyNumberFormat="1" applyFont="1" applyFill="1" applyBorder="1"/>
    <xf numFmtId="17" fontId="138"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8"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3" fontId="32" fillId="0" borderId="0" xfId="3" applyNumberFormat="1" applyFont="1" applyFill="1" applyBorder="1">
      <alignment horizontal="right"/>
    </xf>
    <xf numFmtId="38" fontId="32" fillId="0" borderId="11" xfId="1" applyNumberFormat="1" applyFont="1" applyFill="1" applyBorder="1"/>
    <xf numFmtId="38"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89"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199"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1"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8"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39" fillId="0" borderId="0" xfId="0" applyNumberFormat="1" applyFont="1" applyFill="1" applyAlignment="1">
      <alignment horizontal="center"/>
    </xf>
    <xf numFmtId="0" fontId="121" fillId="88"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43" fontId="32" fillId="0" borderId="145" xfId="2574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37" fontId="121" fillId="0" borderId="79" xfId="25741" applyFont="1" applyFill="1" applyBorder="1" applyAlignment="1">
      <alignment horizontal="center"/>
    </xf>
    <xf numFmtId="4" fontId="122" fillId="0" borderId="153" xfId="0" applyNumberFormat="1" applyFont="1" applyFill="1" applyBorder="1"/>
    <xf numFmtId="4" fontId="122" fillId="0" borderId="140" xfId="0" applyNumberFormat="1" applyFont="1" applyFill="1" applyBorder="1"/>
    <xf numFmtId="200"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8" fillId="0" borderId="0" xfId="25742" applyNumberFormat="1" applyFont="1" applyFill="1" applyBorder="1"/>
    <xf numFmtId="0" fontId="138"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38" fontId="32" fillId="0" borderId="132" xfId="3" applyNumberFormat="1" applyFont="1" applyFill="1" applyBorder="1" applyProtection="1">
      <alignment horizontal="right"/>
    </xf>
    <xf numFmtId="38" fontId="32" fillId="0" borderId="132" xfId="2" applyNumberFormat="1" applyFont="1" applyFill="1" applyBorder="1" applyProtection="1"/>
    <xf numFmtId="38" fontId="32" fillId="0" borderId="153" xfId="2" applyNumberFormat="1" applyFont="1" applyFill="1" applyBorder="1" applyProtection="1"/>
    <xf numFmtId="38" fontId="122" fillId="0" borderId="132" xfId="0" applyNumberFormat="1" applyFont="1" applyFill="1" applyBorder="1"/>
    <xf numFmtId="38" fontId="32" fillId="0" borderId="132" xfId="2" applyNumberFormat="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6" fontId="122" fillId="87" borderId="0" xfId="25742" applyNumberFormat="1" applyFont="1" applyFill="1"/>
    <xf numFmtId="166" fontId="122" fillId="94" borderId="0" xfId="25742" applyNumberFormat="1" applyFont="1" applyFill="1"/>
    <xf numFmtId="166" fontId="122" fillId="92"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8" fillId="0" borderId="0" xfId="25742" applyNumberFormat="1" applyFont="1" applyFill="1" applyBorder="1"/>
    <xf numFmtId="43" fontId="138"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90"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8"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8" fillId="0" borderId="0" xfId="25742" applyNumberFormat="1" applyFont="1" applyFill="1" applyAlignment="1">
      <alignment horizontal="center"/>
    </xf>
    <xf numFmtId="43" fontId="138" fillId="0" borderId="0" xfId="25742" applyNumberFormat="1" applyFont="1" applyFill="1" applyAlignment="1">
      <alignment horizontal="center"/>
    </xf>
    <xf numFmtId="166" fontId="138" fillId="0" borderId="0" xfId="25742" applyNumberFormat="1" applyFont="1" applyFill="1" applyBorder="1" applyAlignment="1">
      <alignment horizontal="center"/>
    </xf>
    <xf numFmtId="43" fontId="138"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8"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8"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8" fontId="127" fillId="0" borderId="80" xfId="0" applyNumberFormat="1" applyFont="1" applyFill="1" applyBorder="1"/>
    <xf numFmtId="188" fontId="127" fillId="0" borderId="0" xfId="0" applyNumberFormat="1" applyFont="1" applyFill="1"/>
    <xf numFmtId="6" fontId="122" fillId="0" borderId="90" xfId="0" applyNumberFormat="1" applyFont="1" applyFill="1" applyBorder="1"/>
    <xf numFmtId="201" fontId="122" fillId="0" borderId="0" xfId="0" applyNumberFormat="1" applyFont="1" applyFill="1"/>
    <xf numFmtId="8" fontId="32" fillId="0" borderId="82" xfId="0" applyNumberFormat="1" applyFont="1" applyFill="1" applyBorder="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39" fillId="0" borderId="0" xfId="0" applyFont="1" applyFill="1"/>
    <xf numFmtId="0" fontId="139"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2" fillId="0" borderId="0" xfId="25793" applyNumberFormat="1" applyFont="1" applyFill="1"/>
    <xf numFmtId="43" fontId="142" fillId="0" borderId="0" xfId="25742" applyFont="1" applyFill="1"/>
    <xf numFmtId="43" fontId="139" fillId="0" borderId="0" xfId="25742" applyFont="1" applyFill="1" applyAlignment="1">
      <alignment horizontal="center"/>
    </xf>
    <xf numFmtId="43" fontId="143" fillId="0" borderId="0" xfId="0" applyNumberFormat="1" applyFont="1" applyFill="1"/>
    <xf numFmtId="0" fontId="0" fillId="0" borderId="0" xfId="0" applyFill="1" applyAlignment="1">
      <alignment horizontal="left"/>
    </xf>
    <xf numFmtId="43" fontId="16" fillId="0" borderId="150" xfId="25766" applyFont="1" applyFill="1" applyBorder="1"/>
    <xf numFmtId="43" fontId="144" fillId="0" borderId="150" xfId="25766" applyFont="1" applyFill="1" applyBorder="1"/>
    <xf numFmtId="43" fontId="142" fillId="0" borderId="150" xfId="25742" applyFont="1" applyFill="1" applyBorder="1"/>
    <xf numFmtId="0" fontId="18" fillId="0" borderId="0" xfId="28781" applyFill="1"/>
    <xf numFmtId="44" fontId="139" fillId="0" borderId="0" xfId="25745" applyFont="1" applyFill="1"/>
    <xf numFmtId="44" fontId="0" fillId="0" borderId="0" xfId="25745" applyFont="1" applyFill="1"/>
    <xf numFmtId="44" fontId="139" fillId="0" borderId="0" xfId="0" applyNumberFormat="1"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25745" applyNumberFormat="1" applyFont="1"/>
    <xf numFmtId="39" fontId="122" fillId="0" borderId="0" xfId="0" applyNumberFormat="1" applyFont="1"/>
    <xf numFmtId="39" fontId="122" fillId="0" borderId="49" xfId="0" applyNumberFormat="1" applyFont="1" applyBorder="1"/>
    <xf numFmtId="14" fontId="32" fillId="0" borderId="0" xfId="25742" applyNumberFormat="1" applyFont="1" applyFill="1" applyBorder="1"/>
    <xf numFmtId="14" fontId="32" fillId="0" borderId="0" xfId="25750"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 fontId="32" fillId="0" borderId="0" xfId="25794" applyNumberFormat="1" applyFont="1" applyFill="1"/>
    <xf numFmtId="0" fontId="122" fillId="0" borderId="0" xfId="0" applyFont="1" applyFill="1" applyAlignment="1">
      <alignment wrapText="1"/>
    </xf>
    <xf numFmtId="0" fontId="0" fillId="0" borderId="0" xfId="0" applyAlignment="1">
      <alignment horizontal="left"/>
    </xf>
    <xf numFmtId="39" fontId="122" fillId="0" borderId="0" xfId="0" applyNumberFormat="1" applyFont="1" applyFill="1" applyBorder="1"/>
    <xf numFmtId="10" fontId="0" fillId="0" borderId="0" xfId="25793" applyNumberFormat="1" applyFont="1" applyFill="1"/>
    <xf numFmtId="0" fontId="20" fillId="0" borderId="0" xfId="28781" applyFont="1" applyFill="1" applyBorder="1" applyAlignment="1">
      <alignment horizontal="center"/>
    </xf>
    <xf numFmtId="5" fontId="121" fillId="0" borderId="15" xfId="25457" applyNumberFormat="1" applyFont="1" applyFill="1" applyBorder="1">
      <alignment horizontal="right"/>
    </xf>
    <xf numFmtId="5" fontId="32" fillId="0" borderId="14" xfId="25456" applyNumberFormat="1" applyFont="1" applyFill="1" applyBorder="1"/>
    <xf numFmtId="5" fontId="121" fillId="0" borderId="51" xfId="25456" applyNumberFormat="1" applyFont="1" applyFill="1" applyBorder="1"/>
    <xf numFmtId="5" fontId="121" fillId="0" borderId="64" xfId="25456" applyNumberFormat="1" applyFont="1" applyFill="1" applyBorder="1"/>
    <xf numFmtId="5" fontId="32" fillId="0" borderId="16" xfId="25456" applyNumberFormat="1" applyFont="1" applyFill="1" applyBorder="1"/>
    <xf numFmtId="38" fontId="32" fillId="0" borderId="11" xfId="3" applyNumberFormat="1" applyFont="1" applyFill="1" applyBorder="1">
      <alignment horizontal="right"/>
    </xf>
    <xf numFmtId="38" fontId="32" fillId="0" borderId="18" xfId="3" applyNumberFormat="1" applyFont="1" applyFill="1" applyBorder="1">
      <alignment horizontal="right"/>
    </xf>
    <xf numFmtId="38" fontId="32" fillId="0" borderId="132" xfId="3" applyNumberFormat="1" applyFont="1" applyFill="1" applyBorder="1">
      <alignment horizontal="right"/>
    </xf>
    <xf numFmtId="10" fontId="32" fillId="0" borderId="132" xfId="4" applyNumberFormat="1" applyFont="1" applyFill="1" applyBorder="1"/>
    <xf numFmtId="10" fontId="32" fillId="0" borderId="0" xfId="4" applyNumberFormat="1" applyFont="1" applyFill="1" applyBorder="1"/>
    <xf numFmtId="167" fontId="32" fillId="0" borderId="0" xfId="4" applyNumberFormat="1" applyFont="1" applyFill="1" applyBorder="1"/>
    <xf numFmtId="38" fontId="32" fillId="0" borderId="33" xfId="2" applyNumberFormat="1" applyFont="1" applyFill="1" applyBorder="1" applyProtection="1"/>
    <xf numFmtId="38" fontId="32" fillId="0" borderId="34" xfId="2" applyNumberFormat="1" applyFont="1" applyFill="1" applyBorder="1" applyProtection="1"/>
    <xf numFmtId="38" fontId="32" fillId="0" borderId="15" xfId="3" applyNumberFormat="1" applyFont="1" applyFill="1" applyBorder="1">
      <alignment horizontal="right"/>
    </xf>
    <xf numFmtId="38" fontId="32" fillId="0" borderId="84" xfId="3" applyNumberFormat="1" applyFont="1" applyFill="1" applyBorder="1">
      <alignment horizontal="right"/>
    </xf>
    <xf numFmtId="38" fontId="32" fillId="0" borderId="79" xfId="3" applyNumberFormat="1" applyFont="1" applyFill="1" applyBorder="1">
      <alignment horizontal="right"/>
    </xf>
    <xf numFmtId="38" fontId="32" fillId="0" borderId="83" xfId="3" applyNumberFormat="1" applyFont="1" applyFill="1" applyBorder="1">
      <alignment horizontal="right"/>
    </xf>
    <xf numFmtId="5" fontId="122" fillId="0" borderId="0" xfId="0" applyNumberFormat="1" applyFont="1" applyFill="1"/>
    <xf numFmtId="188" fontId="122" fillId="0" borderId="55" xfId="0" applyNumberFormat="1" applyFont="1" applyFill="1" applyBorder="1"/>
    <xf numFmtId="184" fontId="122" fillId="0" borderId="55" xfId="0" applyNumberFormat="1" applyFont="1" applyFill="1" applyBorder="1"/>
    <xf numFmtId="188" fontId="124" fillId="0" borderId="79" xfId="0" applyNumberFormat="1" applyFont="1" applyFill="1" applyBorder="1"/>
    <xf numFmtId="167" fontId="124" fillId="0" borderId="0" xfId="0" applyNumberFormat="1" applyFont="1" applyFill="1"/>
    <xf numFmtId="202" fontId="32" fillId="0" borderId="0" xfId="25745" applyNumberFormat="1" applyFont="1" applyFill="1" applyAlignment="1"/>
    <xf numFmtId="202" fontId="121" fillId="0" borderId="80" xfId="25745" applyNumberFormat="1" applyFont="1" applyFill="1" applyBorder="1" applyAlignment="1"/>
    <xf numFmtId="39" fontId="122" fillId="0" borderId="49" xfId="0" applyNumberFormat="1" applyFont="1" applyFill="1" applyBorder="1"/>
    <xf numFmtId="39" fontId="122" fillId="0" borderId="79" xfId="25745" applyNumberFormat="1" applyFont="1" applyFill="1" applyBorder="1"/>
    <xf numFmtId="44" fontId="0" fillId="0" borderId="79" xfId="25745" applyNumberFormat="1" applyFont="1" applyFill="1" applyBorder="1"/>
    <xf numFmtId="10" fontId="0" fillId="0" borderId="0" xfId="0" applyNumberFormat="1" applyFill="1"/>
    <xf numFmtId="10" fontId="122" fillId="0" borderId="0" xfId="25793" applyNumberFormat="1" applyFont="1" applyFill="1"/>
    <xf numFmtId="0" fontId="126" fillId="95" borderId="0" xfId="0" quotePrefix="1" applyFont="1" applyFill="1"/>
    <xf numFmtId="0" fontId="126" fillId="95" borderId="0" xfId="0" applyFont="1" applyFill="1"/>
    <xf numFmtId="43" fontId="126" fillId="95" borderId="0" xfId="25742" applyFont="1" applyFill="1"/>
    <xf numFmtId="0" fontId="127" fillId="0" borderId="168" xfId="0" applyFont="1" applyFill="1" applyBorder="1"/>
    <xf numFmtId="0" fontId="127" fillId="0" borderId="168" xfId="0" applyFont="1" applyFill="1" applyBorder="1" applyAlignment="1">
      <alignment horizontal="center"/>
    </xf>
    <xf numFmtId="188" fontId="127" fillId="0" borderId="0" xfId="0" applyNumberFormat="1" applyFont="1" applyFill="1" applyBorder="1"/>
    <xf numFmtId="10" fontId="126" fillId="95" borderId="0" xfId="0" applyNumberFormat="1" applyFont="1" applyFill="1"/>
    <xf numFmtId="10" fontId="126" fillId="95" borderId="49" xfId="0" applyNumberFormat="1" applyFont="1" applyFill="1" applyBorder="1"/>
    <xf numFmtId="167" fontId="145" fillId="98" borderId="0" xfId="25292" applyNumberFormat="1" applyFont="1" applyFill="1" applyBorder="1" applyAlignment="1">
      <alignment horizontal="center"/>
    </xf>
    <xf numFmtId="0" fontId="0" fillId="0" borderId="0" xfId="0" applyAlignment="1">
      <alignment horizontal="left"/>
    </xf>
    <xf numFmtId="0" fontId="16" fillId="0" borderId="0" xfId="0" applyFont="1"/>
    <xf numFmtId="0" fontId="147" fillId="0" borderId="88" xfId="0" applyFont="1" applyBorder="1"/>
    <xf numFmtId="0" fontId="0" fillId="0" borderId="89" xfId="0" applyBorder="1" applyAlignment="1">
      <alignment horizontal="center"/>
    </xf>
    <xf numFmtId="0" fontId="0" fillId="0" borderId="95" xfId="0" applyBorder="1"/>
    <xf numFmtId="0" fontId="0" fillId="0" borderId="0" xfId="0" applyAlignment="1">
      <alignment horizontal="right"/>
    </xf>
    <xf numFmtId="0" fontId="14" fillId="0" borderId="0" xfId="0" applyFont="1"/>
    <xf numFmtId="166" fontId="0" fillId="0" borderId="0" xfId="0" applyNumberFormat="1"/>
    <xf numFmtId="202" fontId="139" fillId="0" borderId="0" xfId="25745" applyNumberFormat="1" applyFont="1"/>
    <xf numFmtId="43" fontId="0" fillId="0" borderId="0" xfId="0" applyNumberFormat="1"/>
    <xf numFmtId="0" fontId="139" fillId="0" borderId="88" xfId="0" applyFont="1" applyBorder="1"/>
    <xf numFmtId="0" fontId="139" fillId="0" borderId="0" xfId="0" applyFont="1"/>
    <xf numFmtId="0" fontId="139" fillId="0" borderId="91" xfId="0" applyFont="1" applyBorder="1"/>
    <xf numFmtId="0" fontId="139" fillId="0" borderId="92" xfId="0" applyFont="1" applyBorder="1"/>
    <xf numFmtId="0" fontId="139" fillId="0" borderId="178" xfId="0" applyFont="1" applyBorder="1"/>
    <xf numFmtId="166" fontId="139" fillId="0" borderId="0" xfId="0" applyNumberFormat="1" applyFont="1"/>
    <xf numFmtId="0" fontId="139" fillId="0" borderId="11" xfId="0" applyFont="1" applyBorder="1"/>
    <xf numFmtId="10" fontId="139" fillId="0" borderId="0" xfId="25793" applyNumberFormat="1" applyFont="1"/>
    <xf numFmtId="0" fontId="139" fillId="0" borderId="0" xfId="0" applyFont="1" applyAlignment="1">
      <alignment horizontal="left" indent="1"/>
    </xf>
    <xf numFmtId="204" fontId="139" fillId="0" borderId="0" xfId="0" applyNumberFormat="1" applyFont="1"/>
    <xf numFmtId="203" fontId="139" fillId="0" borderId="0" xfId="25793" applyNumberFormat="1" applyFont="1"/>
    <xf numFmtId="0" fontId="139" fillId="0" borderId="88" xfId="0" applyFont="1" applyBorder="1" applyAlignment="1">
      <alignment horizontal="left" indent="1"/>
    </xf>
    <xf numFmtId="10" fontId="139" fillId="0" borderId="0" xfId="0" applyNumberFormat="1" applyFont="1"/>
    <xf numFmtId="43" fontId="1" fillId="0" borderId="0" xfId="25742"/>
    <xf numFmtId="202" fontId="144" fillId="0" borderId="86" xfId="25745" applyNumberFormat="1" applyFont="1" applyBorder="1"/>
    <xf numFmtId="202" fontId="150" fillId="0" borderId="49" xfId="25745" applyNumberFormat="1" applyFont="1" applyBorder="1"/>
    <xf numFmtId="202" fontId="150" fillId="0" borderId="21" xfId="25745" applyNumberFormat="1" applyFont="1" applyBorder="1"/>
    <xf numFmtId="0" fontId="20" fillId="0" borderId="0" xfId="33354" applyFont="1"/>
    <xf numFmtId="0" fontId="144" fillId="0" borderId="0" xfId="0" applyFont="1" applyAlignment="1">
      <alignment horizontal="right"/>
    </xf>
    <xf numFmtId="3" fontId="139" fillId="0" borderId="0" xfId="0" applyNumberFormat="1" applyFont="1"/>
    <xf numFmtId="0" fontId="144" fillId="0" borderId="0" xfId="0" applyFont="1"/>
    <xf numFmtId="0" fontId="139" fillId="0" borderId="0" xfId="0" applyFont="1" applyAlignment="1">
      <alignment horizontal="right"/>
    </xf>
    <xf numFmtId="0" fontId="153" fillId="0" borderId="0" xfId="0" applyFont="1"/>
    <xf numFmtId="0" fontId="139" fillId="0" borderId="0" xfId="0" applyFont="1" applyAlignment="1">
      <alignment horizontal="center"/>
    </xf>
    <xf numFmtId="0" fontId="154" fillId="0" borderId="0" xfId="0" applyFont="1" applyAlignment="1">
      <alignment horizontal="center"/>
    </xf>
    <xf numFmtId="0" fontId="139" fillId="0" borderId="143" xfId="0" applyFont="1" applyBorder="1"/>
    <xf numFmtId="0" fontId="139" fillId="0" borderId="165" xfId="0" applyFont="1" applyBorder="1" applyAlignment="1">
      <alignment horizontal="center"/>
    </xf>
    <xf numFmtId="0" fontId="139" fillId="0" borderId="133" xfId="0" applyFont="1" applyBorder="1" applyAlignment="1">
      <alignment horizontal="center"/>
    </xf>
    <xf numFmtId="0" fontId="139" fillId="0" borderId="132" xfId="0" applyFont="1" applyBorder="1"/>
    <xf numFmtId="0" fontId="154" fillId="0" borderId="11" xfId="0" applyFont="1" applyBorder="1" applyAlignment="1">
      <alignment horizontal="center"/>
    </xf>
    <xf numFmtId="190" fontId="139" fillId="0" borderId="0" xfId="0" applyNumberFormat="1" applyFont="1"/>
    <xf numFmtId="0" fontId="139" fillId="0" borderId="171" xfId="0" applyFont="1" applyBorder="1"/>
    <xf numFmtId="0" fontId="154" fillId="0" borderId="0" xfId="0" applyFont="1" applyAlignment="1">
      <alignment horizontal="centerContinuous"/>
    </xf>
    <xf numFmtId="190" fontId="139" fillId="0" borderId="0" xfId="25745" applyNumberFormat="1" applyFont="1" applyAlignment="1">
      <alignment horizontal="center"/>
    </xf>
    <xf numFmtId="10" fontId="139" fillId="0" borderId="0" xfId="25793" applyNumberFormat="1" applyFont="1" applyAlignment="1">
      <alignment horizontal="center"/>
    </xf>
    <xf numFmtId="190" fontId="139" fillId="0" borderId="0" xfId="25745" applyNumberFormat="1" applyFont="1"/>
    <xf numFmtId="204" fontId="139" fillId="95" borderId="168" xfId="0" applyNumberFormat="1" applyFont="1" applyFill="1" applyBorder="1"/>
    <xf numFmtId="204" fontId="139" fillId="0" borderId="172" xfId="0" applyNumberFormat="1" applyFont="1" applyBorder="1"/>
    <xf numFmtId="3" fontId="139" fillId="0" borderId="0" xfId="0" applyNumberFormat="1" applyFont="1" applyAlignment="1">
      <alignment horizontal="center"/>
    </xf>
    <xf numFmtId="0" fontId="139" fillId="0" borderId="132" xfId="0" applyFont="1" applyBorder="1" applyAlignment="1">
      <alignment horizontal="left" indent="1"/>
    </xf>
    <xf numFmtId="204" fontId="139" fillId="0" borderId="168" xfId="0" applyNumberFormat="1" applyFont="1" applyBorder="1"/>
    <xf numFmtId="3" fontId="144" fillId="0" borderId="0" xfId="0" applyNumberFormat="1" applyFont="1" applyAlignment="1">
      <alignment horizontal="center"/>
    </xf>
    <xf numFmtId="0" fontId="144" fillId="0" borderId="0" xfId="0" applyFont="1" applyAlignment="1">
      <alignment horizontal="center"/>
    </xf>
    <xf numFmtId="190" fontId="139" fillId="0" borderId="11" xfId="0" applyNumberFormat="1" applyFont="1" applyBorder="1"/>
    <xf numFmtId="0" fontId="17" fillId="0" borderId="0" xfId="0" applyFont="1"/>
    <xf numFmtId="0" fontId="155" fillId="0" borderId="0" xfId="0" applyFont="1"/>
    <xf numFmtId="0" fontId="0" fillId="0" borderId="168" xfId="0" applyBorder="1" applyAlignment="1">
      <alignment horizontal="center" wrapText="1"/>
    </xf>
    <xf numFmtId="0" fontId="0" fillId="0" borderId="168" xfId="0" applyBorder="1" applyAlignment="1">
      <alignment horizontal="center"/>
    </xf>
    <xf numFmtId="0" fontId="0" fillId="0" borderId="0" xfId="0" applyAlignment="1">
      <alignment horizontal="center" wrapText="1"/>
    </xf>
    <xf numFmtId="0" fontId="0" fillId="101" borderId="0" xfId="0" applyFill="1"/>
    <xf numFmtId="0" fontId="156" fillId="0" borderId="0" xfId="0" applyFont="1"/>
    <xf numFmtId="0" fontId="0" fillId="102" borderId="0" xfId="0" applyFill="1"/>
    <xf numFmtId="0" fontId="0" fillId="103" borderId="0" xfId="0" applyFill="1"/>
    <xf numFmtId="0" fontId="0" fillId="104" borderId="0" xfId="0" applyFill="1"/>
    <xf numFmtId="0" fontId="0" fillId="91" borderId="0" xfId="0" applyFill="1"/>
    <xf numFmtId="0" fontId="0" fillId="105" borderId="0" xfId="0" applyFill="1"/>
    <xf numFmtId="0" fontId="0" fillId="106" borderId="0" xfId="0" applyFill="1"/>
    <xf numFmtId="0" fontId="139" fillId="0" borderId="165" xfId="0" quotePrefix="1" applyFont="1" applyBorder="1" applyAlignment="1">
      <alignment horizontal="center"/>
    </xf>
    <xf numFmtId="0" fontId="139" fillId="0" borderId="11" xfId="0" applyFont="1" applyBorder="1" applyAlignment="1">
      <alignment horizontal="center"/>
    </xf>
    <xf numFmtId="0" fontId="139" fillId="0" borderId="168" xfId="0" applyFont="1" applyBorder="1" applyAlignment="1">
      <alignment horizontal="center"/>
    </xf>
    <xf numFmtId="0" fontId="139" fillId="0" borderId="172" xfId="0" applyFont="1" applyBorder="1" applyAlignment="1">
      <alignment horizontal="center"/>
    </xf>
    <xf numFmtId="0" fontId="139" fillId="0" borderId="0" xfId="0" applyFont="1" applyAlignment="1">
      <alignment horizontal="left"/>
    </xf>
    <xf numFmtId="0" fontId="157" fillId="0" borderId="0" xfId="0" applyFont="1"/>
    <xf numFmtId="190" fontId="139" fillId="0" borderId="0" xfId="0" applyNumberFormat="1" applyFont="1" applyAlignment="1">
      <alignment horizontal="right"/>
    </xf>
    <xf numFmtId="44" fontId="139" fillId="0" borderId="0" xfId="0" applyNumberFormat="1" applyFont="1"/>
    <xf numFmtId="0" fontId="139" fillId="0" borderId="0" xfId="28781" applyFont="1"/>
    <xf numFmtId="0" fontId="18" fillId="0" borderId="0" xfId="0" applyFont="1" applyAlignment="1">
      <alignment vertical="top"/>
    </xf>
    <xf numFmtId="0" fontId="139" fillId="0" borderId="0" xfId="30158" applyFont="1"/>
    <xf numFmtId="37" fontId="139" fillId="0" borderId="0" xfId="0" applyNumberFormat="1" applyFont="1"/>
    <xf numFmtId="44" fontId="139" fillId="0" borderId="0" xfId="25745" applyFont="1"/>
    <xf numFmtId="166" fontId="139" fillId="0" borderId="0" xfId="25742" applyNumberFormat="1" applyFont="1"/>
    <xf numFmtId="0" fontId="18" fillId="0" borderId="0" xfId="0" applyFont="1" applyAlignment="1">
      <alignment horizontal="left" vertical="center" wrapText="1"/>
    </xf>
    <xf numFmtId="0" fontId="1" fillId="0" borderId="0" xfId="30158" applyFont="1"/>
    <xf numFmtId="205" fontId="139" fillId="0" borderId="0" xfId="25745" applyNumberFormat="1" applyFont="1"/>
    <xf numFmtId="0" fontId="0" fillId="0" borderId="0" xfId="30158" applyFont="1"/>
    <xf numFmtId="0" fontId="0" fillId="0" borderId="88" xfId="0" applyBorder="1" applyAlignment="1">
      <alignment horizontal="center"/>
    </xf>
    <xf numFmtId="166" fontId="0" fillId="0" borderId="0" xfId="25742" applyNumberFormat="1" applyFont="1"/>
    <xf numFmtId="0" fontId="0" fillId="0" borderId="49" xfId="0" applyBorder="1"/>
    <xf numFmtId="0" fontId="0" fillId="95" borderId="0" xfId="0" applyFill="1"/>
    <xf numFmtId="14" fontId="0" fillId="0" borderId="0" xfId="0" applyNumberFormat="1"/>
    <xf numFmtId="166" fontId="0" fillId="95" borderId="0" xfId="25742" applyNumberFormat="1" applyFont="1" applyFill="1"/>
    <xf numFmtId="0" fontId="139" fillId="0" borderId="0" xfId="25986" applyFont="1"/>
    <xf numFmtId="0" fontId="144" fillId="0" borderId="0" xfId="25986" applyFont="1"/>
    <xf numFmtId="0" fontId="139" fillId="0" borderId="14" xfId="25986" applyFont="1" applyBorder="1"/>
    <xf numFmtId="166" fontId="164" fillId="0" borderId="150" xfId="25742" applyNumberFormat="1" applyFont="1" applyBorder="1" applyAlignment="1">
      <alignment wrapText="1"/>
    </xf>
    <xf numFmtId="17" fontId="139" fillId="0" borderId="82" xfId="25745" applyNumberFormat="1" applyFont="1" applyBorder="1"/>
    <xf numFmtId="166" fontId="164" fillId="0" borderId="81" xfId="25742" applyNumberFormat="1" applyFont="1" applyBorder="1" applyAlignment="1">
      <alignment wrapText="1"/>
    </xf>
    <xf numFmtId="17" fontId="139" fillId="0" borderId="150" xfId="25745" applyNumberFormat="1" applyFont="1" applyBorder="1"/>
    <xf numFmtId="44" fontId="139" fillId="0" borderId="0" xfId="25745" applyFont="1" applyAlignment="1">
      <alignment horizontal="center"/>
    </xf>
    <xf numFmtId="0" fontId="20" fillId="0" borderId="0" xfId="30157" applyFont="1">
      <alignment vertical="top"/>
    </xf>
    <xf numFmtId="166" fontId="60" fillId="0" borderId="0" xfId="25742" applyNumberFormat="1" applyFont="1"/>
    <xf numFmtId="44" fontId="60" fillId="0" borderId="0" xfId="25745" applyFont="1"/>
    <xf numFmtId="39" fontId="18" fillId="0" borderId="0" xfId="30157" applyNumberFormat="1" applyFont="1">
      <alignment vertical="top"/>
    </xf>
    <xf numFmtId="44" fontId="18" fillId="0" borderId="0" xfId="25745" applyFont="1" applyAlignment="1">
      <alignment vertical="top"/>
    </xf>
    <xf numFmtId="44" fontId="18" fillId="0" borderId="0" xfId="25745" applyFont="1" applyAlignment="1">
      <alignment horizontal="right" vertical="center" wrapText="1"/>
    </xf>
    <xf numFmtId="166" fontId="18" fillId="0" borderId="0" xfId="25742" applyNumberFormat="1" applyFont="1" applyAlignment="1">
      <alignment vertical="top"/>
    </xf>
    <xf numFmtId="166" fontId="18" fillId="0" borderId="0" xfId="25742" applyNumberFormat="1" applyFont="1" applyAlignment="1">
      <alignment horizontal="right" vertical="center" wrapText="1"/>
    </xf>
    <xf numFmtId="43" fontId="18" fillId="0" borderId="0" xfId="25742" applyFont="1" applyAlignment="1">
      <alignment vertical="top"/>
    </xf>
    <xf numFmtId="4" fontId="139" fillId="0" borderId="0" xfId="25986" applyNumberFormat="1" applyFont="1"/>
    <xf numFmtId="43" fontId="139" fillId="0" borderId="0" xfId="25742" applyFont="1"/>
    <xf numFmtId="43" fontId="60" fillId="0" borderId="0" xfId="25742" applyFont="1"/>
    <xf numFmtId="166" fontId="18" fillId="0" borderId="0" xfId="25742" applyNumberFormat="1" applyFont="1"/>
    <xf numFmtId="43" fontId="18" fillId="0" borderId="0" xfId="25742" applyFont="1"/>
    <xf numFmtId="43" fontId="144" fillId="0" borderId="0" xfId="25742" applyFont="1"/>
    <xf numFmtId="166" fontId="14" fillId="108" borderId="0" xfId="25742" applyNumberFormat="1" applyFont="1" applyFill="1"/>
    <xf numFmtId="184" fontId="139" fillId="0" borderId="0" xfId="25986" applyNumberFormat="1" applyFont="1"/>
    <xf numFmtId="166" fontId="139" fillId="0" borderId="0" xfId="25745" applyNumberFormat="1" applyFont="1"/>
    <xf numFmtId="39" fontId="139" fillId="0" borderId="0" xfId="25745" applyNumberFormat="1" applyFont="1"/>
    <xf numFmtId="37" fontId="18" fillId="0" borderId="0" xfId="30157" applyNumberFormat="1" applyFont="1">
      <alignment vertical="top"/>
    </xf>
    <xf numFmtId="44" fontId="18" fillId="0" borderId="0" xfId="25745" applyFont="1"/>
    <xf numFmtId="44" fontId="139" fillId="0" borderId="0" xfId="25986" applyNumberFormat="1" applyFont="1"/>
    <xf numFmtId="166" fontId="18" fillId="0" borderId="0" xfId="30157" applyNumberFormat="1" applyFont="1">
      <alignment vertical="top"/>
    </xf>
    <xf numFmtId="166" fontId="139" fillId="95" borderId="0" xfId="25742" applyNumberFormat="1" applyFont="1" applyFill="1"/>
    <xf numFmtId="0" fontId="18" fillId="0" borderId="0" xfId="30157" applyFont="1">
      <alignment vertical="top"/>
    </xf>
    <xf numFmtId="2" fontId="139" fillId="0" borderId="0" xfId="25986" applyNumberFormat="1" applyFont="1"/>
    <xf numFmtId="216" fontId="139" fillId="0" borderId="0" xfId="25986" applyNumberFormat="1" applyFont="1"/>
    <xf numFmtId="217" fontId="139" fillId="0" borderId="0" xfId="25986" applyNumberFormat="1" applyFont="1"/>
    <xf numFmtId="202" fontId="18" fillId="0" borderId="0" xfId="25745" applyNumberFormat="1" applyFont="1" applyAlignment="1">
      <alignment vertical="top"/>
    </xf>
    <xf numFmtId="41" fontId="18" fillId="0" borderId="0" xfId="25745" applyNumberFormat="1" applyFont="1" applyAlignment="1">
      <alignment vertical="top"/>
    </xf>
    <xf numFmtId="37" fontId="18" fillId="0" borderId="0" xfId="25745" applyNumberFormat="1" applyFont="1" applyAlignment="1">
      <alignment vertical="top"/>
    </xf>
    <xf numFmtId="37" fontId="18" fillId="0" borderId="0" xfId="0" applyNumberFormat="1" applyFont="1" applyAlignment="1">
      <alignment vertical="top"/>
    </xf>
    <xf numFmtId="44" fontId="47" fillId="0" borderId="0" xfId="25745" applyFont="1" applyAlignment="1">
      <alignment vertical="top"/>
    </xf>
    <xf numFmtId="0" fontId="139" fillId="0" borderId="0" xfId="0" applyFont="1" applyAlignment="1">
      <alignment vertical="top"/>
    </xf>
    <xf numFmtId="166" fontId="139" fillId="0" borderId="0" xfId="25742" applyNumberFormat="1" applyFont="1" applyAlignment="1">
      <alignment wrapText="1"/>
    </xf>
    <xf numFmtId="5" fontId="139" fillId="0" borderId="0" xfId="0" applyNumberFormat="1" applyFont="1"/>
    <xf numFmtId="0" fontId="170" fillId="0" borderId="0" xfId="30157" applyFont="1">
      <alignment vertical="top"/>
    </xf>
    <xf numFmtId="44" fontId="166" fillId="0" borderId="0" xfId="25745" applyFont="1" applyAlignment="1">
      <alignment vertical="top"/>
    </xf>
    <xf numFmtId="0" fontId="149" fillId="0" borderId="0" xfId="30158" applyFont="1" applyAlignment="1">
      <alignment horizontal="center"/>
    </xf>
    <xf numFmtId="0" fontId="149" fillId="0" borderId="0" xfId="30158" quotePrefix="1" applyFont="1" applyAlignment="1">
      <alignment horizontal="left"/>
    </xf>
    <xf numFmtId="17" fontId="139" fillId="0" borderId="0" xfId="30158" applyNumberFormat="1" applyFont="1"/>
    <xf numFmtId="0" fontId="139" fillId="0" borderId="0" xfId="30158" applyFont="1" applyAlignment="1">
      <alignment horizontal="center"/>
    </xf>
    <xf numFmtId="0" fontId="16" fillId="0" borderId="0" xfId="30158" applyFont="1"/>
    <xf numFmtId="0" fontId="1" fillId="0" borderId="0" xfId="30158" applyFont="1" applyAlignment="1">
      <alignment horizontal="center"/>
    </xf>
    <xf numFmtId="166" fontId="1" fillId="0" borderId="0" xfId="30158" applyNumberFormat="1" applyFont="1"/>
    <xf numFmtId="166" fontId="1" fillId="0" borderId="0" xfId="30159" applyNumberFormat="1" applyFont="1"/>
    <xf numFmtId="0" fontId="163" fillId="0" borderId="0" xfId="30158" applyFont="1" applyAlignment="1">
      <alignment horizontal="left" indent="1"/>
    </xf>
    <xf numFmtId="43" fontId="1" fillId="0" borderId="0" xfId="30159" applyFont="1"/>
    <xf numFmtId="166" fontId="139" fillId="0" borderId="0" xfId="30159" applyNumberFormat="1" applyFont="1"/>
    <xf numFmtId="43" fontId="160" fillId="0" borderId="0" xfId="28916" applyFont="1" applyAlignment="1">
      <alignment horizontal="center"/>
    </xf>
    <xf numFmtId="0" fontId="163" fillId="0" borderId="0" xfId="30158" applyFont="1"/>
    <xf numFmtId="199" fontId="1" fillId="0" borderId="0" xfId="25742" applyNumberFormat="1"/>
    <xf numFmtId="0" fontId="163" fillId="0" borderId="0" xfId="30158" applyFont="1" applyAlignment="1">
      <alignment horizontal="left"/>
    </xf>
    <xf numFmtId="0" fontId="1" fillId="0" borderId="0" xfId="30158" applyFont="1" applyAlignment="1">
      <alignment horizontal="left" indent="1"/>
    </xf>
    <xf numFmtId="0" fontId="1" fillId="0" borderId="0" xfId="30158" applyFont="1" applyAlignment="1">
      <alignment horizontal="right"/>
    </xf>
    <xf numFmtId="37" fontId="1" fillId="0" borderId="0" xfId="30158" applyNumberFormat="1" applyFont="1"/>
    <xf numFmtId="199" fontId="1" fillId="0" borderId="0" xfId="30158" applyNumberFormat="1" applyFont="1"/>
    <xf numFmtId="43" fontId="1" fillId="0" borderId="0" xfId="30158" applyNumberFormat="1" applyFont="1"/>
    <xf numFmtId="43" fontId="163" fillId="0" borderId="0" xfId="30158" applyNumberFormat="1" applyFont="1" applyAlignment="1">
      <alignment horizontal="left" indent="1"/>
    </xf>
    <xf numFmtId="0" fontId="139" fillId="100" borderId="14" xfId="0" applyFont="1" applyFill="1" applyBorder="1" applyAlignment="1">
      <alignment horizontal="center"/>
    </xf>
    <xf numFmtId="0" fontId="139" fillId="100" borderId="186" xfId="0" applyFont="1" applyFill="1" applyBorder="1" applyAlignment="1">
      <alignment horizontal="center"/>
    </xf>
    <xf numFmtId="0" fontId="139" fillId="0" borderId="14" xfId="0" applyFont="1" applyBorder="1" applyAlignment="1">
      <alignment horizontal="left"/>
    </xf>
    <xf numFmtId="166" fontId="139" fillId="0" borderId="14" xfId="25742" applyNumberFormat="1" applyFont="1" applyBorder="1"/>
    <xf numFmtId="166" fontId="139" fillId="0" borderId="186" xfId="25742" applyNumberFormat="1" applyFont="1" applyBorder="1"/>
    <xf numFmtId="0" fontId="144" fillId="0" borderId="14" xfId="0" applyFont="1" applyBorder="1" applyAlignment="1">
      <alignment horizontal="left"/>
    </xf>
    <xf numFmtId="43" fontId="144" fillId="0" borderId="14" xfId="25742" applyFont="1" applyBorder="1"/>
    <xf numFmtId="43" fontId="144" fillId="0" borderId="186" xfId="25742" applyFont="1" applyBorder="1"/>
    <xf numFmtId="0" fontId="0" fillId="95" borderId="91" xfId="0" applyFill="1" applyBorder="1"/>
    <xf numFmtId="0" fontId="0" fillId="95" borderId="93" xfId="0" applyFill="1" applyBorder="1"/>
    <xf numFmtId="0" fontId="139" fillId="101" borderId="14" xfId="0" applyFont="1" applyFill="1" applyBorder="1" applyAlignment="1">
      <alignment horizontal="left"/>
    </xf>
    <xf numFmtId="166" fontId="139" fillId="101" borderId="14" xfId="25742" applyNumberFormat="1" applyFont="1" applyFill="1" applyBorder="1"/>
    <xf numFmtId="166" fontId="139" fillId="101" borderId="186" xfId="25742" applyNumberFormat="1" applyFont="1" applyFill="1" applyBorder="1"/>
    <xf numFmtId="0" fontId="16" fillId="95" borderId="88" xfId="0" applyFont="1" applyFill="1" applyBorder="1"/>
    <xf numFmtId="0" fontId="0" fillId="95" borderId="89" xfId="0" applyFill="1" applyBorder="1"/>
    <xf numFmtId="0" fontId="144" fillId="97" borderId="14" xfId="0" applyFont="1" applyFill="1" applyBorder="1" applyAlignment="1">
      <alignment horizontal="left"/>
    </xf>
    <xf numFmtId="43" fontId="144" fillId="97" borderId="14" xfId="25742" applyFont="1" applyFill="1" applyBorder="1"/>
    <xf numFmtId="43" fontId="144" fillId="97" borderId="186" xfId="25742" applyFont="1" applyFill="1" applyBorder="1"/>
    <xf numFmtId="17" fontId="16" fillId="95" borderId="88" xfId="0" applyNumberFormat="1" applyFont="1" applyFill="1" applyBorder="1"/>
    <xf numFmtId="0" fontId="0" fillId="95" borderId="88" xfId="0" applyFill="1" applyBorder="1"/>
    <xf numFmtId="166" fontId="0" fillId="95" borderId="89" xfId="25742" applyNumberFormat="1" applyFont="1" applyFill="1" applyBorder="1"/>
    <xf numFmtId="0" fontId="139" fillId="0" borderId="14" xfId="0" applyFont="1" applyBorder="1"/>
    <xf numFmtId="166" fontId="0" fillId="95" borderId="187" xfId="25742" applyNumberFormat="1" applyFont="1" applyFill="1" applyBorder="1"/>
    <xf numFmtId="49" fontId="139" fillId="0" borderId="14" xfId="25742" applyNumberFormat="1" applyFont="1" applyBorder="1"/>
    <xf numFmtId="166" fontId="139" fillId="0" borderId="81" xfId="25742" applyNumberFormat="1" applyFont="1" applyBorder="1"/>
    <xf numFmtId="0" fontId="0" fillId="95" borderId="94" xfId="0" applyFill="1" applyBorder="1"/>
    <xf numFmtId="0" fontId="0" fillId="95" borderId="95" xfId="0" applyFill="1" applyBorder="1"/>
    <xf numFmtId="166" fontId="144" fillId="0" borderId="14" xfId="25742" applyNumberFormat="1" applyFont="1" applyBorder="1"/>
    <xf numFmtId="166" fontId="144" fillId="0" borderId="81" xfId="25742" applyNumberFormat="1" applyFont="1" applyBorder="1"/>
    <xf numFmtId="0" fontId="167" fillId="0" borderId="0" xfId="0" applyFont="1"/>
    <xf numFmtId="0" fontId="171" fillId="0" borderId="0" xfId="0" applyFont="1"/>
    <xf numFmtId="0" fontId="163" fillId="0" borderId="0" xfId="0" applyFont="1"/>
    <xf numFmtId="0" fontId="144" fillId="101" borderId="14" xfId="0" applyFont="1" applyFill="1" applyBorder="1" applyAlignment="1">
      <alignment horizontal="left"/>
    </xf>
    <xf numFmtId="166" fontId="139" fillId="101" borderId="81" xfId="25742" applyNumberFormat="1" applyFont="1" applyFill="1" applyBorder="1"/>
    <xf numFmtId="166" fontId="14" fillId="0" borderId="0" xfId="0" applyNumberFormat="1" applyFont="1"/>
    <xf numFmtId="17" fontId="0" fillId="95" borderId="0" xfId="0" applyNumberFormat="1" applyFill="1"/>
    <xf numFmtId="43" fontId="139" fillId="101" borderId="14" xfId="25742" applyFont="1" applyFill="1" applyBorder="1"/>
    <xf numFmtId="43" fontId="139" fillId="95" borderId="14" xfId="25742" applyFont="1" applyFill="1" applyBorder="1"/>
    <xf numFmtId="43" fontId="144" fillId="101" borderId="14" xfId="25742" applyFont="1" applyFill="1" applyBorder="1"/>
    <xf numFmtId="43" fontId="144" fillId="95" borderId="14" xfId="25742" applyFont="1" applyFill="1" applyBorder="1"/>
    <xf numFmtId="43" fontId="148" fillId="101" borderId="14" xfId="25742" applyFont="1" applyFill="1" applyBorder="1"/>
    <xf numFmtId="43" fontId="144" fillId="95" borderId="186" xfId="25742" applyFont="1" applyFill="1" applyBorder="1"/>
    <xf numFmtId="166" fontId="139" fillId="0" borderId="131" xfId="25742" applyNumberFormat="1" applyFont="1" applyBorder="1"/>
    <xf numFmtId="166" fontId="139" fillId="0" borderId="189" xfId="25742" applyNumberFormat="1" applyFont="1" applyBorder="1"/>
    <xf numFmtId="43" fontId="144" fillId="0" borderId="131" xfId="25742" applyFont="1" applyBorder="1"/>
    <xf numFmtId="43" fontId="144" fillId="0" borderId="189" xfId="25742" applyFont="1" applyBorder="1"/>
    <xf numFmtId="166" fontId="144" fillId="101" borderId="131" xfId="25742" applyNumberFormat="1" applyFont="1" applyFill="1" applyBorder="1"/>
    <xf numFmtId="166" fontId="144" fillId="101" borderId="143" xfId="25742" applyNumberFormat="1" applyFont="1" applyFill="1" applyBorder="1"/>
    <xf numFmtId="166" fontId="139" fillId="101" borderId="131" xfId="25742" applyNumberFormat="1" applyFont="1" applyFill="1" applyBorder="1"/>
    <xf numFmtId="166" fontId="139" fillId="101" borderId="143" xfId="25742" applyNumberFormat="1" applyFont="1" applyFill="1" applyBorder="1"/>
    <xf numFmtId="166" fontId="139" fillId="95" borderId="0" xfId="0" applyNumberFormat="1" applyFont="1" applyFill="1"/>
    <xf numFmtId="166" fontId="163" fillId="0" borderId="0" xfId="0" applyNumberFormat="1" applyFont="1"/>
    <xf numFmtId="166" fontId="139" fillId="101" borderId="14" xfId="0" applyNumberFormat="1" applyFont="1" applyFill="1" applyBorder="1"/>
    <xf numFmtId="166" fontId="139" fillId="101" borderId="81" xfId="0" applyNumberFormat="1" applyFont="1" applyFill="1" applyBorder="1"/>
    <xf numFmtId="43" fontId="144" fillId="101" borderId="81" xfId="25742" applyFont="1" applyFill="1" applyBorder="1"/>
    <xf numFmtId="43" fontId="144" fillId="95" borderId="81" xfId="25742" applyFont="1" applyFill="1" applyBorder="1"/>
    <xf numFmtId="43" fontId="144" fillId="95" borderId="82" xfId="25742" applyFont="1" applyFill="1" applyBorder="1"/>
    <xf numFmtId="0" fontId="144" fillId="0" borderId="15" xfId="0" applyFont="1" applyBorder="1" applyAlignment="1">
      <alignment horizontal="left"/>
    </xf>
    <xf numFmtId="2" fontId="139" fillId="0" borderId="14" xfId="0" applyNumberFormat="1" applyFont="1" applyBorder="1"/>
    <xf numFmtId="2" fontId="139" fillId="0" borderId="14" xfId="25742" applyNumberFormat="1" applyFont="1" applyBorder="1"/>
    <xf numFmtId="2" fontId="139" fillId="0" borderId="133" xfId="25742" applyNumberFormat="1" applyFont="1" applyBorder="1"/>
    <xf numFmtId="2" fontId="139" fillId="0" borderId="131" xfId="25742" applyNumberFormat="1" applyFont="1" applyBorder="1"/>
    <xf numFmtId="2" fontId="139" fillId="0" borderId="131" xfId="0" applyNumberFormat="1" applyFont="1" applyBorder="1"/>
    <xf numFmtId="2" fontId="139" fillId="0" borderId="143" xfId="25742" applyNumberFormat="1" applyFont="1" applyBorder="1"/>
    <xf numFmtId="2" fontId="139" fillId="0" borderId="189" xfId="0" applyNumberFormat="1" applyFont="1" applyBorder="1"/>
    <xf numFmtId="1" fontId="139" fillId="0" borderId="14" xfId="0" applyNumberFormat="1" applyFont="1" applyBorder="1"/>
    <xf numFmtId="1" fontId="139" fillId="0" borderId="186" xfId="0" applyNumberFormat="1" applyFont="1" applyBorder="1"/>
    <xf numFmtId="166" fontId="139" fillId="0" borderId="133" xfId="25742" applyNumberFormat="1" applyFont="1" applyBorder="1"/>
    <xf numFmtId="166" fontId="139" fillId="0" borderId="143" xfId="25742" applyNumberFormat="1" applyFont="1" applyBorder="1"/>
    <xf numFmtId="0" fontId="0" fillId="0" borderId="14" xfId="0" applyBorder="1" applyAlignment="1">
      <alignment horizontal="left"/>
    </xf>
    <xf numFmtId="166" fontId="0" fillId="0" borderId="14" xfId="25742" applyNumberFormat="1" applyFont="1" applyBorder="1"/>
    <xf numFmtId="166" fontId="0" fillId="0" borderId="186" xfId="25742" applyNumberFormat="1" applyFont="1" applyBorder="1"/>
    <xf numFmtId="0" fontId="16" fillId="0" borderId="14" xfId="0" applyFont="1" applyBorder="1" applyAlignment="1">
      <alignment horizontal="left"/>
    </xf>
    <xf numFmtId="166" fontId="16" fillId="0" borderId="14" xfId="25742" applyNumberFormat="1" applyFont="1" applyBorder="1"/>
    <xf numFmtId="166" fontId="16" fillId="0" borderId="186" xfId="25742" applyNumberFormat="1" applyFont="1" applyBorder="1"/>
    <xf numFmtId="2" fontId="0" fillId="0" borderId="14" xfId="0" applyNumberFormat="1" applyBorder="1"/>
    <xf numFmtId="2" fontId="0" fillId="0" borderId="186" xfId="0" applyNumberFormat="1" applyBorder="1"/>
    <xf numFmtId="0" fontId="0" fillId="95" borderId="14" xfId="0" applyFill="1" applyBorder="1" applyAlignment="1">
      <alignment horizontal="left"/>
    </xf>
    <xf numFmtId="166" fontId="0" fillId="95" borderId="14" xfId="25742" applyNumberFormat="1" applyFont="1" applyFill="1" applyBorder="1"/>
    <xf numFmtId="166" fontId="0" fillId="95" borderId="186" xfId="25742" applyNumberFormat="1" applyFont="1" applyFill="1" applyBorder="1"/>
    <xf numFmtId="166" fontId="1" fillId="0" borderId="14" xfId="25742" applyNumberFormat="1" applyBorder="1"/>
    <xf numFmtId="166" fontId="1" fillId="0" borderId="186" xfId="25742" applyNumberFormat="1" applyBorder="1"/>
    <xf numFmtId="166" fontId="16" fillId="0" borderId="81" xfId="25742" applyNumberFormat="1" applyFont="1" applyBorder="1"/>
    <xf numFmtId="166" fontId="144" fillId="95" borderId="14" xfId="25742" applyNumberFormat="1" applyFont="1" applyFill="1" applyBorder="1"/>
    <xf numFmtId="166" fontId="144" fillId="95" borderId="81" xfId="25742" applyNumberFormat="1" applyFont="1" applyFill="1" applyBorder="1"/>
    <xf numFmtId="0" fontId="16" fillId="95" borderId="14" xfId="0" applyFont="1" applyFill="1" applyBorder="1" applyAlignment="1">
      <alignment horizontal="left"/>
    </xf>
    <xf numFmtId="166" fontId="16" fillId="95" borderId="14" xfId="25742" applyNumberFormat="1" applyFont="1" applyFill="1" applyBorder="1"/>
    <xf numFmtId="166" fontId="16" fillId="95" borderId="81" xfId="25742" applyNumberFormat="1" applyFont="1" applyFill="1" applyBorder="1"/>
    <xf numFmtId="0" fontId="0" fillId="0" borderId="51" xfId="0" applyBorder="1" applyAlignment="1">
      <alignment horizontal="left"/>
    </xf>
    <xf numFmtId="2" fontId="0" fillId="0" borderId="51" xfId="0" applyNumberFormat="1" applyBorder="1"/>
    <xf numFmtId="2" fontId="0" fillId="0" borderId="52" xfId="0" applyNumberFormat="1" applyBorder="1"/>
    <xf numFmtId="2" fontId="0" fillId="0" borderId="190" xfId="0" applyNumberFormat="1" applyBorder="1"/>
    <xf numFmtId="0" fontId="0" fillId="100" borderId="14" xfId="0" applyFill="1" applyBorder="1" applyAlignment="1">
      <alignment horizontal="center"/>
    </xf>
    <xf numFmtId="0" fontId="0" fillId="100" borderId="186" xfId="0" applyFill="1" applyBorder="1" applyAlignment="1">
      <alignment horizontal="center"/>
    </xf>
    <xf numFmtId="0" fontId="0" fillId="100" borderId="168" xfId="0" applyFill="1" applyBorder="1" applyAlignment="1">
      <alignment horizontal="center"/>
    </xf>
    <xf numFmtId="0" fontId="0" fillId="100" borderId="0" xfId="0" applyFill="1" applyAlignment="1">
      <alignment horizontal="center" wrapText="1"/>
    </xf>
    <xf numFmtId="166" fontId="16" fillId="0" borderId="0" xfId="0" applyNumberFormat="1" applyFont="1"/>
    <xf numFmtId="166" fontId="16" fillId="0" borderId="0" xfId="25742" applyNumberFormat="1" applyFont="1"/>
    <xf numFmtId="41" fontId="16" fillId="0" borderId="0" xfId="0" applyNumberFormat="1" applyFont="1"/>
    <xf numFmtId="0" fontId="0" fillId="101" borderId="131" xfId="0" applyFill="1" applyBorder="1" applyAlignment="1">
      <alignment horizontal="left"/>
    </xf>
    <xf numFmtId="166" fontId="0" fillId="97" borderId="131" xfId="25742" applyNumberFormat="1" applyFont="1" applyFill="1" applyBorder="1"/>
    <xf numFmtId="166" fontId="0" fillId="97" borderId="189" xfId="25742" applyNumberFormat="1" applyFont="1" applyFill="1" applyBorder="1"/>
    <xf numFmtId="166" fontId="16" fillId="0" borderId="0" xfId="25742" applyNumberFormat="1" applyFont="1" applyAlignment="1">
      <alignment horizontal="center"/>
    </xf>
    <xf numFmtId="166" fontId="16" fillId="0" borderId="168" xfId="0" applyNumberFormat="1" applyFont="1" applyBorder="1"/>
    <xf numFmtId="0" fontId="0" fillId="101" borderId="169" xfId="0" applyFill="1" applyBorder="1" applyAlignment="1">
      <alignment horizontal="left"/>
    </xf>
    <xf numFmtId="166" fontId="0" fillId="97" borderId="169" xfId="25742" applyNumberFormat="1" applyFont="1" applyFill="1" applyBorder="1"/>
    <xf numFmtId="166" fontId="0" fillId="97" borderId="15" xfId="25742" applyNumberFormat="1" applyFont="1" applyFill="1" applyBorder="1"/>
    <xf numFmtId="166" fontId="0" fillId="97" borderId="191" xfId="25742" applyNumberFormat="1" applyFont="1" applyFill="1" applyBorder="1"/>
    <xf numFmtId="0" fontId="0" fillId="101" borderId="14" xfId="0" applyFill="1" applyBorder="1" applyAlignment="1">
      <alignment horizontal="left"/>
    </xf>
    <xf numFmtId="166" fontId="0" fillId="97" borderId="14" xfId="25742" applyNumberFormat="1" applyFont="1" applyFill="1" applyBorder="1"/>
    <xf numFmtId="166" fontId="0" fillId="97" borderId="81" xfId="25742" applyNumberFormat="1" applyFont="1" applyFill="1" applyBorder="1"/>
    <xf numFmtId="166" fontId="0" fillId="95" borderId="173" xfId="25742" applyNumberFormat="1" applyFont="1" applyFill="1" applyBorder="1"/>
    <xf numFmtId="166" fontId="0" fillId="95" borderId="174" xfId="25742" applyNumberFormat="1" applyFont="1" applyFill="1" applyBorder="1"/>
    <xf numFmtId="166" fontId="16" fillId="95" borderId="93" xfId="0" applyNumberFormat="1" applyFont="1" applyFill="1" applyBorder="1"/>
    <xf numFmtId="166" fontId="144" fillId="95" borderId="0" xfId="25742" applyNumberFormat="1" applyFont="1" applyFill="1" applyAlignment="1">
      <alignment horizontal="center"/>
    </xf>
    <xf numFmtId="1" fontId="144" fillId="95" borderId="0" xfId="0" applyNumberFormat="1" applyFont="1" applyFill="1"/>
    <xf numFmtId="166" fontId="144" fillId="95" borderId="0" xfId="25742" applyNumberFormat="1" applyFont="1" applyFill="1"/>
    <xf numFmtId="166" fontId="0" fillId="97" borderId="171" xfId="25742" applyNumberFormat="1" applyFont="1" applyFill="1" applyBorder="1"/>
    <xf numFmtId="166" fontId="0" fillId="95" borderId="192" xfId="25742" applyNumberFormat="1" applyFont="1" applyFill="1" applyBorder="1"/>
    <xf numFmtId="166" fontId="0" fillId="95" borderId="169" xfId="25742" applyNumberFormat="1" applyFont="1" applyFill="1" applyBorder="1"/>
    <xf numFmtId="166" fontId="16" fillId="95" borderId="89" xfId="0" applyNumberFormat="1" applyFont="1" applyFill="1" applyBorder="1"/>
    <xf numFmtId="166" fontId="1" fillId="0" borderId="0" xfId="25742" applyNumberFormat="1" applyAlignment="1">
      <alignment horizontal="center"/>
    </xf>
    <xf numFmtId="166" fontId="0" fillId="95" borderId="193" xfId="25742" applyNumberFormat="1" applyFont="1" applyFill="1" applyBorder="1"/>
    <xf numFmtId="166" fontId="0" fillId="95" borderId="194" xfId="25742" applyNumberFormat="1" applyFont="1" applyFill="1" applyBorder="1"/>
    <xf numFmtId="166" fontId="0" fillId="95" borderId="195" xfId="25742" applyNumberFormat="1" applyFont="1" applyFill="1" applyBorder="1"/>
    <xf numFmtId="166" fontId="16" fillId="95" borderId="95" xfId="0" applyNumberFormat="1" applyFont="1" applyFill="1" applyBorder="1"/>
    <xf numFmtId="0" fontId="0" fillId="0" borderId="15" xfId="0" applyBorder="1" applyAlignment="1">
      <alignment horizontal="left"/>
    </xf>
    <xf numFmtId="166" fontId="0" fillId="0" borderId="15" xfId="25742" applyNumberFormat="1" applyFont="1" applyBorder="1"/>
    <xf numFmtId="166" fontId="0" fillId="0" borderId="191" xfId="25742" applyNumberFormat="1" applyFont="1" applyBorder="1"/>
    <xf numFmtId="1" fontId="16" fillId="0" borderId="0" xfId="0" applyNumberFormat="1" applyFont="1"/>
    <xf numFmtId="166" fontId="0" fillId="0" borderId="169" xfId="25742" applyNumberFormat="1" applyFont="1" applyBorder="1"/>
    <xf numFmtId="166" fontId="0" fillId="0" borderId="196" xfId="25742" applyNumberFormat="1" applyFont="1" applyBorder="1"/>
    <xf numFmtId="0" fontId="139" fillId="101" borderId="15" xfId="0" applyFont="1" applyFill="1" applyBorder="1"/>
    <xf numFmtId="166" fontId="139" fillId="101" borderId="15" xfId="25742" applyNumberFormat="1" applyFont="1" applyFill="1" applyBorder="1"/>
    <xf numFmtId="166" fontId="139" fillId="101" borderId="191" xfId="25742" applyNumberFormat="1" applyFont="1" applyFill="1" applyBorder="1"/>
    <xf numFmtId="0" fontId="0" fillId="95" borderId="0" xfId="0" applyFill="1" applyAlignment="1">
      <alignment horizontal="right"/>
    </xf>
    <xf numFmtId="0" fontId="139" fillId="101" borderId="14" xfId="0" applyFont="1" applyFill="1" applyBorder="1"/>
    <xf numFmtId="166" fontId="16" fillId="95" borderId="0" xfId="25742" applyNumberFormat="1" applyFont="1" applyFill="1" applyAlignment="1">
      <alignment horizontal="center"/>
    </xf>
    <xf numFmtId="0" fontId="139" fillId="95" borderId="0" xfId="0" applyFont="1" applyFill="1"/>
    <xf numFmtId="166" fontId="139" fillId="101" borderId="169" xfId="25742" applyNumberFormat="1" applyFont="1" applyFill="1" applyBorder="1"/>
    <xf numFmtId="0" fontId="139" fillId="95" borderId="14" xfId="0" applyFont="1" applyFill="1" applyBorder="1"/>
    <xf numFmtId="166" fontId="139" fillId="95" borderId="169" xfId="25742" applyNumberFormat="1" applyFont="1" applyFill="1" applyBorder="1"/>
    <xf numFmtId="0" fontId="0" fillId="0" borderId="172" xfId="0" applyBorder="1"/>
    <xf numFmtId="0" fontId="0" fillId="100" borderId="197" xfId="0" applyFill="1" applyBorder="1" applyAlignment="1">
      <alignment horizontal="center"/>
    </xf>
    <xf numFmtId="0" fontId="0" fillId="0" borderId="197" xfId="0" applyBorder="1" applyAlignment="1">
      <alignment horizontal="left"/>
    </xf>
    <xf numFmtId="0" fontId="0" fillId="101" borderId="198" xfId="0" applyFill="1" applyBorder="1" applyAlignment="1">
      <alignment horizontal="left"/>
    </xf>
    <xf numFmtId="0" fontId="0" fillId="101" borderId="192" xfId="0" applyFill="1" applyBorder="1" applyAlignment="1">
      <alignment horizontal="left"/>
    </xf>
    <xf numFmtId="0" fontId="0" fillId="101" borderId="197" xfId="0" applyFill="1" applyBorder="1" applyAlignment="1">
      <alignment horizontal="left"/>
    </xf>
    <xf numFmtId="166" fontId="0" fillId="95" borderId="175" xfId="25742" applyNumberFormat="1" applyFont="1" applyFill="1" applyBorder="1"/>
    <xf numFmtId="166" fontId="0" fillId="95" borderId="197" xfId="25742" applyNumberFormat="1" applyFont="1" applyFill="1" applyBorder="1"/>
    <xf numFmtId="0" fontId="0" fillId="0" borderId="199" xfId="0" applyBorder="1" applyAlignment="1">
      <alignment horizontal="left"/>
    </xf>
    <xf numFmtId="0" fontId="139" fillId="0" borderId="197" xfId="0" applyFont="1" applyBorder="1"/>
    <xf numFmtId="0" fontId="0" fillId="0" borderId="193" xfId="0" applyBorder="1" applyAlignment="1">
      <alignment horizontal="left"/>
    </xf>
    <xf numFmtId="166" fontId="0" fillId="0" borderId="49" xfId="25742" applyNumberFormat="1" applyFont="1" applyBorder="1"/>
    <xf numFmtId="166" fontId="0" fillId="0" borderId="95" xfId="25742" applyNumberFormat="1" applyFont="1" applyBorder="1"/>
    <xf numFmtId="0" fontId="0" fillId="0" borderId="11" xfId="0" applyBorder="1" applyAlignment="1">
      <alignment horizontal="left"/>
    </xf>
    <xf numFmtId="0" fontId="0" fillId="95" borderId="88" xfId="0" applyFill="1" applyBorder="1" applyAlignment="1">
      <alignment horizontal="center"/>
    </xf>
    <xf numFmtId="166" fontId="16" fillId="95" borderId="0" xfId="0" applyNumberFormat="1" applyFont="1" applyFill="1"/>
    <xf numFmtId="0" fontId="139" fillId="95" borderId="15" xfId="0" applyFont="1" applyFill="1" applyBorder="1"/>
    <xf numFmtId="166" fontId="139" fillId="95" borderId="14" xfId="25742" applyNumberFormat="1" applyFont="1" applyFill="1" applyBorder="1"/>
    <xf numFmtId="0" fontId="139" fillId="95" borderId="14" xfId="0" applyFont="1" applyFill="1" applyBorder="1" applyAlignment="1">
      <alignment horizontal="left"/>
    </xf>
    <xf numFmtId="166" fontId="0" fillId="95" borderId="0" xfId="0" applyNumberFormat="1" applyFill="1"/>
    <xf numFmtId="0" fontId="139" fillId="0" borderId="0" xfId="28781" applyFont="1" applyAlignment="1">
      <alignment horizontal="left"/>
    </xf>
    <xf numFmtId="0" fontId="1" fillId="0" borderId="0" xfId="28781" applyFont="1"/>
    <xf numFmtId="0" fontId="1" fillId="0" borderId="0" xfId="28781" applyFont="1" applyAlignment="1">
      <alignment horizontal="center"/>
    </xf>
    <xf numFmtId="0" fontId="149" fillId="0" borderId="0" xfId="28781" quotePrefix="1" applyFont="1"/>
    <xf numFmtId="16" fontId="0" fillId="0" borderId="0" xfId="0" applyNumberFormat="1" applyAlignment="1">
      <alignment horizontal="center"/>
    </xf>
    <xf numFmtId="17" fontId="139" fillId="0" borderId="0" xfId="28781" applyNumberFormat="1" applyFont="1"/>
    <xf numFmtId="0" fontId="139" fillId="0" borderId="0" xfId="28781" applyFont="1" applyAlignment="1">
      <alignment horizontal="center"/>
    </xf>
    <xf numFmtId="166" fontId="1" fillId="0" borderId="0" xfId="25766" applyNumberFormat="1" applyFont="1"/>
    <xf numFmtId="43" fontId="172" fillId="0" borderId="11" xfId="28781" applyNumberFormat="1" applyFont="1" applyBorder="1"/>
    <xf numFmtId="43" fontId="172" fillId="0" borderId="11" xfId="0" applyNumberFormat="1" applyFont="1" applyBorder="1"/>
    <xf numFmtId="43" fontId="139" fillId="0" borderId="0" xfId="28781" applyNumberFormat="1" applyFont="1"/>
    <xf numFmtId="43" fontId="172" fillId="0" borderId="82" xfId="28781" applyNumberFormat="1" applyFont="1" applyBorder="1"/>
    <xf numFmtId="43" fontId="172" fillId="0" borderId="11" xfId="25742" applyFont="1" applyBorder="1"/>
    <xf numFmtId="39" fontId="172" fillId="0" borderId="11" xfId="28781" applyNumberFormat="1" applyFont="1" applyBorder="1"/>
    <xf numFmtId="43" fontId="172" fillId="0" borderId="83" xfId="28781" applyNumberFormat="1" applyFont="1" applyBorder="1"/>
    <xf numFmtId="218" fontId="139" fillId="0" borderId="0" xfId="28781" applyNumberFormat="1" applyFont="1"/>
    <xf numFmtId="0" fontId="0" fillId="0" borderId="0" xfId="28781" applyFont="1"/>
    <xf numFmtId="43" fontId="139" fillId="0" borderId="168" xfId="28781" applyNumberFormat="1" applyFont="1" applyBorder="1"/>
    <xf numFmtId="4" fontId="139" fillId="0" borderId="0" xfId="28781" applyNumberFormat="1" applyFont="1"/>
    <xf numFmtId="166" fontId="0" fillId="0" borderId="168" xfId="25742" applyNumberFormat="1" applyFont="1" applyBorder="1"/>
    <xf numFmtId="166" fontId="0" fillId="0" borderId="168" xfId="0" applyNumberFormat="1" applyBorder="1"/>
    <xf numFmtId="49" fontId="0" fillId="0" borderId="0" xfId="0" applyNumberFormat="1"/>
    <xf numFmtId="0" fontId="144" fillId="0" borderId="89" xfId="0" applyFont="1" applyBorder="1" applyAlignment="1">
      <alignment horizontal="center"/>
    </xf>
    <xf numFmtId="0" fontId="144" fillId="0" borderId="0" xfId="28781" applyFont="1" applyAlignment="1">
      <alignment horizontal="center"/>
    </xf>
    <xf numFmtId="0" fontId="139" fillId="0" borderId="49" xfId="0" applyFont="1" applyBorder="1"/>
    <xf numFmtId="0" fontId="176" fillId="0" borderId="188" xfId="0" applyFont="1" applyBorder="1" applyAlignment="1">
      <alignment horizontal="center"/>
    </xf>
    <xf numFmtId="0" fontId="176" fillId="0" borderId="168" xfId="0" applyFont="1" applyBorder="1"/>
    <xf numFmtId="219" fontId="176" fillId="0" borderId="169" xfId="0" applyNumberFormat="1" applyFont="1" applyBorder="1"/>
    <xf numFmtId="219" fontId="176" fillId="0" borderId="196" xfId="0" applyNumberFormat="1" applyFont="1" applyBorder="1"/>
    <xf numFmtId="0" fontId="144" fillId="0" borderId="135" xfId="0" applyFont="1" applyBorder="1" applyAlignment="1">
      <alignment horizontal="center"/>
    </xf>
    <xf numFmtId="0" fontId="144" fillId="0" borderId="88" xfId="0" applyFont="1" applyBorder="1" applyAlignment="1">
      <alignment horizontal="center"/>
    </xf>
    <xf numFmtId="10" fontId="139" fillId="0" borderId="14" xfId="25793" applyNumberFormat="1" applyFont="1" applyBorder="1"/>
    <xf numFmtId="10" fontId="139" fillId="0" borderId="81" xfId="25793" applyNumberFormat="1" applyFont="1" applyBorder="1"/>
    <xf numFmtId="0" fontId="139" fillId="0" borderId="136" xfId="0" applyFont="1" applyBorder="1"/>
    <xf numFmtId="0" fontId="144" fillId="0" borderId="200" xfId="0" applyFont="1" applyBorder="1" applyAlignment="1">
      <alignment horizontal="center"/>
    </xf>
    <xf numFmtId="0" fontId="158" fillId="0" borderId="0" xfId="33366" applyFont="1"/>
    <xf numFmtId="0" fontId="176" fillId="0" borderId="88" xfId="0" applyFont="1" applyBorder="1" applyAlignment="1">
      <alignment horizontal="center"/>
    </xf>
    <xf numFmtId="166" fontId="139" fillId="0" borderId="201" xfId="25742" applyNumberFormat="1" applyFont="1" applyBorder="1"/>
    <xf numFmtId="0" fontId="144" fillId="0" borderId="136" xfId="0" applyFont="1" applyBorder="1" applyAlignment="1">
      <alignment horizontal="center"/>
    </xf>
    <xf numFmtId="0" fontId="144" fillId="0" borderId="88" xfId="0" applyFont="1" applyBorder="1"/>
    <xf numFmtId="0" fontId="144" fillId="0" borderId="0" xfId="0" applyFont="1" applyAlignment="1">
      <alignment horizontal="left"/>
    </xf>
    <xf numFmtId="0" fontId="139" fillId="0" borderId="89" xfId="0" applyFont="1" applyBorder="1"/>
    <xf numFmtId="0" fontId="139" fillId="0" borderId="88" xfId="0" applyFont="1" applyBorder="1" applyAlignment="1">
      <alignment horizontal="left"/>
    </xf>
    <xf numFmtId="43" fontId="139" fillId="0" borderId="89" xfId="25742" applyFont="1" applyBorder="1"/>
    <xf numFmtId="43" fontId="139" fillId="0" borderId="168" xfId="25742" applyFont="1" applyBorder="1"/>
    <xf numFmtId="43" fontId="139" fillId="0" borderId="187" xfId="25742" applyFont="1" applyBorder="1"/>
    <xf numFmtId="220" fontId="139" fillId="0" borderId="0" xfId="0" applyNumberFormat="1" applyFont="1"/>
    <xf numFmtId="0" fontId="144" fillId="0" borderId="0" xfId="0" applyFont="1" applyAlignment="1">
      <alignment wrapText="1"/>
    </xf>
    <xf numFmtId="43" fontId="139" fillId="0" borderId="136" xfId="0" applyNumberFormat="1" applyFont="1" applyBorder="1"/>
    <xf numFmtId="43" fontId="139" fillId="0" borderId="185" xfId="0" applyNumberFormat="1" applyFont="1" applyBorder="1"/>
    <xf numFmtId="218" fontId="139" fillId="0" borderId="168" xfId="25742" applyNumberFormat="1" applyFont="1" applyBorder="1"/>
    <xf numFmtId="43" fontId="139" fillId="0" borderId="200" xfId="0" applyNumberFormat="1" applyFont="1" applyBorder="1"/>
    <xf numFmtId="43" fontId="139" fillId="0" borderId="201" xfId="25742" applyFont="1" applyBorder="1"/>
    <xf numFmtId="218" fontId="139" fillId="0" borderId="0" xfId="25742" applyNumberFormat="1" applyFont="1"/>
    <xf numFmtId="220" fontId="139" fillId="0" borderId="0" xfId="25742" applyNumberFormat="1" applyFont="1"/>
    <xf numFmtId="220" fontId="139" fillId="0" borderId="89" xfId="25742" applyNumberFormat="1" applyFont="1" applyBorder="1"/>
    <xf numFmtId="166" fontId="139" fillId="0" borderId="136" xfId="0" applyNumberFormat="1" applyFont="1" applyBorder="1"/>
    <xf numFmtId="166" fontId="139" fillId="0" borderId="89" xfId="25742" applyNumberFormat="1" applyFont="1" applyBorder="1"/>
    <xf numFmtId="166" fontId="176" fillId="0" borderId="0" xfId="25742" applyNumberFormat="1" applyFont="1"/>
    <xf numFmtId="43" fontId="139" fillId="0" borderId="136" xfId="25742" applyFont="1" applyBorder="1"/>
    <xf numFmtId="43" fontId="176" fillId="0" borderId="0" xfId="25742" applyFont="1"/>
    <xf numFmtId="43" fontId="139" fillId="0" borderId="0" xfId="0" applyNumberFormat="1" applyFont="1"/>
    <xf numFmtId="184" fontId="139" fillId="0" borderId="0" xfId="0" applyNumberFormat="1" applyFont="1"/>
    <xf numFmtId="0" fontId="139" fillId="0" borderId="49" xfId="0" applyFont="1" applyBorder="1" applyAlignment="1">
      <alignment horizontal="right"/>
    </xf>
    <xf numFmtId="43" fontId="139" fillId="0" borderId="202" xfId="25742" applyFont="1" applyBorder="1"/>
    <xf numFmtId="43" fontId="139" fillId="0" borderId="165" xfId="25742" applyFont="1" applyBorder="1"/>
    <xf numFmtId="0" fontId="139" fillId="0" borderId="92" xfId="0" applyFont="1" applyBorder="1" applyAlignment="1">
      <alignment horizontal="left"/>
    </xf>
    <xf numFmtId="166" fontId="139" fillId="0" borderId="92" xfId="25742" applyNumberFormat="1" applyFont="1" applyBorder="1"/>
    <xf numFmtId="0" fontId="139" fillId="0" borderId="105" xfId="0" applyFont="1" applyBorder="1"/>
    <xf numFmtId="43" fontId="139" fillId="0" borderId="92" xfId="25742" applyFont="1" applyBorder="1"/>
    <xf numFmtId="166" fontId="139" fillId="0" borderId="93" xfId="25742" applyNumberFormat="1" applyFont="1" applyBorder="1"/>
    <xf numFmtId="0" fontId="139" fillId="0" borderId="135" xfId="0" applyFont="1" applyBorder="1"/>
    <xf numFmtId="0" fontId="139" fillId="0" borderId="49" xfId="0" applyFont="1" applyBorder="1" applyAlignment="1">
      <alignment horizontal="left"/>
    </xf>
    <xf numFmtId="0" fontId="178" fillId="0" borderId="0" xfId="0" applyFont="1"/>
    <xf numFmtId="0" fontId="139" fillId="0" borderId="94" xfId="0" applyFont="1" applyBorder="1" applyAlignment="1">
      <alignment horizontal="left"/>
    </xf>
    <xf numFmtId="0" fontId="139" fillId="0" borderId="105" xfId="0" applyFont="1" applyBorder="1" applyAlignment="1">
      <alignment horizontal="left"/>
    </xf>
    <xf numFmtId="166" fontId="139" fillId="0" borderId="105" xfId="25742" applyNumberFormat="1" applyFont="1" applyBorder="1"/>
    <xf numFmtId="0" fontId="139" fillId="0" borderId="0" xfId="33367" applyFont="1" applyFill="1"/>
    <xf numFmtId="0" fontId="139" fillId="0" borderId="88" xfId="0" applyFont="1" applyBorder="1" applyAlignment="1">
      <alignment horizontal="center"/>
    </xf>
    <xf numFmtId="0" fontId="139" fillId="0" borderId="94" xfId="0" applyFont="1" applyBorder="1" applyAlignment="1">
      <alignment horizontal="center"/>
    </xf>
    <xf numFmtId="43" fontId="139" fillId="0" borderId="49" xfId="0" applyNumberFormat="1" applyFont="1" applyBorder="1"/>
    <xf numFmtId="0" fontId="139" fillId="0" borderId="95" xfId="0" applyFont="1" applyBorder="1"/>
    <xf numFmtId="0" fontId="139" fillId="0" borderId="137" xfId="0" applyFont="1" applyBorder="1"/>
    <xf numFmtId="0" fontId="139" fillId="0" borderId="14" xfId="0" applyFont="1" applyBorder="1" applyAlignment="1">
      <alignment wrapText="1"/>
    </xf>
    <xf numFmtId="0" fontId="179" fillId="0" borderId="0" xfId="33368" applyFont="1"/>
    <xf numFmtId="0" fontId="160" fillId="0" borderId="0" xfId="33368" applyFont="1"/>
    <xf numFmtId="219" fontId="180" fillId="0" borderId="171" xfId="0" applyNumberFormat="1" applyFont="1" applyBorder="1" applyAlignment="1">
      <alignment horizontal="center"/>
    </xf>
    <xf numFmtId="219" fontId="180" fillId="0" borderId="168" xfId="0" applyNumberFormat="1" applyFont="1" applyBorder="1" applyAlignment="1">
      <alignment horizontal="center"/>
    </xf>
    <xf numFmtId="219" fontId="180" fillId="0" borderId="174" xfId="0" applyNumberFormat="1" applyFont="1" applyBorder="1"/>
    <xf numFmtId="0" fontId="180" fillId="0" borderId="143" xfId="33368" applyFont="1" applyBorder="1"/>
    <xf numFmtId="0" fontId="180" fillId="0" borderId="165" xfId="33368" applyFont="1" applyBorder="1"/>
    <xf numFmtId="43" fontId="139" fillId="0" borderId="15" xfId="0" applyNumberFormat="1" applyFont="1" applyBorder="1"/>
    <xf numFmtId="0" fontId="180" fillId="0" borderId="132" xfId="33368" applyFont="1" applyBorder="1"/>
    <xf numFmtId="0" fontId="180" fillId="0" borderId="0" xfId="33368" applyFont="1"/>
    <xf numFmtId="0" fontId="180" fillId="0" borderId="171" xfId="33368" applyFont="1" applyBorder="1"/>
    <xf numFmtId="0" fontId="180" fillId="0" borderId="168" xfId="33368" applyFont="1" applyBorder="1"/>
    <xf numFmtId="43" fontId="139" fillId="0" borderId="169" xfId="0" applyNumberFormat="1" applyFont="1" applyBorder="1"/>
    <xf numFmtId="219" fontId="180" fillId="0" borderId="175" xfId="0" applyNumberFormat="1" applyFont="1" applyBorder="1"/>
    <xf numFmtId="17" fontId="0" fillId="0" borderId="0" xfId="0" applyNumberFormat="1"/>
    <xf numFmtId="1" fontId="0" fillId="0" borderId="0" xfId="0" applyNumberFormat="1"/>
    <xf numFmtId="186" fontId="139" fillId="0" borderId="0" xfId="0" applyNumberFormat="1" applyFont="1"/>
    <xf numFmtId="166" fontId="0" fillId="95" borderId="168" xfId="25742" applyNumberFormat="1" applyFont="1" applyFill="1" applyBorder="1"/>
    <xf numFmtId="204" fontId="139" fillId="0" borderId="11" xfId="0" applyNumberFormat="1" applyFont="1" applyBorder="1"/>
    <xf numFmtId="3" fontId="139" fillId="97" borderId="131" xfId="25742" applyNumberFormat="1" applyFont="1" applyFill="1" applyBorder="1"/>
    <xf numFmtId="3" fontId="139" fillId="97" borderId="15" xfId="25742" applyNumberFormat="1" applyFont="1" applyFill="1" applyBorder="1"/>
    <xf numFmtId="3" fontId="139" fillId="97" borderId="169" xfId="25742" applyNumberFormat="1" applyFont="1" applyFill="1" applyBorder="1"/>
    <xf numFmtId="204" fontId="139" fillId="0" borderId="172" xfId="0" applyNumberFormat="1" applyFont="1" applyFill="1" applyBorder="1"/>
    <xf numFmtId="0" fontId="0" fillId="0" borderId="143" xfId="0" applyFill="1" applyBorder="1"/>
    <xf numFmtId="0" fontId="0" fillId="0" borderId="165" xfId="0" applyFill="1" applyBorder="1"/>
    <xf numFmtId="0" fontId="0" fillId="0" borderId="133" xfId="0" applyFill="1" applyBorder="1" applyAlignment="1">
      <alignment horizontal="center"/>
    </xf>
    <xf numFmtId="0" fontId="0" fillId="0" borderId="132" xfId="0" applyFill="1" applyBorder="1" applyAlignment="1">
      <alignment vertical="center" wrapText="1"/>
    </xf>
    <xf numFmtId="5" fontId="0" fillId="0" borderId="11" xfId="25745" applyNumberFormat="1" applyFont="1" applyFill="1" applyBorder="1" applyAlignment="1">
      <alignment horizontal="center" vertical="center"/>
    </xf>
    <xf numFmtId="0" fontId="146" fillId="0" borderId="132" xfId="0" applyFont="1" applyFill="1" applyBorder="1" applyAlignment="1">
      <alignment vertical="center" wrapText="1"/>
    </xf>
    <xf numFmtId="0" fontId="0" fillId="0" borderId="11" xfId="0" applyFill="1" applyBorder="1" applyAlignment="1">
      <alignment horizontal="center"/>
    </xf>
    <xf numFmtId="44" fontId="0" fillId="0" borderId="11" xfId="25745" applyFont="1" applyFill="1" applyBorder="1" applyAlignment="1">
      <alignment horizontal="center" vertical="center"/>
    </xf>
    <xf numFmtId="5" fontId="0" fillId="0" borderId="11" xfId="0" applyNumberFormat="1" applyFill="1" applyBorder="1" applyAlignment="1">
      <alignment horizontal="center"/>
    </xf>
    <xf numFmtId="5" fontId="16" fillId="0" borderId="11" xfId="25745" applyNumberFormat="1" applyFont="1" applyFill="1" applyBorder="1" applyAlignment="1">
      <alignment horizontal="center" vertical="center"/>
    </xf>
    <xf numFmtId="0" fontId="146" fillId="0" borderId="132" xfId="0" applyFont="1" applyFill="1" applyBorder="1" applyAlignment="1">
      <alignment horizontal="left"/>
    </xf>
    <xf numFmtId="0" fontId="0" fillId="0" borderId="132" xfId="0" applyFill="1" applyBorder="1"/>
    <xf numFmtId="0" fontId="16" fillId="0" borderId="132" xfId="0" applyFont="1" applyFill="1" applyBorder="1" applyAlignment="1">
      <alignment vertical="center" wrapText="1"/>
    </xf>
    <xf numFmtId="5" fontId="16" fillId="0" borderId="11" xfId="0" applyNumberFormat="1" applyFont="1" applyFill="1" applyBorder="1" applyAlignment="1">
      <alignment horizontal="center"/>
    </xf>
    <xf numFmtId="0" fontId="146" fillId="0" borderId="132" xfId="0" applyFont="1" applyFill="1" applyBorder="1" applyAlignment="1">
      <alignment horizontal="left" vertical="center"/>
    </xf>
    <xf numFmtId="0" fontId="0" fillId="0" borderId="143" xfId="0" applyFill="1" applyBorder="1" applyAlignment="1">
      <alignment vertical="center" wrapText="1"/>
    </xf>
    <xf numFmtId="44" fontId="0" fillId="0" borderId="133" xfId="25745" applyFont="1" applyFill="1" applyBorder="1" applyAlignment="1">
      <alignment horizontal="center" vertical="center"/>
    </xf>
    <xf numFmtId="5" fontId="1" fillId="0" borderId="11" xfId="25745" applyNumberFormat="1" applyFill="1" applyBorder="1" applyAlignment="1">
      <alignment horizontal="center" vertical="center"/>
    </xf>
    <xf numFmtId="44" fontId="1" fillId="0" borderId="11" xfId="25745" applyFill="1" applyBorder="1" applyAlignment="1">
      <alignment horizontal="center" vertical="center"/>
    </xf>
    <xf numFmtId="0" fontId="0" fillId="0" borderId="171" xfId="0" applyFill="1" applyBorder="1" applyAlignment="1">
      <alignment vertical="center" wrapText="1"/>
    </xf>
    <xf numFmtId="0" fontId="0" fillId="0" borderId="168" xfId="0" applyFill="1" applyBorder="1"/>
    <xf numFmtId="44" fontId="0" fillId="0" borderId="172" xfId="25745" applyFont="1" applyFill="1" applyBorder="1" applyAlignment="1">
      <alignment horizontal="center" vertical="center"/>
    </xf>
    <xf numFmtId="5" fontId="0" fillId="0" borderId="172" xfId="25745" applyNumberFormat="1" applyFont="1" applyFill="1" applyBorder="1" applyAlignment="1">
      <alignment horizontal="center" vertical="center"/>
    </xf>
    <xf numFmtId="0" fontId="146" fillId="0" borderId="132" xfId="0" applyFont="1" applyFill="1" applyBorder="1" applyAlignment="1">
      <alignment horizontal="left" vertical="center" wrapText="1"/>
    </xf>
    <xf numFmtId="0" fontId="0" fillId="0" borderId="171" xfId="0" applyFill="1" applyBorder="1"/>
    <xf numFmtId="0" fontId="0" fillId="0" borderId="172" xfId="0" applyFill="1" applyBorder="1" applyAlignment="1">
      <alignment horizontal="center"/>
    </xf>
    <xf numFmtId="0" fontId="0" fillId="0" borderId="14" xfId="0" applyFill="1" applyBorder="1" applyAlignment="1">
      <alignment horizontal="center"/>
    </xf>
    <xf numFmtId="0" fontId="0" fillId="0" borderId="82" xfId="0" applyFill="1" applyBorder="1" applyAlignment="1">
      <alignment horizontal="center"/>
    </xf>
    <xf numFmtId="0" fontId="0" fillId="0" borderId="14" xfId="0" applyFill="1" applyBorder="1" applyAlignment="1">
      <alignment horizontal="center" wrapText="1"/>
    </xf>
    <xf numFmtId="3" fontId="0" fillId="0" borderId="14" xfId="0" applyNumberFormat="1" applyFill="1" applyBorder="1" applyAlignment="1">
      <alignment horizontal="center" wrapText="1"/>
    </xf>
    <xf numFmtId="10" fontId="0" fillId="0" borderId="14" xfId="0" applyNumberFormat="1" applyFill="1" applyBorder="1" applyAlignment="1">
      <alignment horizontal="center" wrapText="1"/>
    </xf>
    <xf numFmtId="0" fontId="0" fillId="0" borderId="14" xfId="0" applyFill="1" applyBorder="1"/>
    <xf numFmtId="3" fontId="0" fillId="0" borderId="14" xfId="0" applyNumberFormat="1" applyFill="1" applyBorder="1" applyAlignment="1">
      <alignment horizontal="center"/>
    </xf>
    <xf numFmtId="3" fontId="0" fillId="0" borderId="82" xfId="0" applyNumberFormat="1" applyFill="1" applyBorder="1" applyAlignment="1">
      <alignment horizontal="center"/>
    </xf>
    <xf numFmtId="10" fontId="0" fillId="0" borderId="14" xfId="0" applyNumberFormat="1" applyFill="1" applyBorder="1" applyAlignment="1">
      <alignment horizontal="center"/>
    </xf>
    <xf numFmtId="0" fontId="0" fillId="0" borderId="131" xfId="0" applyFill="1" applyBorder="1"/>
    <xf numFmtId="0" fontId="16" fillId="0" borderId="131" xfId="0" applyFont="1" applyFill="1" applyBorder="1"/>
    <xf numFmtId="3" fontId="0" fillId="0" borderId="131" xfId="0" applyNumberFormat="1" applyFill="1" applyBorder="1"/>
    <xf numFmtId="3" fontId="0" fillId="0" borderId="15" xfId="0" applyNumberFormat="1" applyFill="1" applyBorder="1"/>
    <xf numFmtId="10" fontId="0" fillId="0" borderId="15" xfId="0" applyNumberFormat="1" applyFill="1" applyBorder="1"/>
    <xf numFmtId="0" fontId="0" fillId="0" borderId="15" xfId="0" applyFill="1" applyBorder="1"/>
    <xf numFmtId="0" fontId="0" fillId="0" borderId="15" xfId="0" applyFill="1" applyBorder="1" applyAlignment="1">
      <alignment horizontal="center"/>
    </xf>
    <xf numFmtId="184" fontId="0" fillId="0" borderId="15" xfId="0" applyNumberFormat="1" applyFill="1" applyBorder="1"/>
    <xf numFmtId="202" fontId="0" fillId="0" borderId="15" xfId="25745" applyNumberFormat="1" applyFont="1" applyFill="1" applyBorder="1"/>
    <xf numFmtId="184" fontId="0" fillId="0" borderId="0" xfId="0" applyNumberFormat="1" applyFill="1"/>
    <xf numFmtId="213" fontId="0" fillId="0" borderId="15" xfId="0" applyNumberFormat="1" applyFill="1" applyBorder="1"/>
    <xf numFmtId="3" fontId="16" fillId="0" borderId="15" xfId="0" applyNumberFormat="1" applyFont="1" applyFill="1" applyBorder="1"/>
    <xf numFmtId="214" fontId="0" fillId="0" borderId="0" xfId="0" applyNumberFormat="1" applyFill="1"/>
    <xf numFmtId="0" fontId="16" fillId="0" borderId="15" xfId="0" applyFont="1" applyFill="1" applyBorder="1"/>
    <xf numFmtId="213" fontId="16" fillId="0" borderId="15" xfId="0" applyNumberFormat="1" applyFont="1" applyFill="1" applyBorder="1"/>
    <xf numFmtId="10" fontId="16" fillId="0" borderId="15" xfId="0" applyNumberFormat="1" applyFont="1" applyFill="1" applyBorder="1"/>
    <xf numFmtId="166" fontId="139" fillId="0" borderId="15" xfId="25742" applyNumberFormat="1" applyFont="1" applyFill="1" applyBorder="1"/>
    <xf numFmtId="3" fontId="0" fillId="0" borderId="15" xfId="0" applyNumberFormat="1" applyFill="1" applyBorder="1" applyAlignment="1">
      <alignment horizontal="center"/>
    </xf>
    <xf numFmtId="3" fontId="0" fillId="0" borderId="0" xfId="0" applyNumberFormat="1" applyFill="1"/>
    <xf numFmtId="215" fontId="0" fillId="0" borderId="15" xfId="0" applyNumberFormat="1" applyFill="1" applyBorder="1"/>
    <xf numFmtId="0" fontId="16" fillId="0" borderId="14" xfId="0" applyFont="1" applyFill="1" applyBorder="1"/>
    <xf numFmtId="3" fontId="0" fillId="0" borderId="14" xfId="0" applyNumberFormat="1" applyFill="1" applyBorder="1"/>
    <xf numFmtId="215" fontId="0" fillId="0" borderId="81" xfId="0" applyNumberFormat="1" applyFill="1" applyBorder="1"/>
    <xf numFmtId="10" fontId="0" fillId="0" borderId="82" xfId="0" applyNumberFormat="1" applyFill="1" applyBorder="1"/>
    <xf numFmtId="3" fontId="0" fillId="0" borderId="136" xfId="0" applyNumberFormat="1" applyFill="1" applyBorder="1" applyAlignment="1">
      <alignment horizontal="center"/>
    </xf>
    <xf numFmtId="10" fontId="0" fillId="0" borderId="11" xfId="0" applyNumberFormat="1" applyFill="1" applyBorder="1"/>
    <xf numFmtId="0" fontId="0" fillId="0" borderId="169" xfId="0" applyFill="1" applyBorder="1"/>
    <xf numFmtId="3" fontId="0" fillId="0" borderId="168" xfId="0" applyNumberFormat="1" applyFill="1" applyBorder="1"/>
    <xf numFmtId="3" fontId="0" fillId="0" borderId="185" xfId="0" applyNumberFormat="1" applyFill="1" applyBorder="1" applyAlignment="1">
      <alignment horizontal="center"/>
    </xf>
    <xf numFmtId="10" fontId="0" fillId="0" borderId="172" xfId="0" applyNumberFormat="1" applyFill="1" applyBorder="1"/>
    <xf numFmtId="166" fontId="139" fillId="100" borderId="0" xfId="25742" applyNumberFormat="1" applyFont="1" applyFill="1"/>
    <xf numFmtId="202" fontId="139" fillId="0" borderId="0" xfId="0" applyNumberFormat="1" applyFont="1"/>
    <xf numFmtId="0" fontId="144" fillId="0" borderId="91" xfId="0" applyFont="1" applyBorder="1"/>
    <xf numFmtId="0" fontId="144" fillId="0" borderId="175" xfId="0" applyFont="1" applyBorder="1" applyAlignment="1">
      <alignment horizontal="centerContinuous"/>
    </xf>
    <xf numFmtId="0" fontId="144" fillId="0" borderId="94" xfId="0" applyFont="1" applyBorder="1" applyAlignment="1">
      <alignment horizontal="centerContinuous"/>
    </xf>
    <xf numFmtId="0" fontId="144" fillId="0" borderId="176" xfId="0" applyFont="1" applyBorder="1" applyAlignment="1">
      <alignment horizontal="center" wrapText="1"/>
    </xf>
    <xf numFmtId="0" fontId="144" fillId="0" borderId="52" xfId="0" applyFont="1" applyBorder="1" applyAlignment="1">
      <alignment horizontal="center" wrapText="1"/>
    </xf>
    <xf numFmtId="0" fontId="144" fillId="0" borderId="157" xfId="0" applyFont="1" applyBorder="1" applyAlignment="1">
      <alignment horizontal="center"/>
    </xf>
    <xf numFmtId="0" fontId="144" fillId="0" borderId="51" xfId="0" applyFont="1" applyBorder="1" applyAlignment="1">
      <alignment horizontal="center"/>
    </xf>
    <xf numFmtId="0" fontId="144" fillId="0" borderId="177" xfId="0" applyFont="1" applyBorder="1" applyAlignment="1">
      <alignment horizontal="center"/>
    </xf>
    <xf numFmtId="0" fontId="144" fillId="0" borderId="52" xfId="0" applyFont="1" applyBorder="1" applyAlignment="1">
      <alignment horizontal="center"/>
    </xf>
    <xf numFmtId="202" fontId="139" fillId="0" borderId="11" xfId="25745" applyNumberFormat="1" applyFont="1" applyBorder="1"/>
    <xf numFmtId="43" fontId="167" fillId="0" borderId="0" xfId="25742" applyFont="1"/>
    <xf numFmtId="202" fontId="144" fillId="0" borderId="80" xfId="25745" applyNumberFormat="1" applyFont="1" applyBorder="1"/>
    <xf numFmtId="202" fontId="144" fillId="0" borderId="87" xfId="25745" applyNumberFormat="1" applyFont="1" applyBorder="1"/>
    <xf numFmtId="202" fontId="144" fillId="0" borderId="0" xfId="0" applyNumberFormat="1" applyFont="1"/>
    <xf numFmtId="0" fontId="144" fillId="0" borderId="94" xfId="0" applyFont="1" applyBorder="1" applyAlignment="1">
      <alignment horizontal="left" indent="2"/>
    </xf>
    <xf numFmtId="0" fontId="144" fillId="0" borderId="49" xfId="0" applyFont="1" applyBorder="1" applyAlignment="1">
      <alignment horizontal="left" indent="2"/>
    </xf>
    <xf numFmtId="9" fontId="139" fillId="0" borderId="49" xfId="25793" applyFont="1" applyBorder="1" applyAlignment="1">
      <alignment horizontal="center"/>
    </xf>
    <xf numFmtId="167" fontId="139" fillId="0" borderId="0" xfId="25793" applyNumberFormat="1" applyFont="1"/>
    <xf numFmtId="0" fontId="185" fillId="0" borderId="0" xfId="0" applyFont="1" applyAlignment="1">
      <alignment horizontal="right"/>
    </xf>
    <xf numFmtId="0" fontId="160" fillId="0" borderId="0" xfId="0" applyFont="1" applyAlignment="1">
      <alignment horizontal="right"/>
    </xf>
    <xf numFmtId="0" fontId="144" fillId="0" borderId="173" xfId="0" applyFont="1" applyBorder="1" applyAlignment="1">
      <alignment horizontal="centerContinuous"/>
    </xf>
    <xf numFmtId="0" fontId="144" fillId="0" borderId="174" xfId="0" applyFont="1" applyBorder="1" applyAlignment="1">
      <alignment horizontal="centerContinuous"/>
    </xf>
    <xf numFmtId="0" fontId="144" fillId="0" borderId="176" xfId="0" applyFont="1" applyBorder="1" applyAlignment="1">
      <alignment horizontal="center"/>
    </xf>
    <xf numFmtId="0" fontId="139" fillId="0" borderId="93" xfId="0" applyFont="1" applyBorder="1"/>
    <xf numFmtId="0" fontId="144" fillId="0" borderId="94" xfId="0" applyFont="1" applyBorder="1" applyAlignment="1">
      <alignment horizontal="left" indent="1"/>
    </xf>
    <xf numFmtId="202" fontId="144" fillId="0" borderId="49" xfId="0" applyNumberFormat="1" applyFont="1" applyBorder="1"/>
    <xf numFmtId="203" fontId="139" fillId="0" borderId="89" xfId="25793" applyNumberFormat="1" applyFont="1" applyBorder="1" applyAlignment="1">
      <alignment horizontal="center"/>
    </xf>
    <xf numFmtId="203" fontId="139" fillId="0" borderId="95" xfId="25793" applyNumberFormat="1" applyFont="1" applyBorder="1" applyAlignment="1">
      <alignment horizontal="center"/>
    </xf>
    <xf numFmtId="203" fontId="139" fillId="0" borderId="93" xfId="0" applyNumberFormat="1" applyFont="1" applyBorder="1" applyAlignment="1">
      <alignment horizontal="center"/>
    </xf>
    <xf numFmtId="203" fontId="139" fillId="0" borderId="89" xfId="0" applyNumberFormat="1" applyFont="1" applyBorder="1" applyAlignment="1">
      <alignment horizontal="center"/>
    </xf>
    <xf numFmtId="0" fontId="0" fillId="0" borderId="91" xfId="0" applyFill="1" applyBorder="1" applyAlignment="1">
      <alignment horizontal="center"/>
    </xf>
    <xf numFmtId="0" fontId="0" fillId="0" borderId="92" xfId="0" applyFill="1" applyBorder="1"/>
    <xf numFmtId="0" fontId="0" fillId="0" borderId="93" xfId="0" applyFill="1" applyBorder="1"/>
    <xf numFmtId="0" fontId="0" fillId="0" borderId="88" xfId="0" applyFill="1" applyBorder="1" applyAlignment="1">
      <alignment horizontal="center"/>
    </xf>
    <xf numFmtId="0" fontId="0" fillId="0" borderId="89" xfId="0" applyFill="1" applyBorder="1" applyAlignment="1">
      <alignment horizontal="center"/>
    </xf>
    <xf numFmtId="0" fontId="0" fillId="0" borderId="88" xfId="0" applyFill="1" applyBorder="1" applyAlignment="1">
      <alignment horizontal="center" wrapText="1"/>
    </xf>
    <xf numFmtId="0" fontId="0" fillId="0" borderId="0" xfId="0" applyFill="1" applyAlignment="1">
      <alignment horizontal="center" wrapText="1"/>
    </xf>
    <xf numFmtId="199" fontId="0" fillId="0" borderId="0" xfId="0" applyNumberFormat="1" applyFill="1" applyAlignment="1">
      <alignment horizontal="center"/>
    </xf>
    <xf numFmtId="0" fontId="0" fillId="0" borderId="89" xfId="0" applyFill="1" applyBorder="1" applyAlignment="1">
      <alignment horizontal="center" wrapText="1"/>
    </xf>
    <xf numFmtId="2" fontId="0" fillId="0" borderId="0" xfId="0" applyNumberFormat="1" applyFill="1" applyAlignment="1">
      <alignment horizontal="center"/>
    </xf>
    <xf numFmtId="188" fontId="0" fillId="0" borderId="0" xfId="0" applyNumberFormat="1" applyFill="1"/>
    <xf numFmtId="215" fontId="0" fillId="0" borderId="0" xfId="0" applyNumberFormat="1" applyFill="1"/>
    <xf numFmtId="3" fontId="0" fillId="0" borderId="89" xfId="0" applyNumberFormat="1" applyFill="1" applyBorder="1" applyAlignment="1">
      <alignment horizontal="right"/>
    </xf>
    <xf numFmtId="166" fontId="0" fillId="0" borderId="0" xfId="25742" applyNumberFormat="1" applyFont="1" applyFill="1" applyAlignment="1">
      <alignment horizontal="center"/>
    </xf>
    <xf numFmtId="166" fontId="0" fillId="0" borderId="0" xfId="25742" applyNumberFormat="1" applyFont="1" applyFill="1"/>
    <xf numFmtId="2" fontId="0" fillId="0" borderId="0" xfId="0" applyNumberFormat="1" applyFill="1"/>
    <xf numFmtId="0" fontId="0" fillId="0" borderId="89" xfId="0" applyFill="1" applyBorder="1" applyAlignment="1">
      <alignment horizontal="right"/>
    </xf>
    <xf numFmtId="1" fontId="0" fillId="0" borderId="89" xfId="0" applyNumberFormat="1" applyFill="1" applyBorder="1" applyAlignment="1">
      <alignment horizontal="right"/>
    </xf>
    <xf numFmtId="205" fontId="139" fillId="0" borderId="0" xfId="0" applyNumberFormat="1" applyFont="1" applyFill="1"/>
    <xf numFmtId="188" fontId="139" fillId="0" borderId="0" xfId="0" applyNumberFormat="1" applyFont="1" applyFill="1"/>
    <xf numFmtId="44" fontId="0" fillId="0" borderId="0" xfId="0" applyNumberFormat="1" applyFill="1"/>
    <xf numFmtId="0" fontId="0" fillId="0" borderId="94" xfId="0" applyFill="1" applyBorder="1" applyAlignment="1">
      <alignment horizontal="center"/>
    </xf>
    <xf numFmtId="0" fontId="0" fillId="0" borderId="49" xfId="0" applyFill="1" applyBorder="1"/>
    <xf numFmtId="188" fontId="0" fillId="0" borderId="49" xfId="0" applyNumberFormat="1" applyFill="1" applyBorder="1"/>
    <xf numFmtId="3" fontId="0" fillId="0" borderId="49" xfId="0" applyNumberFormat="1" applyFill="1" applyBorder="1"/>
    <xf numFmtId="199" fontId="0" fillId="0" borderId="49" xfId="0" applyNumberFormat="1" applyFill="1" applyBorder="1" applyAlignment="1">
      <alignment horizontal="center"/>
    </xf>
    <xf numFmtId="215" fontId="0" fillId="0" borderId="49" xfId="0" applyNumberFormat="1" applyFill="1" applyBorder="1"/>
    <xf numFmtId="1" fontId="0" fillId="0" borderId="95" xfId="0" applyNumberFormat="1" applyFill="1" applyBorder="1" applyAlignment="1">
      <alignment horizontal="center"/>
    </xf>
    <xf numFmtId="190" fontId="0" fillId="0" borderId="92" xfId="0" applyNumberFormat="1" applyFill="1" applyBorder="1"/>
    <xf numFmtId="3" fontId="0" fillId="0" borderId="92" xfId="0" applyNumberFormat="1" applyFill="1" applyBorder="1"/>
    <xf numFmtId="215" fontId="0" fillId="0" borderId="92" xfId="0" applyNumberFormat="1" applyFill="1" applyBorder="1"/>
    <xf numFmtId="199" fontId="0" fillId="0" borderId="88" xfId="0" applyNumberFormat="1" applyFill="1" applyBorder="1" applyAlignment="1">
      <alignment horizontal="center"/>
    </xf>
    <xf numFmtId="190" fontId="0" fillId="0" borderId="0" xfId="0" applyNumberFormat="1" applyFill="1"/>
    <xf numFmtId="0" fontId="0" fillId="0" borderId="89" xfId="0" applyFill="1" applyBorder="1"/>
    <xf numFmtId="199" fontId="0" fillId="0" borderId="0" xfId="0" applyNumberFormat="1" applyFill="1" applyAlignment="1">
      <alignment horizontal="left"/>
    </xf>
    <xf numFmtId="199" fontId="0" fillId="0" borderId="94" xfId="0" applyNumberFormat="1" applyFill="1" applyBorder="1" applyAlignment="1">
      <alignment horizontal="center"/>
    </xf>
    <xf numFmtId="190" fontId="0" fillId="0" borderId="49" xfId="0" applyNumberFormat="1" applyFill="1" applyBorder="1"/>
    <xf numFmtId="0" fontId="0" fillId="0" borderId="95" xfId="0" applyFill="1" applyBorder="1"/>
    <xf numFmtId="0" fontId="0" fillId="0" borderId="0" xfId="0" applyFill="1" applyAlignment="1">
      <alignment wrapText="1"/>
    </xf>
    <xf numFmtId="0" fontId="0" fillId="0" borderId="88" xfId="0" applyFill="1" applyBorder="1"/>
    <xf numFmtId="14" fontId="0" fillId="0" borderId="0" xfId="0" applyNumberFormat="1" applyFill="1"/>
    <xf numFmtId="166" fontId="0" fillId="0" borderId="89" xfId="25742" applyNumberFormat="1" applyFont="1" applyFill="1" applyBorder="1"/>
    <xf numFmtId="3" fontId="20" fillId="0" borderId="0" xfId="0" applyNumberFormat="1" applyFont="1" applyFill="1"/>
    <xf numFmtId="37" fontId="1" fillId="0" borderId="0" xfId="33365" applyNumberFormat="1" applyFont="1" applyFill="1"/>
    <xf numFmtId="3" fontId="18" fillId="0" borderId="0" xfId="0" applyNumberFormat="1" applyFont="1" applyFill="1"/>
    <xf numFmtId="37" fontId="0" fillId="0" borderId="0" xfId="0" applyNumberFormat="1" applyFill="1"/>
    <xf numFmtId="0" fontId="0" fillId="0" borderId="94" xfId="0" applyFill="1" applyBorder="1"/>
    <xf numFmtId="166" fontId="0" fillId="0" borderId="49" xfId="0" applyNumberFormat="1" applyFill="1" applyBorder="1"/>
    <xf numFmtId="166" fontId="0" fillId="0" borderId="95" xfId="0" applyNumberFormat="1" applyFill="1" applyBorder="1"/>
    <xf numFmtId="188" fontId="0" fillId="0" borderId="92" xfId="0" applyNumberFormat="1" applyFill="1" applyBorder="1" applyAlignment="1">
      <alignment horizontal="center"/>
    </xf>
    <xf numFmtId="37" fontId="0" fillId="0" borderId="92" xfId="0" applyNumberFormat="1" applyFill="1" applyBorder="1"/>
    <xf numFmtId="37" fontId="0" fillId="0" borderId="93" xfId="0" applyNumberFormat="1" applyFill="1" applyBorder="1"/>
    <xf numFmtId="188" fontId="0" fillId="0" borderId="49" xfId="0" applyNumberFormat="1" applyFill="1" applyBorder="1" applyAlignment="1">
      <alignment horizontal="center"/>
    </xf>
    <xf numFmtId="188" fontId="0" fillId="0" borderId="0" xfId="0" applyNumberFormat="1" applyFill="1" applyAlignment="1">
      <alignment horizontal="center"/>
    </xf>
    <xf numFmtId="190" fontId="0" fillId="0" borderId="0" xfId="0" applyNumberFormat="1" applyFill="1" applyAlignment="1">
      <alignment horizontal="center"/>
    </xf>
    <xf numFmtId="190" fontId="0" fillId="0" borderId="89" xfId="0" applyNumberFormat="1" applyFill="1" applyBorder="1" applyAlignment="1">
      <alignment horizontal="center"/>
    </xf>
    <xf numFmtId="190" fontId="0" fillId="0" borderId="95" xfId="0" applyNumberFormat="1" applyFill="1" applyBorder="1"/>
    <xf numFmtId="0" fontId="144" fillId="0" borderId="0" xfId="0" applyFont="1" applyFill="1" applyAlignment="1">
      <alignment horizontal="center"/>
    </xf>
    <xf numFmtId="0" fontId="144" fillId="0" borderId="0" xfId="0" applyFont="1" applyFill="1" applyAlignment="1">
      <alignment horizontal="centerContinuous"/>
    </xf>
    <xf numFmtId="0" fontId="144" fillId="0" borderId="0" xfId="0" applyFont="1" applyFill="1" applyAlignment="1">
      <alignment horizontal="right"/>
    </xf>
    <xf numFmtId="166" fontId="144" fillId="0" borderId="0" xfId="25742" applyNumberFormat="1" applyFont="1" applyFill="1" applyAlignment="1">
      <alignment horizontal="right"/>
    </xf>
    <xf numFmtId="0" fontId="139" fillId="0" borderId="0" xfId="0" applyFont="1" applyFill="1" applyAlignment="1">
      <alignment horizontal="right"/>
    </xf>
    <xf numFmtId="166" fontId="139" fillId="0" borderId="0" xfId="25742" applyNumberFormat="1" applyFont="1" applyFill="1" applyAlignment="1">
      <alignment horizontal="right"/>
    </xf>
    <xf numFmtId="0" fontId="139" fillId="0" borderId="81" xfId="0" applyFont="1" applyFill="1" applyBorder="1" applyAlignment="1">
      <alignment horizontal="right"/>
    </xf>
    <xf numFmtId="0" fontId="139" fillId="0" borderId="150" xfId="0" applyFont="1" applyFill="1" applyBorder="1" applyAlignment="1">
      <alignment horizontal="right"/>
    </xf>
    <xf numFmtId="0" fontId="139" fillId="0" borderId="82" xfId="0" applyFont="1" applyFill="1" applyBorder="1" applyAlignment="1">
      <alignment horizontal="right"/>
    </xf>
    <xf numFmtId="0" fontId="139" fillId="0" borderId="165" xfId="0" applyFont="1" applyFill="1" applyBorder="1" applyAlignment="1">
      <alignment horizontal="right"/>
    </xf>
    <xf numFmtId="0" fontId="139" fillId="0" borderId="14" xfId="0" applyFont="1" applyFill="1" applyBorder="1" applyAlignment="1">
      <alignment horizontal="center"/>
    </xf>
    <xf numFmtId="0" fontId="139" fillId="0" borderId="14" xfId="0" applyFont="1" applyFill="1" applyBorder="1" applyAlignment="1">
      <alignment horizontal="center" wrapText="1"/>
    </xf>
    <xf numFmtId="0" fontId="139" fillId="0" borderId="14" xfId="0" applyFont="1" applyFill="1" applyBorder="1" applyAlignment="1">
      <alignment horizontal="right" wrapText="1"/>
    </xf>
    <xf numFmtId="3" fontId="32" fillId="0" borderId="14" xfId="0" applyNumberFormat="1" applyFont="1" applyFill="1" applyBorder="1" applyAlignment="1">
      <alignment horizontal="center" wrapText="1"/>
    </xf>
    <xf numFmtId="190" fontId="32" fillId="0" borderId="14" xfId="25766" applyNumberFormat="1" applyFont="1" applyFill="1" applyBorder="1" applyAlignment="1">
      <alignment horizontal="center" wrapText="1"/>
    </xf>
    <xf numFmtId="7" fontId="32" fillId="0" borderId="14" xfId="25766" applyNumberFormat="1" applyFont="1" applyFill="1" applyBorder="1" applyAlignment="1">
      <alignment horizontal="center" wrapText="1"/>
    </xf>
    <xf numFmtId="0" fontId="32" fillId="0" borderId="14" xfId="0" applyFont="1" applyFill="1" applyBorder="1" applyAlignment="1">
      <alignment horizontal="center" wrapText="1"/>
    </xf>
    <xf numFmtId="204" fontId="32" fillId="0" borderId="14" xfId="25766" applyNumberFormat="1" applyFont="1" applyFill="1" applyBorder="1" applyAlignment="1">
      <alignment horizontal="center" wrapText="1"/>
    </xf>
    <xf numFmtId="166" fontId="32" fillId="0" borderId="14" xfId="25742" applyNumberFormat="1" applyFont="1" applyFill="1" applyBorder="1" applyAlignment="1">
      <alignment horizontal="center" wrapText="1"/>
    </xf>
    <xf numFmtId="166" fontId="139" fillId="0" borderId="0" xfId="25742" applyNumberFormat="1" applyFont="1" applyFill="1" applyAlignment="1">
      <alignment horizontal="center"/>
    </xf>
    <xf numFmtId="0" fontId="153" fillId="0" borderId="0" xfId="0" applyFont="1" applyFill="1"/>
    <xf numFmtId="0" fontId="139" fillId="0" borderId="0" xfId="0" applyFont="1" applyFill="1" applyAlignment="1">
      <alignment horizontal="left"/>
    </xf>
    <xf numFmtId="190" fontId="139" fillId="0" borderId="0" xfId="0" applyNumberFormat="1" applyFont="1" applyFill="1" applyAlignment="1">
      <alignment horizontal="right"/>
    </xf>
    <xf numFmtId="188" fontId="139" fillId="0" borderId="0" xfId="0" applyNumberFormat="1" applyFont="1" applyFill="1" applyAlignment="1">
      <alignment horizontal="right"/>
    </xf>
    <xf numFmtId="3" fontId="139" fillId="0" borderId="0" xfId="0" applyNumberFormat="1" applyFont="1" applyFill="1" applyAlignment="1">
      <alignment horizontal="right"/>
    </xf>
    <xf numFmtId="202" fontId="139" fillId="0" borderId="0" xfId="25745" applyNumberFormat="1" applyFont="1" applyFill="1" applyAlignment="1">
      <alignment horizontal="right"/>
    </xf>
    <xf numFmtId="190" fontId="139" fillId="0" borderId="0" xfId="25742" applyNumberFormat="1" applyFont="1" applyFill="1" applyAlignment="1">
      <alignment horizontal="right"/>
    </xf>
    <xf numFmtId="204" fontId="139" fillId="0" borderId="0" xfId="0" applyNumberFormat="1" applyFont="1" applyFill="1" applyAlignment="1">
      <alignment horizontal="right"/>
    </xf>
    <xf numFmtId="205" fontId="139" fillId="0" borderId="0" xfId="25745" applyNumberFormat="1" applyFont="1" applyFill="1" applyAlignment="1">
      <alignment horizontal="right"/>
    </xf>
    <xf numFmtId="43" fontId="139" fillId="0" borderId="0" xfId="25742" applyFont="1" applyFill="1" applyAlignment="1">
      <alignment horizontal="right"/>
    </xf>
    <xf numFmtId="44" fontId="139" fillId="0" borderId="0" xfId="25745" applyFont="1" applyFill="1" applyAlignment="1">
      <alignment horizontal="right"/>
    </xf>
    <xf numFmtId="188" fontId="139" fillId="0" borderId="165" xfId="0" applyNumberFormat="1" applyFont="1" applyFill="1" applyBorder="1" applyAlignment="1">
      <alignment horizontal="right"/>
    </xf>
    <xf numFmtId="166" fontId="144" fillId="0" borderId="0" xfId="0" applyNumberFormat="1" applyFont="1" applyFill="1" applyAlignment="1">
      <alignment horizontal="right"/>
    </xf>
    <xf numFmtId="0" fontId="32" fillId="0" borderId="0" xfId="30157" applyFont="1" applyFill="1" applyAlignment="1">
      <alignment vertical="top" wrapText="1"/>
    </xf>
    <xf numFmtId="166" fontId="139" fillId="0" borderId="0" xfId="0" applyNumberFormat="1" applyFont="1" applyFill="1" applyAlignment="1">
      <alignment horizontal="right"/>
    </xf>
    <xf numFmtId="5" fontId="139" fillId="0" borderId="0" xfId="0" applyNumberFormat="1" applyFont="1" applyFill="1" applyAlignment="1">
      <alignment horizontal="right"/>
    </xf>
    <xf numFmtId="5" fontId="139" fillId="0" borderId="168" xfId="0" applyNumberFormat="1" applyFont="1" applyFill="1" applyBorder="1" applyAlignment="1">
      <alignment horizontal="right"/>
    </xf>
    <xf numFmtId="188" fontId="139" fillId="0" borderId="168" xfId="0" applyNumberFormat="1" applyFont="1" applyFill="1" applyBorder="1" applyAlignment="1">
      <alignment horizontal="right"/>
    </xf>
    <xf numFmtId="190" fontId="139" fillId="0" borderId="168" xfId="0" applyNumberFormat="1" applyFont="1" applyFill="1" applyBorder="1" applyAlignment="1">
      <alignment horizontal="right"/>
    </xf>
    <xf numFmtId="205" fontId="139" fillId="0" borderId="0" xfId="25745" applyNumberFormat="1" applyFont="1" applyFill="1"/>
    <xf numFmtId="202" fontId="139" fillId="0" borderId="168" xfId="25745" applyNumberFormat="1" applyFont="1" applyFill="1" applyBorder="1" applyAlignment="1">
      <alignment horizontal="right"/>
    </xf>
    <xf numFmtId="202" fontId="139" fillId="0" borderId="0" xfId="0" applyNumberFormat="1" applyFont="1" applyFill="1" applyAlignment="1">
      <alignment horizontal="right"/>
    </xf>
    <xf numFmtId="0" fontId="166" fillId="0" borderId="0" xfId="0" applyFont="1" applyFill="1" applyAlignment="1">
      <alignment vertical="top"/>
    </xf>
    <xf numFmtId="0" fontId="139" fillId="0" borderId="0" xfId="0" applyFont="1" applyFill="1" applyAlignment="1">
      <alignment horizontal="left" indent="1"/>
    </xf>
    <xf numFmtId="0" fontId="144" fillId="0" borderId="168" xfId="0" applyFont="1" applyFill="1" applyBorder="1"/>
    <xf numFmtId="0" fontId="139" fillId="0" borderId="168" xfId="0" applyFont="1" applyFill="1" applyBorder="1" applyAlignment="1">
      <alignment horizontal="right"/>
    </xf>
    <xf numFmtId="204" fontId="139" fillId="0" borderId="168" xfId="0" applyNumberFormat="1" applyFont="1" applyFill="1" applyBorder="1" applyAlignment="1">
      <alignment horizontal="right"/>
    </xf>
    <xf numFmtId="166" fontId="139" fillId="0" borderId="168" xfId="25742" applyNumberFormat="1" applyFont="1" applyFill="1" applyBorder="1" applyAlignment="1">
      <alignment horizontal="right"/>
    </xf>
    <xf numFmtId="0" fontId="144" fillId="0" borderId="0" xfId="0" applyFont="1" applyFill="1"/>
    <xf numFmtId="43" fontId="139" fillId="0" borderId="0" xfId="0" applyNumberFormat="1" applyFont="1" applyFill="1" applyAlignment="1">
      <alignment horizontal="right"/>
    </xf>
    <xf numFmtId="0" fontId="167" fillId="0" borderId="0" xfId="0" applyFont="1" applyFill="1" applyAlignment="1">
      <alignment horizontal="right"/>
    </xf>
    <xf numFmtId="0" fontId="139" fillId="0" borderId="0" xfId="0" applyFont="1" applyFill="1" applyAlignment="1">
      <alignment horizontal="right" wrapText="1"/>
    </xf>
    <xf numFmtId="190" fontId="139" fillId="0" borderId="0" xfId="25745" applyNumberFormat="1" applyFont="1" applyFill="1" applyAlignment="1">
      <alignment horizontal="right"/>
    </xf>
    <xf numFmtId="0" fontId="139" fillId="0" borderId="168" xfId="0" applyFont="1" applyFill="1" applyBorder="1"/>
    <xf numFmtId="44" fontId="139" fillId="0" borderId="0" xfId="0" applyNumberFormat="1" applyFont="1" applyFill="1" applyAlignment="1">
      <alignment horizontal="right"/>
    </xf>
    <xf numFmtId="0" fontId="139" fillId="0" borderId="0" xfId="28781" applyFont="1" applyFill="1"/>
    <xf numFmtId="0" fontId="18" fillId="0" borderId="0" xfId="0" applyFont="1" applyFill="1" applyAlignment="1">
      <alignment vertical="top"/>
    </xf>
    <xf numFmtId="0" fontId="139" fillId="0" borderId="0" xfId="30158" applyFont="1" applyFill="1"/>
    <xf numFmtId="0" fontId="139" fillId="0" borderId="168" xfId="0" applyFont="1" applyFill="1" applyBorder="1" applyAlignment="1">
      <alignment horizontal="left" indent="1"/>
    </xf>
    <xf numFmtId="43" fontId="139" fillId="0" borderId="168" xfId="0" applyNumberFormat="1" applyFont="1" applyFill="1" applyBorder="1" applyAlignment="1">
      <alignment horizontal="right"/>
    </xf>
    <xf numFmtId="37" fontId="139" fillId="0" borderId="0" xfId="0" applyNumberFormat="1" applyFont="1" applyFill="1"/>
    <xf numFmtId="188" fontId="139" fillId="0" borderId="168" xfId="0" applyNumberFormat="1" applyFont="1" applyFill="1" applyBorder="1"/>
    <xf numFmtId="0" fontId="47" fillId="0" borderId="0" xfId="0" applyFont="1" applyFill="1" applyAlignment="1">
      <alignment horizontal="left" vertical="top"/>
    </xf>
    <xf numFmtId="0" fontId="47" fillId="0" borderId="0" xfId="0" applyFont="1" applyFill="1" applyAlignment="1">
      <alignment vertical="top"/>
    </xf>
    <xf numFmtId="0" fontId="167" fillId="0" borderId="168" xfId="0" applyFont="1" applyFill="1" applyBorder="1" applyAlignment="1">
      <alignment horizontal="right"/>
    </xf>
    <xf numFmtId="188" fontId="139" fillId="0" borderId="168" xfId="25742" applyNumberFormat="1" applyFont="1" applyFill="1" applyBorder="1" applyAlignment="1">
      <alignment horizontal="right"/>
    </xf>
    <xf numFmtId="37" fontId="139" fillId="0" borderId="0" xfId="25745" applyNumberFormat="1" applyFont="1" applyFill="1" applyAlignment="1">
      <alignment horizontal="right"/>
    </xf>
    <xf numFmtId="208" fontId="139" fillId="0" borderId="0" xfId="0" applyNumberFormat="1" applyFont="1" applyFill="1" applyAlignment="1">
      <alignment horizontal="right"/>
    </xf>
    <xf numFmtId="39" fontId="139" fillId="0" borderId="0" xfId="25745" applyNumberFormat="1" applyFont="1" applyFill="1" applyAlignment="1">
      <alignment horizontal="right"/>
    </xf>
    <xf numFmtId="3" fontId="139" fillId="0" borderId="168" xfId="0" applyNumberFormat="1" applyFont="1" applyFill="1" applyBorder="1" applyAlignment="1">
      <alignment horizontal="right"/>
    </xf>
    <xf numFmtId="202" fontId="139" fillId="0" borderId="168" xfId="0" applyNumberFormat="1" applyFont="1" applyFill="1" applyBorder="1" applyAlignment="1">
      <alignment horizontal="right"/>
    </xf>
    <xf numFmtId="202" fontId="139" fillId="0" borderId="165" xfId="25745" applyNumberFormat="1" applyFont="1" applyFill="1" applyBorder="1" applyAlignment="1">
      <alignment horizontal="right"/>
    </xf>
    <xf numFmtId="188" fontId="139" fillId="0" borderId="0" xfId="25745" applyNumberFormat="1" applyFont="1" applyFill="1" applyAlignment="1">
      <alignment horizontal="right"/>
    </xf>
    <xf numFmtId="188" fontId="14" fillId="0" borderId="0" xfId="0" applyNumberFormat="1" applyFont="1" applyFill="1" applyAlignment="1">
      <alignment horizontal="right"/>
    </xf>
    <xf numFmtId="166" fontId="139" fillId="0" borderId="0" xfId="25742" applyNumberFormat="1" applyFont="1" applyFill="1"/>
    <xf numFmtId="190" fontId="14" fillId="0" borderId="0" xfId="0" applyNumberFormat="1" applyFont="1" applyFill="1" applyAlignment="1">
      <alignment horizontal="right"/>
    </xf>
    <xf numFmtId="190" fontId="139" fillId="0" borderId="0" xfId="0" applyNumberFormat="1" applyFont="1" applyFill="1" applyAlignment="1">
      <alignment horizontal="left"/>
    </xf>
    <xf numFmtId="1" fontId="139" fillId="0" borderId="0" xfId="0" applyNumberFormat="1" applyFont="1" applyFill="1" applyAlignment="1">
      <alignment horizontal="right"/>
    </xf>
    <xf numFmtId="0" fontId="57" fillId="0" borderId="0" xfId="0" applyFont="1" applyFill="1" applyAlignment="1">
      <alignment vertical="center" wrapText="1"/>
    </xf>
    <xf numFmtId="0" fontId="57" fillId="0" borderId="0" xfId="0" applyFont="1" applyFill="1" applyAlignment="1">
      <alignment horizontal="left" vertical="center" wrapText="1"/>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1" fillId="0" borderId="0" xfId="30158" applyFont="1" applyFill="1"/>
    <xf numFmtId="7" fontId="139" fillId="0" borderId="168" xfId="0" applyNumberFormat="1" applyFont="1" applyFill="1" applyBorder="1" applyAlignment="1">
      <alignment horizontal="right"/>
    </xf>
    <xf numFmtId="7" fontId="139" fillId="0" borderId="0" xfId="0" applyNumberFormat="1" applyFont="1" applyFill="1" applyAlignment="1">
      <alignment horizontal="right"/>
    </xf>
    <xf numFmtId="1" fontId="139" fillId="0" borderId="168" xfId="0" applyNumberFormat="1" applyFont="1" applyFill="1" applyBorder="1" applyAlignment="1">
      <alignment horizontal="right"/>
    </xf>
    <xf numFmtId="4" fontId="139" fillId="0" borderId="0" xfId="0" applyNumberFormat="1" applyFont="1" applyFill="1" applyAlignment="1">
      <alignment horizontal="right"/>
    </xf>
    <xf numFmtId="199" fontId="139" fillId="0" borderId="0" xfId="0" applyNumberFormat="1" applyFont="1" applyFill="1" applyAlignment="1">
      <alignment horizontal="right"/>
    </xf>
    <xf numFmtId="37" fontId="139" fillId="0" borderId="0" xfId="0" applyNumberFormat="1" applyFont="1" applyFill="1" applyAlignment="1">
      <alignment horizontal="right"/>
    </xf>
    <xf numFmtId="39" fontId="139" fillId="0" borderId="0" xfId="0" applyNumberFormat="1" applyFont="1" applyFill="1" applyAlignment="1">
      <alignment horizontal="right"/>
    </xf>
    <xf numFmtId="44" fontId="139" fillId="0" borderId="168" xfId="25745" applyFont="1" applyFill="1" applyBorder="1" applyAlignment="1">
      <alignment horizontal="right"/>
    </xf>
    <xf numFmtId="37" fontId="139" fillId="0" borderId="165" xfId="0" applyNumberFormat="1" applyFont="1" applyFill="1" applyBorder="1" applyAlignment="1">
      <alignment horizontal="right"/>
    </xf>
    <xf numFmtId="37" fontId="139" fillId="0" borderId="168" xfId="0" applyNumberFormat="1" applyFont="1" applyFill="1" applyBorder="1" applyAlignment="1">
      <alignment horizontal="right"/>
    </xf>
    <xf numFmtId="190" fontId="139" fillId="0" borderId="0" xfId="0" applyNumberFormat="1" applyFont="1" applyFill="1"/>
    <xf numFmtId="2" fontId="139" fillId="0" borderId="0" xfId="0" applyNumberFormat="1" applyFont="1" applyFill="1" applyAlignment="1">
      <alignment horizontal="right"/>
    </xf>
    <xf numFmtId="202" fontId="14" fillId="0" borderId="0" xfId="25745" applyNumberFormat="1" applyFont="1" applyFill="1" applyAlignment="1">
      <alignment horizontal="right"/>
    </xf>
    <xf numFmtId="44" fontId="14" fillId="0" borderId="0" xfId="25745" applyFont="1" applyFill="1" applyAlignment="1">
      <alignment horizontal="right"/>
    </xf>
    <xf numFmtId="176" fontId="139" fillId="0" borderId="0" xfId="0" applyNumberFormat="1" applyFont="1" applyFill="1" applyAlignment="1">
      <alignment horizontal="right"/>
    </xf>
    <xf numFmtId="209" fontId="139" fillId="0" borderId="0" xfId="0" applyNumberFormat="1" applyFont="1" applyFill="1" applyAlignment="1">
      <alignment horizontal="right"/>
    </xf>
    <xf numFmtId="197" fontId="139" fillId="0" borderId="0" xfId="0" applyNumberFormat="1" applyFont="1" applyFill="1" applyAlignment="1">
      <alignment horizontal="right"/>
    </xf>
    <xf numFmtId="210" fontId="139" fillId="0" borderId="0" xfId="25745" applyNumberFormat="1" applyFont="1" applyFill="1" applyAlignment="1">
      <alignment horizontal="right"/>
    </xf>
    <xf numFmtId="211" fontId="139" fillId="0" borderId="0" xfId="25745" applyNumberFormat="1" applyFont="1" applyFill="1" applyAlignment="1">
      <alignment horizontal="right"/>
    </xf>
    <xf numFmtId="190" fontId="139" fillId="0" borderId="168" xfId="25742" applyNumberFormat="1" applyFont="1" applyFill="1" applyBorder="1" applyAlignment="1">
      <alignment horizontal="right"/>
    </xf>
    <xf numFmtId="166" fontId="14" fillId="0" borderId="0" xfId="0" applyNumberFormat="1" applyFont="1" applyFill="1" applyAlignment="1">
      <alignment horizontal="right"/>
    </xf>
    <xf numFmtId="166" fontId="139" fillId="0" borderId="168" xfId="0" applyNumberFormat="1" applyFont="1" applyFill="1" applyBorder="1" applyAlignment="1">
      <alignment horizontal="right"/>
    </xf>
    <xf numFmtId="44" fontId="139" fillId="0" borderId="168" xfId="0" applyNumberFormat="1" applyFont="1" applyFill="1" applyBorder="1" applyAlignment="1">
      <alignment horizontal="right"/>
    </xf>
    <xf numFmtId="166" fontId="139" fillId="0" borderId="168" xfId="25745" applyNumberFormat="1" applyFont="1" applyFill="1" applyBorder="1" applyAlignment="1">
      <alignment horizontal="right"/>
    </xf>
    <xf numFmtId="41" fontId="139" fillId="0" borderId="0" xfId="0" applyNumberFormat="1" applyFont="1" applyFill="1" applyAlignment="1">
      <alignment horizontal="right"/>
    </xf>
    <xf numFmtId="3" fontId="139" fillId="0" borderId="0" xfId="25742" applyNumberFormat="1" applyFont="1" applyFill="1" applyAlignment="1">
      <alignment horizontal="right"/>
    </xf>
    <xf numFmtId="37" fontId="47" fillId="0" borderId="0" xfId="0" applyNumberFormat="1" applyFont="1" applyFill="1" applyAlignment="1">
      <alignment vertical="top"/>
    </xf>
    <xf numFmtId="37" fontId="47" fillId="0" borderId="168" xfId="0" applyNumberFormat="1" applyFont="1" applyFill="1" applyBorder="1" applyAlignment="1">
      <alignment vertical="top"/>
    </xf>
    <xf numFmtId="0" fontId="0" fillId="0" borderId="0" xfId="30158" applyFont="1" applyFill="1"/>
    <xf numFmtId="0" fontId="144" fillId="0" borderId="168" xfId="0" applyFont="1" applyFill="1" applyBorder="1" applyAlignment="1">
      <alignment horizontal="left" indent="1"/>
    </xf>
    <xf numFmtId="0" fontId="1" fillId="0" borderId="168" xfId="30158" applyFont="1" applyFill="1" applyBorder="1"/>
    <xf numFmtId="0" fontId="139" fillId="0" borderId="168" xfId="0" applyFont="1" applyFill="1" applyBorder="1" applyAlignment="1">
      <alignment horizontal="left"/>
    </xf>
    <xf numFmtId="5" fontId="139" fillId="0" borderId="168" xfId="0" applyNumberFormat="1" applyFont="1" applyFill="1" applyBorder="1"/>
    <xf numFmtId="39" fontId="139" fillId="0" borderId="168" xfId="0" applyNumberFormat="1" applyFont="1" applyFill="1" applyBorder="1" applyAlignment="1">
      <alignment horizontal="right"/>
    </xf>
    <xf numFmtId="39" fontId="47" fillId="0" borderId="0" xfId="0" applyNumberFormat="1" applyFont="1" applyFill="1" applyAlignment="1">
      <alignment vertical="top"/>
    </xf>
    <xf numFmtId="186" fontId="139" fillId="0" borderId="0" xfId="25742" applyNumberFormat="1" applyFont="1" applyFill="1" applyAlignment="1">
      <alignment horizontal="right"/>
    </xf>
    <xf numFmtId="212" fontId="139" fillId="0" borderId="0" xfId="25742" applyNumberFormat="1" applyFont="1" applyFill="1" applyAlignment="1">
      <alignment horizontal="right"/>
    </xf>
    <xf numFmtId="211" fontId="139" fillId="0" borderId="183" xfId="25745" applyNumberFormat="1" applyFont="1" applyFill="1" applyBorder="1" applyAlignment="1">
      <alignment horizontal="center" vertical="center"/>
    </xf>
    <xf numFmtId="0" fontId="144" fillId="0" borderId="81" xfId="0" applyFont="1" applyFill="1" applyBorder="1"/>
    <xf numFmtId="5" fontId="144" fillId="0" borderId="150" xfId="0" applyNumberFormat="1" applyFont="1" applyFill="1" applyBorder="1" applyAlignment="1">
      <alignment horizontal="right"/>
    </xf>
    <xf numFmtId="7" fontId="139" fillId="0" borderId="150" xfId="0" applyNumberFormat="1" applyFont="1" applyFill="1" applyBorder="1" applyAlignment="1">
      <alignment horizontal="right"/>
    </xf>
    <xf numFmtId="166" fontId="139" fillId="0" borderId="150" xfId="25742" applyNumberFormat="1" applyFont="1" applyFill="1" applyBorder="1" applyAlignment="1">
      <alignment horizontal="right"/>
    </xf>
    <xf numFmtId="0" fontId="139" fillId="0" borderId="150" xfId="0" applyFont="1" applyFill="1" applyBorder="1" applyAlignment="1">
      <alignment horizontal="left"/>
    </xf>
    <xf numFmtId="202" fontId="144" fillId="0" borderId="150" xfId="0" applyNumberFormat="1" applyFont="1" applyFill="1" applyBorder="1" applyAlignment="1">
      <alignment horizontal="right"/>
    </xf>
    <xf numFmtId="166" fontId="139" fillId="0" borderId="168" xfId="25742" applyNumberFormat="1" applyFont="1" applyFill="1" applyBorder="1" applyAlignment="1">
      <alignment horizontal="left"/>
    </xf>
    <xf numFmtId="5" fontId="144" fillId="0" borderId="168" xfId="0" applyNumberFormat="1" applyFont="1" applyFill="1" applyBorder="1" applyAlignment="1">
      <alignment horizontal="right"/>
    </xf>
    <xf numFmtId="202" fontId="144" fillId="0" borderId="168" xfId="0" applyNumberFormat="1" applyFont="1" applyFill="1" applyBorder="1" applyAlignment="1">
      <alignment horizontal="right"/>
    </xf>
    <xf numFmtId="166" fontId="139" fillId="0" borderId="0" xfId="25742" applyNumberFormat="1" applyFont="1" applyFill="1" applyAlignment="1">
      <alignment horizontal="left"/>
    </xf>
    <xf numFmtId="5" fontId="144" fillId="0" borderId="0" xfId="0" applyNumberFormat="1" applyFont="1" applyFill="1" applyAlignment="1">
      <alignment horizontal="right"/>
    </xf>
    <xf numFmtId="212" fontId="139" fillId="0" borderId="0" xfId="0" applyNumberFormat="1" applyFont="1" applyFill="1" applyAlignment="1">
      <alignment horizontal="right"/>
    </xf>
    <xf numFmtId="0" fontId="139" fillId="0" borderId="0" xfId="0" applyFont="1" applyFill="1" applyAlignment="1">
      <alignment horizontal="left" wrapText="1"/>
    </xf>
    <xf numFmtId="43" fontId="144" fillId="0" borderId="0" xfId="0" applyNumberFormat="1" applyFont="1" applyFill="1" applyAlignment="1">
      <alignment horizontal="right"/>
    </xf>
    <xf numFmtId="166" fontId="139" fillId="0" borderId="88" xfId="25742" applyNumberFormat="1" applyFont="1" applyBorder="1"/>
    <xf numFmtId="166" fontId="144" fillId="0" borderId="176" xfId="25742" applyNumberFormat="1" applyFont="1" applyBorder="1" applyAlignment="1">
      <alignment horizontal="center" wrapText="1"/>
    </xf>
    <xf numFmtId="166" fontId="144" fillId="0" borderId="88" xfId="25742" applyNumberFormat="1" applyFont="1" applyBorder="1"/>
    <xf numFmtId="166" fontId="150" fillId="0" borderId="94" xfId="25742" applyNumberFormat="1" applyFont="1" applyBorder="1"/>
    <xf numFmtId="166" fontId="139" fillId="0" borderId="179" xfId="25742" applyNumberFormat="1" applyFont="1" applyBorder="1"/>
    <xf numFmtId="166" fontId="150" fillId="0" borderId="49" xfId="25742" applyNumberFormat="1" applyFont="1" applyBorder="1"/>
    <xf numFmtId="0" fontId="144" fillId="0" borderId="0" xfId="0" applyFont="1" applyBorder="1" applyAlignment="1">
      <alignment horizontal="left" indent="2"/>
    </xf>
    <xf numFmtId="202" fontId="150" fillId="0" borderId="0" xfId="25745" applyNumberFormat="1" applyFont="1" applyBorder="1"/>
    <xf numFmtId="166" fontId="150" fillId="0" borderId="0" xfId="25742" applyNumberFormat="1" applyFont="1" applyBorder="1"/>
    <xf numFmtId="9" fontId="139" fillId="0" borderId="0" xfId="25793" applyFont="1" applyBorder="1" applyAlignment="1">
      <alignment horizontal="center"/>
    </xf>
    <xf numFmtId="0" fontId="144" fillId="0" borderId="36" xfId="0" applyFont="1" applyBorder="1"/>
    <xf numFmtId="0" fontId="144" fillId="0" borderId="82" xfId="0" applyFont="1" applyBorder="1" applyAlignment="1">
      <alignment horizontal="centerContinuous"/>
    </xf>
    <xf numFmtId="0" fontId="144" fillId="0" borderId="14" xfId="0" applyFont="1" applyBorder="1" applyAlignment="1">
      <alignment horizontal="centerContinuous"/>
    </xf>
    <xf numFmtId="0" fontId="144" fillId="0" borderId="180" xfId="0" applyFont="1" applyBorder="1" applyAlignment="1">
      <alignment horizontal="centerContinuous"/>
    </xf>
    <xf numFmtId="0" fontId="139" fillId="0" borderId="209" xfId="0" applyFont="1" applyBorder="1"/>
    <xf numFmtId="0" fontId="139" fillId="0" borderId="203" xfId="0" applyFont="1" applyBorder="1"/>
    <xf numFmtId="0" fontId="139" fillId="0" borderId="178" xfId="0" applyFont="1" applyBorder="1" applyAlignment="1">
      <alignment horizontal="center"/>
    </xf>
    <xf numFmtId="0" fontId="147" fillId="0" borderId="132" xfId="0" applyFont="1" applyBorder="1"/>
    <xf numFmtId="166" fontId="139" fillId="0" borderId="0" xfId="0" applyNumberFormat="1" applyFont="1" applyBorder="1"/>
    <xf numFmtId="0" fontId="139" fillId="0" borderId="0" xfId="0" applyFont="1" applyBorder="1"/>
    <xf numFmtId="166" fontId="139" fillId="0" borderId="0" xfId="25742" applyNumberFormat="1" applyFont="1" applyBorder="1"/>
    <xf numFmtId="190" fontId="139" fillId="0" borderId="0" xfId="25742" applyNumberFormat="1" applyFont="1" applyBorder="1"/>
    <xf numFmtId="202" fontId="139" fillId="0" borderId="0" xfId="25745" applyNumberFormat="1" applyFont="1" applyBorder="1"/>
    <xf numFmtId="190" fontId="139" fillId="99" borderId="0" xfId="25742" applyNumberFormat="1" applyFont="1" applyFill="1" applyBorder="1"/>
    <xf numFmtId="204" fontId="139" fillId="0" borderId="0" xfId="25742" applyNumberFormat="1" applyFont="1" applyBorder="1"/>
    <xf numFmtId="204" fontId="139" fillId="99" borderId="0" xfId="25742" applyNumberFormat="1" applyFont="1" applyFill="1" applyBorder="1"/>
    <xf numFmtId="0" fontId="144" fillId="0" borderId="132" xfId="0" applyFont="1" applyBorder="1" applyAlignment="1">
      <alignment horizontal="left" indent="2"/>
    </xf>
    <xf numFmtId="202" fontId="184" fillId="0" borderId="0" xfId="25745" applyNumberFormat="1" applyFont="1" applyBorder="1"/>
    <xf numFmtId="202" fontId="144" fillId="0" borderId="0" xfId="25745" applyNumberFormat="1" applyFont="1" applyBorder="1"/>
    <xf numFmtId="43" fontId="139" fillId="0" borderId="0" xfId="0" applyNumberFormat="1" applyFont="1" applyBorder="1"/>
    <xf numFmtId="190" fontId="139" fillId="0" borderId="0" xfId="25745" applyNumberFormat="1" applyFont="1" applyBorder="1"/>
    <xf numFmtId="204" fontId="139" fillId="0" borderId="0" xfId="25745" applyNumberFormat="1" applyFont="1" applyBorder="1"/>
    <xf numFmtId="43" fontId="139" fillId="0" borderId="0" xfId="25742" applyFont="1" applyBorder="1"/>
    <xf numFmtId="0" fontId="144" fillId="0" borderId="210" xfId="0" applyFont="1" applyBorder="1" applyAlignment="1">
      <alignment horizontal="left" indent="2"/>
    </xf>
    <xf numFmtId="202" fontId="150" fillId="0" borderId="204" xfId="25745" applyNumberFormat="1" applyFont="1" applyBorder="1"/>
    <xf numFmtId="166" fontId="150" fillId="0" borderId="204" xfId="25742" applyNumberFormat="1" applyFont="1" applyBorder="1"/>
    <xf numFmtId="202" fontId="150" fillId="0" borderId="210" xfId="25745" applyNumberFormat="1" applyFont="1" applyBorder="1"/>
    <xf numFmtId="202" fontId="150" fillId="0" borderId="206" xfId="25745" applyNumberFormat="1" applyFont="1" applyBorder="1"/>
    <xf numFmtId="9" fontId="139" fillId="0" borderId="206" xfId="25793" applyFont="1" applyBorder="1" applyAlignment="1">
      <alignment horizontal="center"/>
    </xf>
    <xf numFmtId="203" fontId="139" fillId="0" borderId="11" xfId="25793" applyNumberFormat="1" applyFont="1" applyBorder="1" applyAlignment="1">
      <alignment horizontal="center"/>
    </xf>
    <xf numFmtId="203" fontId="139" fillId="0" borderId="178" xfId="0" applyNumberFormat="1" applyFont="1" applyBorder="1" applyAlignment="1">
      <alignment horizontal="center"/>
    </xf>
    <xf numFmtId="203" fontId="139" fillId="0" borderId="11" xfId="0" applyNumberFormat="1" applyFont="1" applyBorder="1" applyAlignment="1">
      <alignment horizontal="center"/>
    </xf>
    <xf numFmtId="0" fontId="0" fillId="0" borderId="204" xfId="0" applyBorder="1" applyAlignment="1">
      <alignment horizontal="center"/>
    </xf>
    <xf numFmtId="0" fontId="143" fillId="98" borderId="0" xfId="0" applyFont="1" applyFill="1" applyAlignment="1">
      <alignment horizontal="center"/>
    </xf>
    <xf numFmtId="14" fontId="122" fillId="0" borderId="0" xfId="25745" applyNumberFormat="1" applyFont="1"/>
    <xf numFmtId="14" fontId="122" fillId="95" borderId="0" xfId="0" applyNumberFormat="1" applyFont="1" applyFill="1"/>
    <xf numFmtId="14" fontId="122" fillId="0" borderId="0" xfId="0" applyNumberFormat="1" applyFont="1"/>
    <xf numFmtId="14" fontId="32" fillId="0" borderId="0" xfId="25742" applyNumberFormat="1" applyFont="1"/>
    <xf numFmtId="14" fontId="32" fillId="0" borderId="0" xfId="25750" applyNumberFormat="1" applyFont="1"/>
    <xf numFmtId="14" fontId="32" fillId="0" borderId="0" xfId="25794" applyNumberFormat="1" applyFont="1"/>
    <xf numFmtId="14" fontId="32" fillId="95" borderId="0" xfId="25794" applyNumberFormat="1" applyFont="1" applyFill="1"/>
    <xf numFmtId="0" fontId="124" fillId="0" borderId="0" xfId="0" applyFont="1" applyFill="1" applyAlignment="1">
      <alignment horizontal="center" wrapText="1"/>
    </xf>
    <xf numFmtId="0" fontId="121" fillId="0" borderId="0" xfId="25750" applyFont="1" applyFill="1" applyAlignment="1">
      <alignment horizontal="center" wrapText="1"/>
    </xf>
    <xf numFmtId="43" fontId="121" fillId="0" borderId="0" xfId="25742" applyFont="1" applyFill="1" applyBorder="1" applyAlignment="1">
      <alignment horizontal="center" wrapText="1"/>
    </xf>
    <xf numFmtId="43" fontId="121" fillId="0" borderId="96" xfId="25742" applyFont="1" applyFill="1" applyBorder="1" applyAlignment="1">
      <alignment horizontal="center" wrapText="1"/>
    </xf>
    <xf numFmtId="14" fontId="121" fillId="0" borderId="0" xfId="25750" applyNumberFormat="1" applyFont="1" applyFill="1" applyAlignment="1">
      <alignment horizontal="center" wrapText="1"/>
    </xf>
    <xf numFmtId="0" fontId="145" fillId="87" borderId="0" xfId="0" applyFont="1" applyFill="1" applyAlignment="1">
      <alignment horizontal="center"/>
    </xf>
    <xf numFmtId="0" fontId="122" fillId="0" borderId="204" xfId="0" applyFont="1" applyFill="1" applyBorder="1" applyAlignment="1">
      <alignment horizontal="center"/>
    </xf>
    <xf numFmtId="0" fontId="145" fillId="0" borderId="0" xfId="0" applyFont="1"/>
    <xf numFmtId="0" fontId="145" fillId="0" borderId="0" xfId="0" quotePrefix="1" applyFont="1"/>
    <xf numFmtId="0" fontId="145" fillId="0" borderId="0" xfId="0" applyFont="1" applyAlignment="1">
      <alignment horizontal="left"/>
    </xf>
    <xf numFmtId="0" fontId="145" fillId="0" borderId="0" xfId="0" applyFont="1" applyBorder="1" applyAlignment="1">
      <alignment horizontal="left"/>
    </xf>
    <xf numFmtId="0" fontId="143" fillId="0" borderId="0" xfId="0" applyFont="1" applyAlignment="1">
      <alignment horizontal="left"/>
    </xf>
    <xf numFmtId="0" fontId="143" fillId="0" borderId="0" xfId="0" applyFont="1"/>
    <xf numFmtId="7" fontId="0" fillId="0" borderId="0" xfId="25745" applyNumberFormat="1" applyFont="1" applyFill="1"/>
    <xf numFmtId="0" fontId="143" fillId="0" borderId="0" xfId="0" applyFont="1" applyFill="1"/>
    <xf numFmtId="7" fontId="122" fillId="0" borderId="0" xfId="25745" applyNumberFormat="1" applyFont="1" applyFill="1" applyAlignment="1"/>
    <xf numFmtId="0" fontId="139" fillId="0" borderId="165" xfId="0" applyFont="1" applyBorder="1"/>
    <xf numFmtId="0" fontId="139" fillId="0" borderId="168" xfId="0" applyFont="1" applyBorder="1"/>
    <xf numFmtId="166" fontId="139" fillId="0" borderId="0" xfId="25742" applyNumberFormat="1" applyFont="1" applyAlignment="1">
      <alignment horizontal="center"/>
    </xf>
    <xf numFmtId="166" fontId="139" fillId="95" borderId="143" xfId="25742" applyNumberFormat="1" applyFont="1" applyFill="1" applyBorder="1" applyAlignment="1">
      <alignment horizontal="center"/>
    </xf>
    <xf numFmtId="166" fontId="139" fillId="95" borderId="133" xfId="25742" applyNumberFormat="1" applyFont="1" applyFill="1" applyBorder="1"/>
    <xf numFmtId="166" fontId="139" fillId="95" borderId="132" xfId="25742" applyNumberFormat="1" applyFont="1" applyFill="1" applyBorder="1" applyAlignment="1">
      <alignment horizontal="center"/>
    </xf>
    <xf numFmtId="0" fontId="139" fillId="95" borderId="11" xfId="0" applyFont="1" applyFill="1" applyBorder="1"/>
    <xf numFmtId="166" fontId="154" fillId="0" borderId="0" xfId="25742" applyNumberFormat="1" applyFont="1" applyAlignment="1">
      <alignment horizontal="center"/>
    </xf>
    <xf numFmtId="44" fontId="154" fillId="0" borderId="0" xfId="25745" applyFont="1" applyAlignment="1">
      <alignment horizontal="center"/>
    </xf>
    <xf numFmtId="166" fontId="139" fillId="95" borderId="171" xfId="25742" applyNumberFormat="1" applyFont="1" applyFill="1" applyBorder="1" applyAlignment="1">
      <alignment horizontal="center"/>
    </xf>
    <xf numFmtId="0" fontId="139" fillId="95" borderId="172" xfId="0" applyFont="1" applyFill="1" applyBorder="1"/>
    <xf numFmtId="166" fontId="150" fillId="0" borderId="0" xfId="0" applyNumberFormat="1" applyFont="1"/>
    <xf numFmtId="44" fontId="150" fillId="0" borderId="0" xfId="25745" applyFont="1"/>
    <xf numFmtId="204" fontId="139" fillId="0" borderId="0" xfId="0" applyNumberFormat="1" applyFont="1" applyFill="1"/>
    <xf numFmtId="0" fontId="0" fillId="100" borderId="0" xfId="0" applyFill="1" applyBorder="1" applyAlignment="1">
      <alignment horizontal="center" wrapText="1"/>
    </xf>
    <xf numFmtId="0" fontId="122" fillId="95" borderId="0" xfId="0" applyFont="1" applyFill="1"/>
    <xf numFmtId="44" fontId="122" fillId="0" borderId="0" xfId="0" applyNumberFormat="1" applyFont="1"/>
    <xf numFmtId="0" fontId="126" fillId="0" borderId="0" xfId="0" applyFont="1" applyFill="1"/>
    <xf numFmtId="14" fontId="126" fillId="0" borderId="0" xfId="0" applyNumberFormat="1" applyFont="1"/>
    <xf numFmtId="14" fontId="126" fillId="0" borderId="0" xfId="25794" applyNumberFormat="1" applyFont="1"/>
    <xf numFmtId="0" fontId="1" fillId="0" borderId="0" xfId="0" applyFont="1"/>
    <xf numFmtId="0" fontId="1" fillId="0" borderId="0" xfId="0" applyFont="1" applyAlignment="1">
      <alignment horizontal="center"/>
    </xf>
    <xf numFmtId="203" fontId="32" fillId="0" borderId="0" xfId="25295" applyNumberFormat="1" applyFont="1" applyFill="1" applyBorder="1" applyAlignment="1">
      <alignment horizontal="center"/>
    </xf>
    <xf numFmtId="0" fontId="186" fillId="0" borderId="85" xfId="33379" applyFont="1" applyBorder="1" applyAlignment="1">
      <alignment horizontal="center" vertical="top" wrapText="1"/>
    </xf>
    <xf numFmtId="0" fontId="186" fillId="0" borderId="85" xfId="33380" applyFont="1" applyBorder="1" applyAlignment="1">
      <alignment horizontal="center" vertical="top" wrapText="1"/>
    </xf>
    <xf numFmtId="223" fontId="186" fillId="0" borderId="85" xfId="33380" applyNumberFormat="1" applyFont="1" applyBorder="1" applyAlignment="1">
      <alignment horizontal="center" vertical="top" wrapText="1"/>
    </xf>
    <xf numFmtId="0" fontId="33" fillId="0" borderId="0" xfId="33380" applyFont="1" applyAlignment="1">
      <alignment horizontal="center"/>
    </xf>
    <xf numFmtId="0" fontId="33" fillId="0" borderId="85" xfId="33380" applyFont="1" applyBorder="1" applyAlignment="1">
      <alignment horizontal="center" vertical="center"/>
    </xf>
    <xf numFmtId="0" fontId="33" fillId="0" borderId="85" xfId="33380" applyFont="1" applyBorder="1" applyAlignment="1">
      <alignment horizontal="center" vertical="center" wrapText="1"/>
    </xf>
    <xf numFmtId="0" fontId="33" fillId="0" borderId="211" xfId="33380" applyFont="1" applyBorder="1" applyAlignment="1">
      <alignment horizontal="center"/>
    </xf>
    <xf numFmtId="2" fontId="33" fillId="0" borderId="0" xfId="25793" applyNumberFormat="1" applyFont="1" applyAlignment="1">
      <alignment horizontal="center"/>
    </xf>
    <xf numFmtId="224" fontId="33" fillId="0" borderId="0" xfId="33380" applyNumberFormat="1" applyFont="1" applyAlignment="1">
      <alignment horizontal="right"/>
    </xf>
    <xf numFmtId="1" fontId="33" fillId="0" borderId="0" xfId="33380" applyNumberFormat="1" applyFont="1" applyAlignment="1">
      <alignment horizontal="center"/>
    </xf>
    <xf numFmtId="166" fontId="33" fillId="0" borderId="0" xfId="25742" applyNumberFormat="1" applyFont="1" applyAlignment="1">
      <alignment horizontal="center"/>
    </xf>
    <xf numFmtId="166" fontId="33" fillId="0" borderId="0" xfId="33380" applyNumberFormat="1" applyFont="1" applyAlignment="1">
      <alignment horizontal="center"/>
    </xf>
    <xf numFmtId="10" fontId="33" fillId="0" borderId="0" xfId="25793" applyNumberFormat="1" applyFont="1" applyAlignment="1">
      <alignment horizontal="center"/>
    </xf>
    <xf numFmtId="222" fontId="33" fillId="0" borderId="0" xfId="25793" applyNumberFormat="1" applyFont="1" applyAlignment="1">
      <alignment horizontal="center"/>
    </xf>
    <xf numFmtId="0" fontId="189" fillId="95" borderId="0" xfId="33380" applyFont="1" applyFill="1" applyAlignment="1">
      <alignment horizontal="center"/>
    </xf>
    <xf numFmtId="2" fontId="189" fillId="95" borderId="0" xfId="25793" applyNumberFormat="1" applyFont="1" applyFill="1" applyAlignment="1">
      <alignment horizontal="center"/>
    </xf>
    <xf numFmtId="224" fontId="189" fillId="95" borderId="0" xfId="33380" applyNumberFormat="1" applyFont="1" applyFill="1" applyAlignment="1">
      <alignment horizontal="right"/>
    </xf>
    <xf numFmtId="1" fontId="189" fillId="95" borderId="0" xfId="33380" applyNumberFormat="1" applyFont="1" applyFill="1" applyAlignment="1">
      <alignment horizontal="center"/>
    </xf>
    <xf numFmtId="166" fontId="189" fillId="95" borderId="0" xfId="25742" applyNumberFormat="1" applyFont="1" applyFill="1" applyAlignment="1">
      <alignment horizontal="center"/>
    </xf>
    <xf numFmtId="166" fontId="189" fillId="95" borderId="0" xfId="33380" applyNumberFormat="1" applyFont="1" applyFill="1" applyAlignment="1">
      <alignment horizontal="center"/>
    </xf>
    <xf numFmtId="10" fontId="189" fillId="95" borderId="0" xfId="25793" applyNumberFormat="1" applyFont="1" applyFill="1" applyAlignment="1">
      <alignment horizontal="center"/>
    </xf>
    <xf numFmtId="0" fontId="33" fillId="0" borderId="85" xfId="33380" applyFont="1" applyBorder="1" applyAlignment="1">
      <alignment horizontal="center"/>
    </xf>
    <xf numFmtId="2" fontId="33" fillId="0" borderId="85" xfId="25793" applyNumberFormat="1" applyFont="1" applyBorder="1" applyAlignment="1">
      <alignment horizontal="center"/>
    </xf>
    <xf numFmtId="224" fontId="33" fillId="0" borderId="85" xfId="33380" applyNumberFormat="1" applyFont="1" applyBorder="1" applyAlignment="1">
      <alignment horizontal="right"/>
    </xf>
    <xf numFmtId="1" fontId="33" fillId="0" borderId="85" xfId="33380" applyNumberFormat="1" applyFont="1" applyBorder="1" applyAlignment="1">
      <alignment horizontal="center"/>
    </xf>
    <xf numFmtId="166" fontId="33" fillId="0" borderId="85" xfId="25742" applyNumberFormat="1" applyFont="1" applyBorder="1" applyAlignment="1">
      <alignment horizontal="center"/>
    </xf>
    <xf numFmtId="166" fontId="33" fillId="0" borderId="85" xfId="33380" applyNumberFormat="1" applyFont="1" applyBorder="1" applyAlignment="1">
      <alignment horizontal="center"/>
    </xf>
    <xf numFmtId="10" fontId="33" fillId="0" borderId="85" xfId="25793" applyNumberFormat="1" applyFont="1" applyBorder="1" applyAlignment="1">
      <alignment horizontal="center"/>
    </xf>
    <xf numFmtId="0" fontId="33" fillId="0" borderId="49" xfId="33380" applyFont="1" applyBorder="1" applyAlignment="1">
      <alignment horizontal="center" vertical="center"/>
    </xf>
    <xf numFmtId="14" fontId="190" fillId="0" borderId="49" xfId="33380" applyNumberFormat="1" applyFont="1" applyBorder="1" applyAlignment="1">
      <alignment vertical="center"/>
    </xf>
    <xf numFmtId="223" fontId="33" fillId="0" borderId="49" xfId="33380" applyNumberFormat="1" applyFont="1" applyBorder="1" applyAlignment="1">
      <alignment horizontal="center" vertical="center"/>
    </xf>
    <xf numFmtId="202" fontId="26" fillId="0" borderId="49" xfId="25745" applyNumberFormat="1" applyFont="1" applyBorder="1" applyAlignment="1">
      <alignment horizontal="center" vertical="center"/>
    </xf>
    <xf numFmtId="2" fontId="26" fillId="0" borderId="49" xfId="25793" applyNumberFormat="1" applyFont="1" applyBorder="1" applyAlignment="1">
      <alignment horizontal="center" vertical="center"/>
    </xf>
    <xf numFmtId="167" fontId="26" fillId="0" borderId="49" xfId="25793" applyNumberFormat="1" applyFont="1" applyBorder="1" applyAlignment="1">
      <alignment horizontal="center" vertical="center"/>
    </xf>
    <xf numFmtId="0" fontId="33" fillId="0" borderId="0" xfId="33380" applyFont="1"/>
    <xf numFmtId="203" fontId="33" fillId="0" borderId="0" xfId="33380" applyNumberFormat="1" applyFont="1"/>
    <xf numFmtId="0" fontId="26" fillId="0" borderId="0" xfId="33380" applyFont="1"/>
    <xf numFmtId="223" fontId="33" fillId="0" borderId="0" xfId="33380" applyNumberFormat="1" applyFont="1"/>
    <xf numFmtId="223" fontId="191" fillId="0" borderId="0" xfId="33380" applyNumberFormat="1" applyFont="1" applyAlignment="1">
      <alignment vertical="center"/>
    </xf>
    <xf numFmtId="166" fontId="33" fillId="0" borderId="0" xfId="33380" applyNumberFormat="1" applyFont="1"/>
    <xf numFmtId="223" fontId="33" fillId="0" borderId="0" xfId="33380" applyNumberFormat="1" applyFont="1" applyAlignment="1">
      <alignment wrapText="1"/>
    </xf>
    <xf numFmtId="2" fontId="33" fillId="0" borderId="0" xfId="33380" applyNumberFormat="1" applyFont="1" applyAlignment="1">
      <alignment horizontal="center"/>
    </xf>
    <xf numFmtId="14" fontId="33" fillId="0" borderId="0" xfId="33380" applyNumberFormat="1" applyFont="1" applyAlignment="1">
      <alignment horizontal="center"/>
    </xf>
    <xf numFmtId="38" fontId="33" fillId="0" borderId="0" xfId="33380" applyNumberFormat="1" applyFont="1" applyAlignment="1">
      <alignment horizontal="center"/>
    </xf>
    <xf numFmtId="0" fontId="33" fillId="0" borderId="0" xfId="33380" applyFont="1" applyAlignment="1">
      <alignment horizontal="left"/>
    </xf>
    <xf numFmtId="3" fontId="33" fillId="0" borderId="0" xfId="33380" applyNumberFormat="1" applyFont="1"/>
    <xf numFmtId="167" fontId="32" fillId="0" borderId="0" xfId="25793" applyNumberFormat="1" applyFont="1"/>
    <xf numFmtId="0" fontId="32" fillId="0" borderId="85" xfId="25295" applyFont="1" applyFill="1" applyBorder="1"/>
    <xf numFmtId="0" fontId="32" fillId="0" borderId="85" xfId="25295" applyFont="1" applyBorder="1"/>
    <xf numFmtId="10" fontId="139" fillId="0" borderId="0" xfId="25793" applyNumberFormat="1" applyFont="1" applyFill="1"/>
    <xf numFmtId="44" fontId="139" fillId="0" borderId="204" xfId="25745" applyFont="1" applyFill="1" applyBorder="1"/>
    <xf numFmtId="0" fontId="139" fillId="0" borderId="204" xfId="0" applyFont="1" applyFill="1" applyBorder="1"/>
    <xf numFmtId="9" fontId="122" fillId="0" borderId="0" xfId="0" applyNumberFormat="1" applyFont="1"/>
    <xf numFmtId="202" fontId="33" fillId="0" borderId="0" xfId="33380" applyNumberFormat="1" applyFont="1"/>
    <xf numFmtId="0" fontId="1" fillId="0" borderId="204" xfId="0" applyFont="1" applyBorder="1"/>
    <xf numFmtId="14" fontId="126" fillId="0" borderId="0" xfId="0" applyNumberFormat="1" applyFont="1" applyFill="1"/>
    <xf numFmtId="202" fontId="1" fillId="0" borderId="0" xfId="25745" applyNumberFormat="1" applyFont="1"/>
    <xf numFmtId="0" fontId="193" fillId="0" borderId="0" xfId="0" applyFont="1"/>
    <xf numFmtId="202" fontId="1" fillId="0" borderId="0" xfId="0" applyNumberFormat="1" applyFont="1"/>
    <xf numFmtId="166" fontId="122" fillId="0" borderId="0" xfId="25742" applyNumberFormat="1" applyFont="1"/>
    <xf numFmtId="0" fontId="139" fillId="0" borderId="204" xfId="0" applyFont="1" applyFill="1" applyBorder="1" applyAlignment="1">
      <alignment horizontal="center"/>
    </xf>
    <xf numFmtId="0" fontId="143" fillId="87" borderId="0" xfId="0" applyFont="1" applyFill="1" applyAlignment="1">
      <alignment horizontal="center"/>
    </xf>
    <xf numFmtId="0" fontId="122" fillId="0" borderId="204" xfId="0" applyFont="1" applyBorder="1" applyAlignment="1">
      <alignment horizontal="center"/>
    </xf>
    <xf numFmtId="44" fontId="126" fillId="0" borderId="0" xfId="0" applyNumberFormat="1" applyFont="1" applyFill="1"/>
    <xf numFmtId="203" fontId="122" fillId="0" borderId="0" xfId="25793" applyNumberFormat="1" applyFont="1" applyFill="1"/>
    <xf numFmtId="166" fontId="122" fillId="0" borderId="0" xfId="0" applyNumberFormat="1" applyFont="1"/>
    <xf numFmtId="202" fontId="1" fillId="0" borderId="204" xfId="0" applyNumberFormat="1" applyFont="1" applyBorder="1"/>
    <xf numFmtId="0" fontId="32" fillId="0" borderId="34" xfId="25455" applyFont="1" applyFill="1" applyBorder="1" applyAlignment="1">
      <alignment horizontal="center"/>
    </xf>
    <xf numFmtId="49" fontId="32" fillId="0" borderId="206" xfId="25455" applyNumberFormat="1" applyFont="1" applyFill="1" applyBorder="1" applyAlignment="1">
      <alignment horizontal="center"/>
    </xf>
    <xf numFmtId="0" fontId="32" fillId="0" borderId="204" xfId="25455" applyFont="1" applyFill="1" applyBorder="1"/>
    <xf numFmtId="5" fontId="121" fillId="0" borderId="212" xfId="25457" applyNumberFormat="1" applyFont="1" applyFill="1" applyBorder="1">
      <alignment horizontal="right"/>
    </xf>
    <xf numFmtId="166" fontId="32" fillId="0" borderId="145" xfId="25456" applyNumberFormat="1" applyFont="1" applyFill="1" applyBorder="1"/>
    <xf numFmtId="37" fontId="32" fillId="0" borderId="145" xfId="25456" applyNumberFormat="1" applyFont="1" applyFill="1" applyBorder="1"/>
    <xf numFmtId="0" fontId="32" fillId="0" borderId="206" xfId="25455" applyFont="1" applyFill="1" applyBorder="1" applyAlignment="1">
      <alignment horizontal="center"/>
    </xf>
    <xf numFmtId="0" fontId="16" fillId="0" borderId="0" xfId="0" applyFont="1" applyFill="1" applyAlignment="1">
      <alignment horizontal="right"/>
    </xf>
    <xf numFmtId="0" fontId="16" fillId="0" borderId="0" xfId="0" applyFont="1" applyFill="1" applyAlignment="1">
      <alignment horizontal="right" wrapText="1"/>
    </xf>
    <xf numFmtId="0" fontId="0" fillId="0" borderId="0" xfId="0" applyAlignment="1">
      <alignment horizontal="center"/>
    </xf>
    <xf numFmtId="14" fontId="32" fillId="0" borderId="0" xfId="0" applyNumberFormat="1" applyFont="1" applyFill="1"/>
    <xf numFmtId="39" fontId="126" fillId="0" borderId="0" xfId="0" applyNumberFormat="1" applyFont="1" applyFill="1"/>
    <xf numFmtId="39" fontId="32" fillId="0" borderId="0" xfId="25742" applyNumberFormat="1" applyFont="1" applyFill="1" applyBorder="1"/>
    <xf numFmtId="10" fontId="145" fillId="98" borderId="0" xfId="25292" applyNumberFormat="1" applyFont="1" applyFill="1" applyBorder="1" applyAlignment="1">
      <alignment horizontal="center"/>
    </xf>
    <xf numFmtId="4" fontId="121" fillId="0" borderId="0" xfId="25295" quotePrefix="1" applyNumberFormat="1" applyFont="1" applyFill="1" applyBorder="1" applyAlignment="1"/>
    <xf numFmtId="40" fontId="121" fillId="0" borderId="0" xfId="25295" quotePrefix="1" applyNumberFormat="1" applyFont="1" applyFill="1" applyBorder="1" applyAlignment="1"/>
    <xf numFmtId="0" fontId="1" fillId="0" borderId="0" xfId="0" applyFont="1" applyAlignment="1">
      <alignment horizontal="right"/>
    </xf>
    <xf numFmtId="0" fontId="163" fillId="0" borderId="204" xfId="0" applyFont="1" applyBorder="1" applyAlignment="1">
      <alignment horizontal="center" wrapText="1"/>
    </xf>
    <xf numFmtId="0" fontId="16" fillId="0" borderId="202" xfId="0" applyFont="1" applyBorder="1"/>
    <xf numFmtId="0" fontId="1" fillId="0" borderId="204" xfId="0" applyFont="1" applyBorder="1" applyAlignment="1">
      <alignment horizontal="center"/>
    </xf>
    <xf numFmtId="0" fontId="1" fillId="0" borderId="0" xfId="0" applyFont="1" applyAlignment="1">
      <alignment horizontal="left" indent="1"/>
    </xf>
    <xf numFmtId="14" fontId="1" fillId="0" borderId="0" xfId="0" applyNumberFormat="1" applyFont="1" applyAlignment="1">
      <alignment horizontal="right"/>
    </xf>
    <xf numFmtId="0" fontId="1" fillId="0" borderId="204" xfId="0" applyFont="1" applyBorder="1" applyAlignment="1">
      <alignment horizontal="left" indent="1"/>
    </xf>
    <xf numFmtId="14" fontId="1" fillId="0" borderId="204" xfId="0" applyNumberFormat="1" applyFont="1" applyBorder="1" applyAlignment="1">
      <alignment horizontal="right"/>
    </xf>
    <xf numFmtId="202" fontId="1" fillId="0" borderId="204" xfId="25745" applyNumberFormat="1" applyFont="1" applyBorder="1"/>
    <xf numFmtId="202" fontId="16" fillId="0" borderId="202" xfId="25745" applyNumberFormat="1" applyFont="1" applyBorder="1"/>
    <xf numFmtId="10" fontId="122" fillId="0" borderId="0" xfId="25793" applyNumberFormat="1" applyFont="1"/>
    <xf numFmtId="10" fontId="126" fillId="0" borderId="0" xfId="25793" applyNumberFormat="1" applyFont="1"/>
    <xf numFmtId="10" fontId="122" fillId="0" borderId="0" xfId="0" applyNumberFormat="1" applyFont="1"/>
    <xf numFmtId="0" fontId="126" fillId="0" borderId="0" xfId="0" applyFont="1"/>
    <xf numFmtId="9" fontId="32" fillId="0" borderId="11" xfId="25455" applyNumberFormat="1" applyFont="1" applyFill="1" applyBorder="1" applyAlignment="1">
      <alignment horizontal="center"/>
    </xf>
    <xf numFmtId="9" fontId="32" fillId="0" borderId="11" xfId="25793" applyFont="1" applyFill="1" applyBorder="1" applyAlignment="1">
      <alignment horizontal="center"/>
    </xf>
    <xf numFmtId="166" fontId="32" fillId="0" borderId="16" xfId="25457" applyNumberFormat="1" applyFont="1" applyFill="1" applyBorder="1">
      <alignment horizontal="right"/>
    </xf>
    <xf numFmtId="43" fontId="126" fillId="0" borderId="0" xfId="0" applyNumberFormat="1" applyFont="1"/>
    <xf numFmtId="0" fontId="163" fillId="0" borderId="204" xfId="0" applyFont="1" applyBorder="1" applyAlignment="1">
      <alignment horizontal="center" wrapText="1"/>
    </xf>
    <xf numFmtId="0" fontId="0" fillId="0" borderId="0" xfId="0" applyFont="1" applyAlignment="1">
      <alignment horizontal="left" indent="1"/>
    </xf>
    <xf numFmtId="202" fontId="0" fillId="0" borderId="0" xfId="0" applyNumberFormat="1"/>
    <xf numFmtId="0" fontId="0" fillId="0" borderId="204" xfId="0" applyBorder="1"/>
    <xf numFmtId="0" fontId="16" fillId="0" borderId="80" xfId="0" applyFont="1" applyBorder="1"/>
    <xf numFmtId="202" fontId="16" fillId="0" borderId="80" xfId="0" applyNumberFormat="1" applyFont="1" applyBorder="1"/>
    <xf numFmtId="202" fontId="163" fillId="0" borderId="0" xfId="0" applyNumberFormat="1" applyFont="1"/>
    <xf numFmtId="10" fontId="0" fillId="0" borderId="204" xfId="0" applyNumberFormat="1" applyBorder="1"/>
    <xf numFmtId="0" fontId="1" fillId="0" borderId="0" xfId="0" applyFont="1" applyAlignment="1">
      <alignment horizontal="left"/>
    </xf>
    <xf numFmtId="0" fontId="163" fillId="0" borderId="204" xfId="0" applyFont="1" applyBorder="1" applyAlignment="1">
      <alignment horizontal="center" wrapText="1"/>
    </xf>
    <xf numFmtId="0" fontId="144" fillId="0" borderId="0" xfId="27280" applyFont="1" applyAlignment="1">
      <alignment horizontal="center"/>
    </xf>
    <xf numFmtId="0" fontId="144" fillId="0" borderId="0" xfId="27280" applyFont="1"/>
    <xf numFmtId="39" fontId="1" fillId="0" borderId="0" xfId="0" applyNumberFormat="1" applyFont="1" applyFill="1"/>
    <xf numFmtId="44" fontId="1" fillId="101" borderId="0" xfId="0" applyNumberFormat="1" applyFont="1" applyFill="1"/>
    <xf numFmtId="14" fontId="1" fillId="0" borderId="0" xfId="0" applyNumberFormat="1" applyFont="1"/>
    <xf numFmtId="44" fontId="1" fillId="0" borderId="0" xfId="25745" applyFont="1"/>
    <xf numFmtId="4" fontId="1" fillId="0" borderId="0" xfId="0" applyNumberFormat="1" applyFont="1"/>
    <xf numFmtId="14" fontId="14" fillId="0" borderId="0" xfId="0" applyNumberFormat="1" applyFont="1"/>
    <xf numFmtId="0" fontId="1" fillId="0" borderId="0" xfId="0" applyFont="1" applyAlignment="1">
      <alignment horizontal="center" vertical="center"/>
    </xf>
    <xf numFmtId="0" fontId="1" fillId="101" borderId="0" xfId="0" applyFont="1" applyFill="1"/>
    <xf numFmtId="44" fontId="1" fillId="0" borderId="0" xfId="0" applyNumberFormat="1" applyFont="1" applyAlignment="1">
      <alignment horizontal="center" vertical="center"/>
    </xf>
    <xf numFmtId="0" fontId="1" fillId="0" borderId="0" xfId="0" applyFont="1" applyAlignment="1">
      <alignment horizontal="left" vertical="center"/>
    </xf>
    <xf numFmtId="9" fontId="121" fillId="0" borderId="0" xfId="25793" applyFont="1" applyFill="1" applyBorder="1"/>
    <xf numFmtId="10" fontId="0" fillId="0" borderId="0" xfId="25793" applyNumberFormat="1" applyFont="1"/>
    <xf numFmtId="44" fontId="1" fillId="0" borderId="0" xfId="25745" applyFont="1" applyAlignment="1">
      <alignment horizontal="center" vertical="center"/>
    </xf>
    <xf numFmtId="0" fontId="1" fillId="0" borderId="204" xfId="0" applyFont="1" applyBorder="1" applyAlignment="1">
      <alignment horizontal="left"/>
    </xf>
    <xf numFmtId="14" fontId="1" fillId="0" borderId="204" xfId="0" applyNumberFormat="1" applyFont="1" applyBorder="1"/>
    <xf numFmtId="44" fontId="1" fillId="0" borderId="204" xfId="25745" applyFont="1" applyBorder="1"/>
    <xf numFmtId="0" fontId="1" fillId="0" borderId="211" xfId="0" applyFont="1" applyBorder="1" applyAlignment="1">
      <alignment horizontal="left"/>
    </xf>
    <xf numFmtId="14" fontId="1" fillId="0" borderId="211" xfId="0" applyNumberFormat="1" applyFont="1" applyBorder="1"/>
    <xf numFmtId="14" fontId="1" fillId="0" borderId="211" xfId="0" applyNumberFormat="1" applyFont="1" applyBorder="1" applyAlignment="1">
      <alignment horizontal="right"/>
    </xf>
    <xf numFmtId="44" fontId="1" fillId="0" borderId="211" xfId="25745" applyFont="1" applyBorder="1"/>
    <xf numFmtId="0" fontId="1" fillId="0" borderId="211" xfId="0" applyFont="1" applyBorder="1"/>
    <xf numFmtId="0" fontId="1" fillId="0" borderId="80" xfId="0" applyFont="1" applyBorder="1" applyAlignment="1">
      <alignment horizontal="left" vertical="center"/>
    </xf>
    <xf numFmtId="0" fontId="1" fillId="0" borderId="80" xfId="0" applyFont="1" applyBorder="1" applyAlignment="1">
      <alignment horizontal="center" vertical="center"/>
    </xf>
    <xf numFmtId="44" fontId="1" fillId="0" borderId="80" xfId="25745" applyFont="1" applyBorder="1" applyAlignment="1">
      <alignment horizontal="center" vertical="center"/>
    </xf>
    <xf numFmtId="202" fontId="0" fillId="0" borderId="204" xfId="0" applyNumberFormat="1" applyBorder="1"/>
    <xf numFmtId="0" fontId="0" fillId="0" borderId="211" xfId="0" applyFont="1" applyBorder="1"/>
    <xf numFmtId="202" fontId="0" fillId="0" borderId="211" xfId="0" applyNumberFormat="1" applyFont="1" applyBorder="1"/>
    <xf numFmtId="0" fontId="1" fillId="0" borderId="0" xfId="0" applyFont="1" applyAlignment="1">
      <alignment horizontal="left"/>
    </xf>
    <xf numFmtId="0" fontId="163" fillId="0" borderId="204" xfId="0" applyFont="1" applyBorder="1" applyAlignment="1">
      <alignment horizontal="center" wrapText="1"/>
    </xf>
    <xf numFmtId="44" fontId="1" fillId="0" borderId="0" xfId="25745" applyFont="1" applyBorder="1" applyAlignment="1">
      <alignment horizontal="center" vertical="center"/>
    </xf>
    <xf numFmtId="0" fontId="0" fillId="0" borderId="204" xfId="0" applyFill="1" applyBorder="1" applyAlignment="1">
      <alignment horizontal="center"/>
    </xf>
    <xf numFmtId="0" fontId="14" fillId="107" borderId="0" xfId="0" applyFont="1" applyFill="1" applyAlignment="1">
      <alignment horizontal="center"/>
    </xf>
    <xf numFmtId="8" fontId="32" fillId="0" borderId="56" xfId="0" applyNumberFormat="1" applyFont="1" applyFill="1" applyBorder="1"/>
    <xf numFmtId="0" fontId="121" fillId="0" borderId="55" xfId="25455" applyFont="1" applyFill="1" applyBorder="1" applyAlignment="1">
      <alignment horizontal="left" vertical="top" wrapText="1"/>
    </xf>
    <xf numFmtId="38" fontId="32" fillId="0" borderId="0" xfId="25455" applyNumberFormat="1" applyFont="1" applyFill="1" applyBorder="1"/>
    <xf numFmtId="0" fontId="0" fillId="0" borderId="213" xfId="0" applyBorder="1"/>
    <xf numFmtId="0" fontId="0" fillId="0" borderId="33" xfId="0" applyBorder="1"/>
    <xf numFmtId="0" fontId="0" fillId="0" borderId="34" xfId="0" applyBorder="1" applyAlignment="1">
      <alignment horizontal="center"/>
    </xf>
    <xf numFmtId="0" fontId="144" fillId="0" borderId="214" xfId="0" applyFont="1" applyBorder="1"/>
    <xf numFmtId="0" fontId="146" fillId="0" borderId="214" xfId="0" applyFont="1" applyBorder="1" applyAlignment="1">
      <alignment horizontal="left" vertical="center"/>
    </xf>
    <xf numFmtId="0" fontId="0" fillId="0" borderId="11" xfId="0" applyBorder="1" applyAlignment="1">
      <alignment horizontal="center"/>
    </xf>
    <xf numFmtId="0" fontId="0" fillId="0" borderId="210" xfId="0" applyBorder="1"/>
    <xf numFmtId="0" fontId="0" fillId="0" borderId="206" xfId="0" applyBorder="1" applyAlignment="1">
      <alignment horizontal="center"/>
    </xf>
    <xf numFmtId="0" fontId="1" fillId="0" borderId="0" xfId="0" applyFont="1"/>
    <xf numFmtId="14" fontId="1" fillId="0" borderId="0" xfId="0" applyNumberFormat="1" applyFont="1"/>
    <xf numFmtId="44" fontId="1" fillId="0" borderId="0" xfId="0" applyNumberFormat="1" applyFont="1"/>
    <xf numFmtId="0" fontId="1" fillId="0" borderId="0" xfId="0" applyFont="1" applyAlignment="1">
      <alignment horizontal="left" vertical="center"/>
    </xf>
    <xf numFmtId="44" fontId="1" fillId="0" borderId="0" xfId="25745" applyFill="1"/>
    <xf numFmtId="44" fontId="1" fillId="0" borderId="204" xfId="25745" applyFill="1" applyBorder="1"/>
    <xf numFmtId="44" fontId="1" fillId="0" borderId="211" xfId="25745" applyFill="1" applyBorder="1"/>
    <xf numFmtId="44" fontId="122" fillId="0" borderId="0" xfId="25745" applyFont="1" applyFill="1"/>
    <xf numFmtId="202" fontId="122" fillId="0" borderId="0" xfId="25745" applyNumberFormat="1" applyFont="1"/>
    <xf numFmtId="210" fontId="0" fillId="0" borderId="0" xfId="25745" applyNumberFormat="1" applyFont="1" applyFill="1"/>
    <xf numFmtId="5" fontId="121" fillId="92" borderId="16" xfId="25455" applyNumberFormat="1" applyFont="1" applyFill="1" applyBorder="1"/>
    <xf numFmtId="10" fontId="32" fillId="0" borderId="11" xfId="25292" applyNumberFormat="1" applyFont="1" applyBorder="1"/>
    <xf numFmtId="10" fontId="121" fillId="33" borderId="18" xfId="25292" applyNumberFormat="1" applyFont="1" applyFill="1" applyBorder="1"/>
    <xf numFmtId="0" fontId="32" fillId="103" borderId="0" xfId="25455" applyFont="1" applyFill="1"/>
    <xf numFmtId="6" fontId="122" fillId="103" borderId="0" xfId="0" applyNumberFormat="1" applyFont="1" applyFill="1"/>
    <xf numFmtId="6" fontId="32" fillId="103" borderId="0" xfId="25455" applyNumberFormat="1" applyFont="1" applyFill="1" applyBorder="1"/>
    <xf numFmtId="0" fontId="32" fillId="103" borderId="0" xfId="25455" applyFont="1" applyFill="1" applyBorder="1"/>
    <xf numFmtId="2" fontId="32" fillId="103" borderId="0" xfId="25455" applyNumberFormat="1" applyFont="1" applyFill="1" applyBorder="1"/>
    <xf numFmtId="37" fontId="32" fillId="103" borderId="0" xfId="25455" applyNumberFormat="1" applyFont="1" applyFill="1" applyBorder="1"/>
    <xf numFmtId="0" fontId="121" fillId="0" borderId="0" xfId="27280" applyFont="1"/>
    <xf numFmtId="202" fontId="1" fillId="103" borderId="0" xfId="25745" applyNumberFormat="1" applyFont="1" applyFill="1"/>
    <xf numFmtId="44" fontId="0" fillId="96" borderId="0" xfId="0" applyNumberFormat="1" applyFill="1"/>
    <xf numFmtId="0" fontId="0" fillId="96" borderId="0" xfId="0" applyFill="1"/>
    <xf numFmtId="0" fontId="121" fillId="91" borderId="85" xfId="25455" applyFont="1" applyFill="1" applyBorder="1"/>
    <xf numFmtId="0" fontId="32" fillId="91" borderId="0" xfId="25455" applyFont="1" applyFill="1"/>
    <xf numFmtId="0" fontId="122" fillId="91" borderId="0" xfId="0" applyFont="1" applyFill="1"/>
    <xf numFmtId="0" fontId="32" fillId="91" borderId="85" xfId="25455" applyFont="1" applyFill="1" applyBorder="1"/>
    <xf numFmtId="3" fontId="0" fillId="0" borderId="0" xfId="0" applyNumberFormat="1" applyFill="1" applyBorder="1" applyAlignment="1">
      <alignment horizontal="center" wrapText="1"/>
    </xf>
    <xf numFmtId="0" fontId="0" fillId="92" borderId="0" xfId="0" applyFill="1" applyAlignment="1">
      <alignment horizontal="right"/>
    </xf>
    <xf numFmtId="0" fontId="0" fillId="92" borderId="0" xfId="0" applyFill="1"/>
    <xf numFmtId="44" fontId="0" fillId="92" borderId="0" xfId="25745" applyFont="1" applyFill="1"/>
    <xf numFmtId="44" fontId="0" fillId="92" borderId="80" xfId="0" applyNumberFormat="1" applyFill="1" applyBorder="1"/>
    <xf numFmtId="44" fontId="0" fillId="92" borderId="0" xfId="0" applyNumberFormat="1" applyFill="1"/>
    <xf numFmtId="166" fontId="0" fillId="107" borderId="0" xfId="0" applyNumberFormat="1" applyFill="1"/>
    <xf numFmtId="202" fontId="0" fillId="107" borderId="0" xfId="0" applyNumberFormat="1" applyFill="1"/>
    <xf numFmtId="188" fontId="122" fillId="0" borderId="0" xfId="0" applyNumberFormat="1" applyFont="1"/>
    <xf numFmtId="0" fontId="16" fillId="0" borderId="0" xfId="0" applyFont="1" applyAlignment="1">
      <alignment horizontal="right"/>
    </xf>
    <xf numFmtId="190" fontId="0" fillId="0" borderId="0" xfId="0" applyNumberFormat="1"/>
    <xf numFmtId="0" fontId="194" fillId="106" borderId="0" xfId="25455" applyFont="1" applyFill="1" applyBorder="1" applyAlignment="1">
      <alignment horizontal="center" wrapText="1"/>
    </xf>
    <xf numFmtId="185" fontId="122" fillId="0" borderId="0" xfId="0" applyNumberFormat="1" applyFont="1"/>
    <xf numFmtId="166" fontId="16" fillId="92" borderId="0" xfId="25742" applyNumberFormat="1" applyFont="1" applyFill="1"/>
    <xf numFmtId="166" fontId="0" fillId="92" borderId="0" xfId="0" applyNumberFormat="1" applyFill="1"/>
    <xf numFmtId="202" fontId="0" fillId="92" borderId="0" xfId="0" applyNumberFormat="1" applyFill="1"/>
    <xf numFmtId="0" fontId="0" fillId="0" borderId="0" xfId="0" applyAlignment="1">
      <alignment horizontal="left"/>
    </xf>
    <xf numFmtId="0" fontId="16" fillId="92" borderId="0" xfId="0" applyFont="1" applyFill="1" applyAlignment="1">
      <alignment horizontal="left"/>
    </xf>
    <xf numFmtId="0" fontId="0" fillId="0" borderId="0" xfId="0" applyAlignment="1">
      <alignment wrapText="1"/>
    </xf>
    <xf numFmtId="166" fontId="139" fillId="108" borderId="0" xfId="25742" applyNumberFormat="1" applyFont="1" applyFill="1" applyAlignment="1">
      <alignment horizontal="right"/>
    </xf>
    <xf numFmtId="202" fontId="139" fillId="108" borderId="0" xfId="0" applyNumberFormat="1" applyFont="1" applyFill="1" applyAlignment="1">
      <alignment horizontal="right"/>
    </xf>
    <xf numFmtId="215" fontId="0" fillId="108" borderId="0" xfId="0" applyNumberFormat="1" applyFill="1"/>
    <xf numFmtId="190" fontId="0" fillId="108" borderId="0" xfId="0" applyNumberFormat="1" applyFill="1" applyAlignment="1">
      <alignment horizontal="center"/>
    </xf>
    <xf numFmtId="190" fontId="0" fillId="108" borderId="89" xfId="0" applyNumberFormat="1" applyFill="1" applyBorder="1" applyAlignment="1">
      <alignment horizontal="center"/>
    </xf>
    <xf numFmtId="0" fontId="157" fillId="0" borderId="213" xfId="0" applyFont="1" applyBorder="1"/>
    <xf numFmtId="0" fontId="157" fillId="0" borderId="205" xfId="0" applyFont="1" applyBorder="1"/>
    <xf numFmtId="166" fontId="0" fillId="0" borderId="0" xfId="0" applyNumberFormat="1" applyBorder="1"/>
    <xf numFmtId="166" fontId="0" fillId="0" borderId="214" xfId="0" applyNumberFormat="1" applyBorder="1"/>
    <xf numFmtId="166" fontId="0" fillId="0" borderId="11" xfId="0" applyNumberFormat="1" applyBorder="1"/>
    <xf numFmtId="0" fontId="0" fillId="0" borderId="214" xfId="0" applyBorder="1"/>
    <xf numFmtId="166" fontId="0" fillId="0" borderId="11" xfId="25742" applyNumberFormat="1" applyFont="1" applyBorder="1"/>
    <xf numFmtId="0" fontId="0" fillId="0" borderId="11" xfId="0" applyBorder="1"/>
    <xf numFmtId="0" fontId="0" fillId="0" borderId="204" xfId="0" applyBorder="1" applyAlignment="1">
      <alignment horizontal="right"/>
    </xf>
    <xf numFmtId="166" fontId="0" fillId="0" borderId="0" xfId="0" applyNumberFormat="1" applyBorder="1" applyAlignment="1">
      <alignment horizontal="right"/>
    </xf>
    <xf numFmtId="166" fontId="0" fillId="0" borderId="0" xfId="25742" applyNumberFormat="1" applyFont="1" applyBorder="1"/>
    <xf numFmtId="0" fontId="0" fillId="0" borderId="0" xfId="0" applyBorder="1" applyAlignment="1">
      <alignment horizontal="right"/>
    </xf>
    <xf numFmtId="0" fontId="157" fillId="0" borderId="205" xfId="0" applyFont="1" applyFill="1" applyBorder="1"/>
    <xf numFmtId="0" fontId="157" fillId="0" borderId="34" xfId="0" applyFont="1" applyFill="1" applyBorder="1"/>
    <xf numFmtId="203" fontId="0" fillId="0" borderId="204" xfId="25793" applyNumberFormat="1" applyFont="1" applyBorder="1"/>
    <xf numFmtId="203" fontId="0" fillId="0" borderId="206" xfId="25793" applyNumberFormat="1" applyFont="1" applyBorder="1"/>
    <xf numFmtId="3" fontId="0" fillId="108" borderId="184" xfId="0" applyNumberFormat="1" applyFill="1" applyBorder="1"/>
    <xf numFmtId="0" fontId="0" fillId="0" borderId="0" xfId="0" applyAlignment="1">
      <alignment horizontal="center"/>
    </xf>
    <xf numFmtId="0" fontId="165" fillId="0" borderId="0" xfId="0" applyFont="1" applyAlignment="1">
      <alignment horizontal="center" vertical="center" wrapText="1"/>
    </xf>
    <xf numFmtId="0" fontId="139" fillId="0" borderId="150" xfId="0" applyFont="1" applyFill="1" applyBorder="1" applyAlignment="1">
      <alignment horizontal="center"/>
    </xf>
    <xf numFmtId="0" fontId="139" fillId="0" borderId="81" xfId="0" applyFont="1" applyFill="1" applyBorder="1" applyAlignment="1">
      <alignment horizontal="center"/>
    </xf>
    <xf numFmtId="0" fontId="139" fillId="0" borderId="82" xfId="0" applyFont="1" applyFill="1" applyBorder="1" applyAlignment="1">
      <alignment horizontal="center"/>
    </xf>
    <xf numFmtId="0" fontId="139" fillId="0" borderId="150" xfId="0" applyFont="1" applyFill="1" applyBorder="1" applyAlignment="1">
      <alignment horizontal="center" vertical="center"/>
    </xf>
    <xf numFmtId="0" fontId="168" fillId="0" borderId="0" xfId="0" applyFont="1" applyFill="1" applyAlignment="1">
      <alignment horizontal="center"/>
    </xf>
    <xf numFmtId="0" fontId="152" fillId="0" borderId="0" xfId="0" applyFont="1" applyFill="1" applyAlignment="1">
      <alignment horizontal="center"/>
    </xf>
    <xf numFmtId="0" fontId="16" fillId="0" borderId="143" xfId="0" applyFont="1" applyFill="1" applyBorder="1" applyAlignment="1">
      <alignment horizontal="center"/>
    </xf>
    <xf numFmtId="0" fontId="0" fillId="0" borderId="165" xfId="0" applyFill="1" applyBorder="1" applyAlignment="1">
      <alignment horizontal="center"/>
    </xf>
    <xf numFmtId="0" fontId="0" fillId="0" borderId="133" xfId="0" applyFill="1" applyBorder="1" applyAlignment="1">
      <alignment horizontal="center"/>
    </xf>
    <xf numFmtId="0" fontId="16" fillId="0" borderId="132"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71" xfId="0" applyFont="1" applyFill="1" applyBorder="1" applyAlignment="1">
      <alignment horizontal="center"/>
    </xf>
    <xf numFmtId="0" fontId="16" fillId="0" borderId="168" xfId="0" applyFont="1" applyFill="1" applyBorder="1" applyAlignment="1">
      <alignment horizontal="center"/>
    </xf>
    <xf numFmtId="0" fontId="16" fillId="0" borderId="172" xfId="0" applyFont="1" applyFill="1" applyBorder="1" applyAlignment="1">
      <alignment horizontal="center"/>
    </xf>
    <xf numFmtId="0" fontId="16" fillId="0" borderId="88" xfId="0" applyFont="1" applyFill="1" applyBorder="1" applyAlignment="1">
      <alignment horizontal="center"/>
    </xf>
    <xf numFmtId="0" fontId="16" fillId="0" borderId="89" xfId="0" applyFont="1" applyFill="1" applyBorder="1" applyAlignment="1">
      <alignment horizontal="center"/>
    </xf>
    <xf numFmtId="0" fontId="16" fillId="0" borderId="91" xfId="0" applyFont="1" applyFill="1" applyBorder="1" applyAlignment="1">
      <alignment horizontal="center"/>
    </xf>
    <xf numFmtId="0" fontId="16" fillId="0" borderId="92" xfId="0" applyFont="1" applyFill="1" applyBorder="1" applyAlignment="1">
      <alignment horizontal="center"/>
    </xf>
    <xf numFmtId="0" fontId="16" fillId="0" borderId="93" xfId="0" applyFont="1" applyFill="1" applyBorder="1" applyAlignment="1">
      <alignment horizontal="center"/>
    </xf>
    <xf numFmtId="0" fontId="0" fillId="0" borderId="88" xfId="0" applyBorder="1" applyAlignment="1">
      <alignment horizontal="center" wrapText="1"/>
    </xf>
    <xf numFmtId="0" fontId="0" fillId="0" borderId="0" xfId="0" applyAlignment="1">
      <alignment horizontal="center" wrapText="1"/>
    </xf>
    <xf numFmtId="0" fontId="0" fillId="0" borderId="89" xfId="0" applyBorder="1" applyAlignment="1">
      <alignment horizontal="center" wrapText="1"/>
    </xf>
    <xf numFmtId="0" fontId="0" fillId="0" borderId="88" xfId="0" applyFill="1" applyBorder="1" applyAlignment="1">
      <alignment horizontal="center" wrapText="1"/>
    </xf>
    <xf numFmtId="0" fontId="0" fillId="0" borderId="0" xfId="0" applyFill="1" applyAlignment="1">
      <alignment wrapText="1"/>
    </xf>
    <xf numFmtId="0" fontId="0" fillId="0" borderId="89" xfId="0" applyFill="1" applyBorder="1" applyAlignment="1">
      <alignment wrapText="1"/>
    </xf>
    <xf numFmtId="0" fontId="0" fillId="0" borderId="92" xfId="0" applyBorder="1" applyAlignment="1">
      <alignment horizontal="center" wrapText="1"/>
    </xf>
    <xf numFmtId="0" fontId="0" fillId="0" borderId="93" xfId="0" applyBorder="1" applyAlignment="1">
      <alignment horizontal="center" wrapText="1"/>
    </xf>
    <xf numFmtId="0" fontId="0" fillId="0" borderId="91" xfId="0" applyBorder="1" applyAlignment="1">
      <alignment horizontal="center" wrapText="1"/>
    </xf>
    <xf numFmtId="0" fontId="0" fillId="95" borderId="132" xfId="0" applyFill="1" applyBorder="1" applyAlignment="1">
      <alignment horizontal="center"/>
    </xf>
    <xf numFmtId="0" fontId="0" fillId="95" borderId="0" xfId="0" applyFill="1" applyAlignment="1">
      <alignment horizontal="center"/>
    </xf>
    <xf numFmtId="0" fontId="0" fillId="95" borderId="168" xfId="0" applyFill="1" applyBorder="1" applyAlignment="1">
      <alignment horizontal="center"/>
    </xf>
    <xf numFmtId="0" fontId="0" fillId="0" borderId="92" xfId="0" applyBorder="1" applyAlignment="1">
      <alignment wrapText="1"/>
    </xf>
    <xf numFmtId="0" fontId="0" fillId="0" borderId="93" xfId="0" applyBorder="1" applyAlignment="1">
      <alignment wrapText="1"/>
    </xf>
    <xf numFmtId="0" fontId="0" fillId="0" borderId="88" xfId="0" applyBorder="1" applyAlignment="1">
      <alignment horizontal="center"/>
    </xf>
    <xf numFmtId="166" fontId="144" fillId="0" borderId="0" xfId="0" applyNumberFormat="1" applyFont="1" applyAlignment="1">
      <alignment horizontal="center"/>
    </xf>
    <xf numFmtId="166" fontId="16" fillId="95" borderId="188" xfId="0" applyNumberFormat="1" applyFont="1" applyFill="1" applyBorder="1" applyAlignment="1">
      <alignment horizontal="center"/>
    </xf>
    <xf numFmtId="166" fontId="16" fillId="95" borderId="168" xfId="0" applyNumberFormat="1" applyFont="1" applyFill="1" applyBorder="1" applyAlignment="1">
      <alignment horizontal="center"/>
    </xf>
    <xf numFmtId="166" fontId="16" fillId="95" borderId="81" xfId="0" applyNumberFormat="1" applyFont="1" applyFill="1" applyBorder="1" applyAlignment="1">
      <alignment horizontal="center"/>
    </xf>
    <xf numFmtId="166" fontId="16" fillId="95" borderId="82" xfId="0" applyNumberFormat="1" applyFont="1" applyFill="1" applyBorder="1" applyAlignment="1">
      <alignment horizontal="center"/>
    </xf>
    <xf numFmtId="0" fontId="173" fillId="0" borderId="0" xfId="0" applyFont="1" applyAlignment="1">
      <alignment horizontal="center"/>
    </xf>
    <xf numFmtId="0" fontId="174" fillId="0" borderId="0" xfId="0" applyFont="1" applyAlignment="1">
      <alignment horizontal="center"/>
    </xf>
    <xf numFmtId="0" fontId="175" fillId="0" borderId="49" xfId="0" applyFont="1" applyBorder="1" applyAlignment="1">
      <alignment horizontal="center"/>
    </xf>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1" fillId="88" borderId="0" xfId="24690" applyFont="1" applyFill="1" applyBorder="1" applyAlignment="1">
      <alignment horizontal="center"/>
    </xf>
    <xf numFmtId="0" fontId="122" fillId="0" borderId="0" xfId="0" applyFont="1" applyFill="1" applyBorder="1" applyAlignment="1">
      <alignment horizontal="center"/>
    </xf>
    <xf numFmtId="0" fontId="121" fillId="97" borderId="0" xfId="24690" applyFont="1" applyFill="1" applyBorder="1" applyAlignment="1">
      <alignment horizontal="center"/>
    </xf>
    <xf numFmtId="0" fontId="176" fillId="0" borderId="0" xfId="1" applyFont="1" applyFill="1" applyBorder="1" applyAlignment="1">
      <alignment horizontal="center"/>
    </xf>
    <xf numFmtId="0" fontId="176" fillId="0" borderId="0" xfId="1" quotePrefix="1" applyFont="1" applyFill="1" applyBorder="1" applyAlignment="1">
      <alignment horizontal="center"/>
    </xf>
    <xf numFmtId="0" fontId="144" fillId="0" borderId="0" xfId="1" applyFont="1" applyFill="1" applyBorder="1" applyAlignment="1">
      <alignment horizontal="center"/>
    </xf>
    <xf numFmtId="0" fontId="144" fillId="0" borderId="0" xfId="1" quotePrefix="1" applyFont="1" applyFill="1" applyBorder="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1" fillId="0" borderId="0" xfId="2469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33" borderId="0" xfId="0" applyFont="1" applyFill="1" applyBorder="1" applyAlignment="1">
      <alignment horizontal="right"/>
    </xf>
    <xf numFmtId="0" fontId="122" fillId="33" borderId="89" xfId="0" applyFont="1" applyFill="1" applyBorder="1" applyAlignment="1">
      <alignment horizontal="right"/>
    </xf>
    <xf numFmtId="0" fontId="135" fillId="95" borderId="91" xfId="0" applyFont="1" applyFill="1" applyBorder="1" applyAlignment="1">
      <alignment horizontal="center" vertical="center" wrapText="1"/>
    </xf>
    <xf numFmtId="0" fontId="135" fillId="95" borderId="92" xfId="0" applyFont="1" applyFill="1" applyBorder="1" applyAlignment="1">
      <alignment horizontal="center" vertical="center" wrapText="1"/>
    </xf>
    <xf numFmtId="0" fontId="135" fillId="95" borderId="93" xfId="0" applyFont="1" applyFill="1" applyBorder="1" applyAlignment="1">
      <alignment horizontal="center" vertical="center" wrapText="1"/>
    </xf>
    <xf numFmtId="0" fontId="135" fillId="95" borderId="88" xfId="0" applyFont="1" applyFill="1" applyBorder="1" applyAlignment="1">
      <alignment horizontal="center" vertical="center" wrapText="1"/>
    </xf>
    <xf numFmtId="0" fontId="135" fillId="95" borderId="0" xfId="0" applyFont="1" applyFill="1" applyBorder="1" applyAlignment="1">
      <alignment horizontal="center" vertical="center" wrapText="1"/>
    </xf>
    <xf numFmtId="0" fontId="135" fillId="95"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5" fillId="0" borderId="91" xfId="0" applyFont="1" applyBorder="1" applyAlignment="1">
      <alignment horizontal="center" vertical="center" wrapText="1"/>
    </xf>
    <xf numFmtId="0" fontId="135" fillId="0" borderId="92"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88" xfId="0" applyFont="1" applyBorder="1" applyAlignment="1">
      <alignment horizontal="center" vertical="center" wrapText="1"/>
    </xf>
    <xf numFmtId="0" fontId="135" fillId="0" borderId="0" xfId="0" applyFont="1" applyBorder="1" applyAlignment="1">
      <alignment horizontal="center" vertical="center" wrapText="1"/>
    </xf>
    <xf numFmtId="0" fontId="135" fillId="0" borderId="89" xfId="0" applyFont="1" applyBorder="1" applyAlignment="1">
      <alignment horizontal="center" vertical="center" wrapText="1"/>
    </xf>
    <xf numFmtId="0" fontId="135" fillId="0" borderId="94"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96" borderId="0" xfId="0" applyFont="1" applyFill="1" applyAlignment="1">
      <alignment horizontal="center" wrapText="1"/>
    </xf>
    <xf numFmtId="49" fontId="121" fillId="0" borderId="0" xfId="25293" applyNumberFormat="1" applyFont="1" applyFill="1" applyBorder="1" applyAlignment="1">
      <alignment horizontal="center"/>
    </xf>
    <xf numFmtId="0" fontId="188" fillId="0" borderId="211" xfId="33380" applyFont="1" applyBorder="1" applyAlignment="1">
      <alignment horizontal="left" vertic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45" fillId="0" borderId="0" xfId="0" applyFont="1" applyBorder="1" applyAlignment="1">
      <alignment horizontal="left"/>
    </xf>
    <xf numFmtId="0" fontId="124" fillId="0" borderId="0" xfId="0" applyFont="1" applyAlignment="1">
      <alignment horizontal="center"/>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1" fillId="0" borderId="0" xfId="27280" applyFont="1" applyAlignment="1">
      <alignment horizontal="center"/>
    </xf>
    <xf numFmtId="0" fontId="57" fillId="0" borderId="0" xfId="0" applyFont="1" applyFill="1" applyAlignment="1">
      <alignment horizontal="left" wrapText="1"/>
    </xf>
    <xf numFmtId="0" fontId="144" fillId="0" borderId="207" xfId="0" applyFont="1" applyBorder="1" applyAlignment="1">
      <alignment horizontal="center"/>
    </xf>
    <xf numFmtId="0" fontId="144" fillId="0" borderId="150" xfId="0" applyFont="1" applyBorder="1" applyAlignment="1">
      <alignment horizontal="center"/>
    </xf>
    <xf numFmtId="0" fontId="144" fillId="0" borderId="208" xfId="0" applyFont="1" applyBorder="1" applyAlignment="1">
      <alignment horizontal="center"/>
    </xf>
    <xf numFmtId="184" fontId="14" fillId="108" borderId="0" xfId="0" applyNumberFormat="1" applyFont="1" applyFill="1"/>
    <xf numFmtId="3" fontId="139" fillId="0" borderId="15" xfId="0" applyNumberFormat="1" applyFont="1" applyFill="1" applyBorder="1" applyAlignment="1">
      <alignment horizontal="center" wrapText="1"/>
    </xf>
    <xf numFmtId="3" fontId="139" fillId="0" borderId="0" xfId="0" applyNumberFormat="1" applyFont="1" applyFill="1" applyBorder="1" applyAlignment="1">
      <alignment horizontal="center" wrapText="1"/>
    </xf>
    <xf numFmtId="184" fontId="139" fillId="0" borderId="0" xfId="0" applyNumberFormat="1" applyFont="1" applyFill="1"/>
  </cellXfs>
  <cellStyles count="33385">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10 3" xfId="33367" xr:uid="{94954D1F-B1BA-45C9-BDE9-97085BE6F68F}"/>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 6" xfId="33377" xr:uid="{ED3A4CCF-880C-4F9A-B9EB-D92C6C4825A3}"/>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67" xfId="33382" xr:uid="{2ECDA545-2A84-42FE-AE64-67E97BAAF282}"/>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19" xfId="33383" xr:uid="{36F625AB-CF89-4A43-BFEC-E2AE82AD9AE4}"/>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55" xfId="33364" xr:uid="{BBC7429A-2A77-4406-B6F2-60EFC8DDD392}"/>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74" xfId="33357" xr:uid="{E273C200-7811-44AF-A620-2293EC0FF2E7}"/>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74" xfId="33359" xr:uid="{E1B7260C-D08E-44E9-9AED-388897F7F3B4}"/>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73" xfId="33360" xr:uid="{8E858AB4-509D-4212-857D-BE7289B4A4E6}"/>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Hyperlink 5" xfId="33358" xr:uid="{4890475D-DAAD-4B59-ACD7-CBDDB3FEF2DB}"/>
    <cellStyle name="Hyperlink 6" xfId="33366" xr:uid="{AE549A7D-FC96-4DE0-A8BC-C13C7B1FA584}"/>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ame" xfId="33362" xr:uid="{744636E4-6EF7-4B22-B1B1-E6AF7504D087}"/>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2 4" xfId="33365" xr:uid="{B5ACB6D4-F25B-4919-B5F9-530F29439C4A}"/>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11" xfId="33369" xr:uid="{8A262B1E-3B57-424C-855C-9C3F1D40EBAC}"/>
    <cellStyle name="Normal 112" xfId="33381" xr:uid="{4A94EEC0-1CB0-45B0-A8C5-E1E7336AFA48}"/>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2 2" xfId="33380" xr:uid="{1F50887F-3466-4D11-84DF-71B476864AE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10" xfId="33379" xr:uid="{7AF394B2-2A91-4094-9D12-BB595E5FDD28}"/>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10" xfId="33368" xr:uid="{35C486FB-E6D0-4D75-8515-30F4BA5B5647}"/>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RD2001" xfId="33354" xr:uid="{B79C8DB9-2993-4247-9CA2-D28350A35F52}"/>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56" xfId="33384" xr:uid="{F3D10FFD-904D-4367-BA74-C69DECCFD03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Project Start" xfId="33361" xr:uid="{2D22D0E9-5F9A-4E46-A0E9-5778482523FF}"/>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 xfId="33373" xr:uid="{3C5FB271-747A-4FA4-92B1-FB8F0818A272}"/>
    <cellStyle name="Report Bar" xfId="33374" xr:uid="{03763989-2A7E-44D5-AA6B-68FCC542FCB2}"/>
    <cellStyle name="Report Heading" xfId="33372" xr:uid="{0DDF0DB9-3C3A-4352-91CA-DF976F9EA82D}"/>
    <cellStyle name="Report Unit Cost" xfId="33378" xr:uid="{77B97DFB-24F9-4A05-A9D3-181EFEE03660}"/>
    <cellStyle name="Reports Total" xfId="33375" xr:uid="{E7B81530-84E9-40B7-9425-6E3FFA19FF2B}"/>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ask" xfId="33363" xr:uid="{CF4CC4C5-36A4-4158-8DF8-881AA65D0458}"/>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 7" xfId="33355" xr:uid="{616265CE-236B-4993-AD14-9335B909A29D}"/>
    <cellStyle name="Title: Major" xfId="33370" xr:uid="{3C80E7E4-7BD7-4167-B94B-61CA28190657}"/>
    <cellStyle name="Title: Minor" xfId="33371" xr:uid="{0BD1BAFA-EC48-4B6B-8350-3CAFF28C6C4F}"/>
    <cellStyle name="Title: Worksheet" xfId="33376" xr:uid="{8940911B-F0DB-4E24-8126-735D12FE7C5F}"/>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 name="zHiddenText" xfId="33356" xr:uid="{E2621430-6FD2-41C0-9786-745230CA986A}"/>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theme" Target="theme/theme1.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5</xdr:row>
      <xdr:rowOff>121920</xdr:rowOff>
    </xdr:from>
    <xdr:to>
      <xdr:col>10</xdr:col>
      <xdr:colOff>222885</xdr:colOff>
      <xdr:row>22</xdr:row>
      <xdr:rowOff>176186</xdr:rowOff>
    </xdr:to>
    <xdr:pic>
      <xdr:nvPicPr>
        <xdr:cNvPr id="2" name="Picture 1">
          <a:extLst>
            <a:ext uri="{FF2B5EF4-FFF2-40B4-BE49-F238E27FC236}">
              <a16:creationId xmlns:a16="http://schemas.microsoft.com/office/drawing/2014/main" id="{78DB5EEC-CE60-4F7C-8F38-D200191F6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036320"/>
          <a:ext cx="7690485" cy="3163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137160</xdr:colOff>
      <xdr:row>1</xdr:row>
      <xdr:rowOff>0</xdr:rowOff>
    </xdr:from>
    <xdr:to>
      <xdr:col>4</xdr:col>
      <xdr:colOff>300562</xdr:colOff>
      <xdr:row>22</xdr:row>
      <xdr:rowOff>30816</xdr:rowOff>
    </xdr:to>
    <xdr:pic>
      <xdr:nvPicPr>
        <xdr:cNvPr id="2" name="Picture 1">
          <a:extLst>
            <a:ext uri="{FF2B5EF4-FFF2-40B4-BE49-F238E27FC236}">
              <a16:creationId xmlns:a16="http://schemas.microsoft.com/office/drawing/2014/main" id="{7C611878-9613-4852-BECD-2671A9C8D173}"/>
            </a:ext>
          </a:extLst>
        </xdr:cNvPr>
        <xdr:cNvPicPr>
          <a:picLocks noChangeAspect="1"/>
        </xdr:cNvPicPr>
      </xdr:nvPicPr>
      <xdr:blipFill>
        <a:blip xmlns:r="http://schemas.openxmlformats.org/officeDocument/2006/relationships" r:embed="rId1"/>
        <a:stretch>
          <a:fillRect/>
        </a:stretch>
      </xdr:blipFill>
      <xdr:spPr>
        <a:xfrm>
          <a:off x="693420" y="182880"/>
          <a:ext cx="3859102" cy="3871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RP_FIN\KFO\Regulation%20OR%20GRC%202020\NLK%20Exhibits%20OR%202021\Exhibit%20No%20PAC301%20Wt%20Ave%20Cost%20of%20LTD%20-%20proform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rad/Desktop/avista/3046-9%20-%202018%20GRC/dir/_wps/_fnl/UE-170485%20-%20UG-170486_Exh%20BGM-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cade%20GRC%20Model%20(WA)%20-%20Compliance%20Filing.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GrpRevnu\PUBLIC\%23%202019%20GRC\Attrition%20Change\190529-30-PSE-WP-SEF-4.00E-ELECTRIC-MODEL-19GRC-09-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wrk\22_pse\3022-64%20UE-190529\3022-64%20UE-190529\br\Mullins%20Exh%20BGM-10%20-%20Natural%20Gas%20Rev%20Re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23NEW-PSE-WP-SEF-4.00G-GAS-MODEL-19GRC-06-2019%20-%20Cop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hristopher.mickelso/Desktop/Cascade%20GRC%20Model%20(OR).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pt/Rates/WEATHER%20DATA/Weather%20Normalization/2016/WA%2065%20HDD%20NOAA/2016-12%20WA%20Weather%20Normalization%2065%20HDD%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Module1"/>
      <sheetName val="Module2"/>
      <sheetName val="Module3"/>
      <sheetName val="Module4"/>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3 2"/>
      <sheetName val="Exh. No. BGM-3 3"/>
      <sheetName val="Exh. No. BGM-3 4"/>
      <sheetName val="Acerno_Cache_XXXXX"/>
      <sheetName val="Workpapers-&gt;"/>
      <sheetName val="ADJ SUMMARY"/>
      <sheetName val="LEAD SHEETS-DO NOT ENTER"/>
      <sheetName val="ROO INPUT"/>
      <sheetName val="DEBT CALC"/>
      <sheetName val="COMPARISON"/>
      <sheetName val="PROPOSED RATES-2018-NOT USED"/>
      <sheetName val="RETAIL REVENUE CREDIT-not used"/>
      <sheetName val="PROPOSED RATES-2019-not used"/>
    </sheetNames>
    <sheetDataSet>
      <sheetData sheetId="0">
        <row r="24">
          <cell r="E24">
            <v>196.52699999999999</v>
          </cell>
        </row>
      </sheetData>
      <sheetData sheetId="1">
        <row r="24">
          <cell r="E24">
            <v>0.61941299999999999</v>
          </cell>
        </row>
      </sheetData>
      <sheetData sheetId="2">
        <row r="7">
          <cell r="F7" t="str">
            <v xml:space="preserve">Deferred </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5 Summary"/>
      <sheetName val="Rebuttal Summary"/>
      <sheetName val="Exhibit List"/>
      <sheetName val="Settlement"/>
      <sheetName val="Worst Case"/>
      <sheetName val="Notes"/>
      <sheetName val="Cover"/>
      <sheetName val="TOC"/>
      <sheetName val="Title"/>
      <sheetName val="Summary of Request"/>
      <sheetName val="Summary Bill Impacts"/>
      <sheetName val="Schedule"/>
      <sheetName val="Proof ---&gt;"/>
      <sheetName val="Exh 2, Proof of Revenue"/>
      <sheetName val="Exh 3, Revenue Adjustments"/>
      <sheetName val="Exh 4, Revenue Distribution"/>
      <sheetName val="Exh 5, Decoupling"/>
      <sheetName val="Proof WPs ---&gt;"/>
      <sheetName val="1501 Summary"/>
      <sheetName val="Revenue Reconcilliation"/>
      <sheetName val="End of Period Calculations"/>
      <sheetName val="Allocation Report Summary 2019"/>
      <sheetName val="Weather Normalization"/>
      <sheetName val="WACAP 2019"/>
      <sheetName val="2020 New Customers"/>
      <sheetName val="Billing Correction"/>
      <sheetName val="Rev Req ---&gt;"/>
      <sheetName val="Exh 6, ROO Summary"/>
      <sheetName val="Exh 7, Rev Req Calc"/>
      <sheetName val="Exh 8, Conversion Factor"/>
      <sheetName val="Exh 9, Summary of Adj"/>
      <sheetName val="Exh 10, Plant Additions"/>
      <sheetName val="Exh 11, Supporting Explanations"/>
      <sheetName val="Commission Exh"/>
      <sheetName val="RR WPs ---&gt;"/>
      <sheetName val="Plant Summary"/>
      <sheetName val="Exhibit PCD-4"/>
      <sheetName val="R&amp;R Adjustment"/>
      <sheetName val="AWEC R&amp;R Adjustment"/>
      <sheetName val="Operating Report"/>
      <sheetName val="Rate Base"/>
      <sheetName val="Plant in Serv &amp; Accum Depr"/>
      <sheetName val="Adv for Const. &amp; Def Tax"/>
      <sheetName val="Capital Structure Calculation"/>
      <sheetName val="Long-Term Debt"/>
      <sheetName val="State Allocation Formulas"/>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 val="Cost of Service ---&gt;"/>
      <sheetName val="Cover (2)"/>
      <sheetName val="Exh 12, A - RR Cross-reference "/>
      <sheetName val="Exh 13, B - COS results"/>
      <sheetName val="Exh 14,C-COS allocation factors"/>
      <sheetName val="Exh 15,D-Summary of adjustments"/>
      <sheetName val="Exh 16, E-Summary of results"/>
      <sheetName val="COS WPs ---&gt;"/>
      <sheetName val="Input"/>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Total"/>
      <sheetName val="Quick List"/>
      <sheetName val="Factors"/>
      <sheetName val="Open"/>
      <sheetName val="Registry"/>
      <sheetName val="RJA-2"/>
      <sheetName val="RJA-3"/>
      <sheetName val="Unit Cost"/>
      <sheetName val="Verify"/>
      <sheetName val="Rate Design ---&gt;"/>
      <sheetName val="Exh 17, Class Revenue"/>
      <sheetName val="Exh 18, Class Rates"/>
      <sheetName val="Exh 19, RES Monthly Impact"/>
      <sheetName val="Exh 20, Bill Impacts"/>
      <sheetName val="RD WPs ---&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Cascade Natural Gas Corp.</v>
          </cell>
        </row>
        <row r="5">
          <cell r="A5" t="str">
            <v>General Rate Case Model</v>
          </cell>
        </row>
        <row r="8">
          <cell r="A8" t="str">
            <v>Embedded Cost of Service (ECOS) Study</v>
          </cell>
        </row>
      </sheetData>
      <sheetData sheetId="9" refreshError="1"/>
      <sheetData sheetId="10" refreshError="1"/>
      <sheetData sheetId="11">
        <row r="3">
          <cell r="G3">
            <v>43696</v>
          </cell>
        </row>
        <row r="4">
          <cell r="G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
          <cell r="E5">
            <v>1</v>
          </cell>
        </row>
      </sheetData>
      <sheetData sheetId="66">
        <row r="4">
          <cell r="B4" t="str">
            <v>Step 1</v>
          </cell>
        </row>
        <row r="5">
          <cell r="C5" t="str">
            <v>All Totals Intact =</v>
          </cell>
        </row>
        <row r="6">
          <cell r="A6" t="str">
            <v>CONFIDENTIAL MATERIAL</v>
          </cell>
          <cell r="C6" t="str">
            <v xml:space="preserve">All Allocators Found = </v>
          </cell>
        </row>
        <row r="7">
          <cell r="A7" t="str">
            <v>Protective Order Requested 8/31/2017</v>
          </cell>
          <cell r="F7" t="str">
            <v>Functional</v>
          </cell>
        </row>
        <row r="8">
          <cell r="B8" t="str">
            <v>Account</v>
          </cell>
          <cell r="C8" t="str">
            <v>Account</v>
          </cell>
          <cell r="E8" t="str">
            <v>Account</v>
          </cell>
          <cell r="F8" t="str">
            <v>Allocation</v>
          </cell>
        </row>
        <row r="9">
          <cell r="B9" t="str">
            <v>Description</v>
          </cell>
          <cell r="C9" t="str">
            <v>Code</v>
          </cell>
          <cell r="E9" t="str">
            <v>Balance</v>
          </cell>
          <cell r="F9" t="str">
            <v>Factor</v>
          </cell>
          <cell r="G9" t="str">
            <v>Gas Supply</v>
          </cell>
          <cell r="H9" t="str">
            <v>Storage</v>
          </cell>
          <cell r="I9" t="str">
            <v>Transmission</v>
          </cell>
          <cell r="J9" t="str">
            <v>Distribution</v>
          </cell>
          <cell r="K9" t="str">
            <v>BB&amp;A</v>
          </cell>
          <cell r="L9" t="str">
            <v>Gathering</v>
          </cell>
          <cell r="M9" t="str">
            <v>Function7</v>
          </cell>
          <cell r="N9" t="str">
            <v>Function8</v>
          </cell>
          <cell r="P9" t="str">
            <v>check total</v>
          </cell>
        </row>
        <row r="11">
          <cell r="E11" t="str">
            <v xml:space="preserve"> </v>
          </cell>
        </row>
        <row r="12">
          <cell r="B12" t="str">
            <v>I. GAS PLANT IN SERVICE</v>
          </cell>
        </row>
        <row r="14">
          <cell r="B14" t="str">
            <v>A. INTANGIBLE PLANT</v>
          </cell>
        </row>
        <row r="16">
          <cell r="A16">
            <v>1</v>
          </cell>
          <cell r="B16" t="str">
            <v>Organization</v>
          </cell>
          <cell r="C16" t="str">
            <v>301</v>
          </cell>
          <cell r="E16">
            <v>114489.28441466672</v>
          </cell>
          <cell r="F16" t="str">
            <v>PSTDP</v>
          </cell>
          <cell r="P16">
            <v>0</v>
          </cell>
          <cell r="R16">
            <v>50</v>
          </cell>
        </row>
        <row r="17">
          <cell r="A17">
            <v>2</v>
          </cell>
          <cell r="B17" t="str">
            <v>Franchise and Consents</v>
          </cell>
          <cell r="C17" t="str">
            <v>302</v>
          </cell>
          <cell r="E17">
            <v>138157.94999999998</v>
          </cell>
          <cell r="F17" t="str">
            <v>PSTDP</v>
          </cell>
          <cell r="P17">
            <v>0</v>
          </cell>
          <cell r="R17">
            <v>50</v>
          </cell>
        </row>
        <row r="18">
          <cell r="A18">
            <v>3</v>
          </cell>
          <cell r="B18" t="str">
            <v>Miscellaneous Intangible Plant - Plant Related</v>
          </cell>
          <cell r="C18" t="str">
            <v>303</v>
          </cell>
          <cell r="E18">
            <v>7468710.8487851443</v>
          </cell>
          <cell r="F18" t="str">
            <v>PSTDP</v>
          </cell>
          <cell r="P18">
            <v>0</v>
          </cell>
          <cell r="R18">
            <v>50</v>
          </cell>
        </row>
        <row r="19">
          <cell r="A19">
            <v>4</v>
          </cell>
          <cell r="B19" t="str">
            <v>Miscellaneous Intangible Plant - Throughput Related</v>
          </cell>
          <cell r="C19" t="str">
            <v>303</v>
          </cell>
          <cell r="E19">
            <v>3170904.2847735365</v>
          </cell>
          <cell r="F19" t="str">
            <v>TRANS</v>
          </cell>
          <cell r="P19">
            <v>0</v>
          </cell>
          <cell r="R19">
            <v>14</v>
          </cell>
        </row>
        <row r="20">
          <cell r="A20">
            <v>5</v>
          </cell>
          <cell r="B20" t="str">
            <v>Miscellaneous Intangible Plant - Cust Related</v>
          </cell>
          <cell r="C20" t="str">
            <v>303</v>
          </cell>
          <cell r="E20">
            <v>15930474.109187033</v>
          </cell>
          <cell r="F20" t="str">
            <v>DIST</v>
          </cell>
          <cell r="P20">
            <v>0</v>
          </cell>
          <cell r="R20">
            <v>17</v>
          </cell>
        </row>
        <row r="21">
          <cell r="A21">
            <v>6</v>
          </cell>
          <cell r="B21" t="str">
            <v>Subtotal - INTANGIBLE PLANT</v>
          </cell>
          <cell r="C21" t="str">
            <v>301-303</v>
          </cell>
          <cell r="E21">
            <v>26822736.477160379</v>
          </cell>
          <cell r="P21">
            <v>0</v>
          </cell>
        </row>
        <row r="22">
          <cell r="A22">
            <v>7</v>
          </cell>
        </row>
        <row r="23">
          <cell r="A23">
            <v>8</v>
          </cell>
          <cell r="B23" t="str">
            <v>B. PRODUCTION PLANT</v>
          </cell>
        </row>
        <row r="24">
          <cell r="A24">
            <v>9</v>
          </cell>
        </row>
        <row r="25">
          <cell r="A25">
            <v>10</v>
          </cell>
          <cell r="B25" t="str">
            <v>Other Land &amp; Land Rights-Land</v>
          </cell>
          <cell r="C25">
            <v>325</v>
          </cell>
          <cell r="E25">
            <v>0</v>
          </cell>
          <cell r="F25" t="str">
            <v>SUPP</v>
          </cell>
          <cell r="P25">
            <v>0</v>
          </cell>
          <cell r="R25">
            <v>8</v>
          </cell>
        </row>
        <row r="26">
          <cell r="A26">
            <v>11</v>
          </cell>
          <cell r="B26" t="str">
            <v>Gas Well Structures</v>
          </cell>
          <cell r="C26">
            <v>326</v>
          </cell>
          <cell r="E26">
            <v>0</v>
          </cell>
          <cell r="F26" t="str">
            <v>SUPP</v>
          </cell>
          <cell r="P26">
            <v>0</v>
          </cell>
          <cell r="R26">
            <v>8</v>
          </cell>
        </row>
        <row r="27">
          <cell r="A27">
            <v>12</v>
          </cell>
          <cell r="B27" t="str">
            <v>Field Compressor Station Structures</v>
          </cell>
          <cell r="C27">
            <v>327</v>
          </cell>
          <cell r="E27">
            <v>0</v>
          </cell>
          <cell r="F27" t="str">
            <v>SUPP</v>
          </cell>
          <cell r="P27">
            <v>0</v>
          </cell>
          <cell r="R27">
            <v>8</v>
          </cell>
        </row>
        <row r="28">
          <cell r="A28">
            <v>13</v>
          </cell>
          <cell r="B28" t="str">
            <v>Field M&amp;R Station Structures</v>
          </cell>
          <cell r="C28">
            <v>328</v>
          </cell>
          <cell r="E28">
            <v>0</v>
          </cell>
          <cell r="F28" t="str">
            <v>SUPP</v>
          </cell>
          <cell r="P28">
            <v>0</v>
          </cell>
          <cell r="R28">
            <v>8</v>
          </cell>
        </row>
        <row r="29">
          <cell r="A29">
            <v>14</v>
          </cell>
          <cell r="B29" t="str">
            <v>Other Structures</v>
          </cell>
          <cell r="C29">
            <v>329</v>
          </cell>
          <cell r="E29">
            <v>0</v>
          </cell>
          <cell r="F29" t="str">
            <v>SUPP</v>
          </cell>
          <cell r="P29">
            <v>0</v>
          </cell>
          <cell r="R29">
            <v>8</v>
          </cell>
        </row>
        <row r="30">
          <cell r="A30">
            <v>15</v>
          </cell>
          <cell r="B30" t="str">
            <v>Producing Gas Wells-Well Construction</v>
          </cell>
          <cell r="C30" t="str">
            <v>330, 331</v>
          </cell>
          <cell r="E30">
            <v>0</v>
          </cell>
          <cell r="F30" t="str">
            <v>SUPP</v>
          </cell>
          <cell r="P30">
            <v>0</v>
          </cell>
          <cell r="R30">
            <v>8</v>
          </cell>
        </row>
        <row r="31">
          <cell r="A31">
            <v>16</v>
          </cell>
          <cell r="B31" t="str">
            <v>Field Lines</v>
          </cell>
          <cell r="C31">
            <v>332</v>
          </cell>
          <cell r="E31">
            <v>0</v>
          </cell>
          <cell r="F31" t="str">
            <v>SUPP</v>
          </cell>
          <cell r="P31">
            <v>0</v>
          </cell>
          <cell r="R31">
            <v>8</v>
          </cell>
        </row>
        <row r="32">
          <cell r="A32">
            <v>17</v>
          </cell>
          <cell r="B32" t="str">
            <v>Field Compressor Station Equipment</v>
          </cell>
          <cell r="C32">
            <v>333</v>
          </cell>
          <cell r="E32">
            <v>0</v>
          </cell>
          <cell r="F32" t="str">
            <v>SUPP</v>
          </cell>
          <cell r="P32">
            <v>0</v>
          </cell>
          <cell r="R32">
            <v>8</v>
          </cell>
        </row>
        <row r="33">
          <cell r="A33">
            <v>18</v>
          </cell>
          <cell r="B33" t="str">
            <v>Field M&amp;R Station Equip-Company</v>
          </cell>
          <cell r="C33">
            <v>334</v>
          </cell>
          <cell r="E33">
            <v>0</v>
          </cell>
          <cell r="F33" t="str">
            <v>SUPP</v>
          </cell>
          <cell r="P33">
            <v>0</v>
          </cell>
          <cell r="R33">
            <v>8</v>
          </cell>
        </row>
        <row r="34">
          <cell r="A34">
            <v>19</v>
          </cell>
          <cell r="B34" t="str">
            <v>Drilling &amp; Cleaning Equipment</v>
          </cell>
          <cell r="C34">
            <v>335</v>
          </cell>
          <cell r="E34">
            <v>0</v>
          </cell>
          <cell r="F34" t="str">
            <v>SUPP</v>
          </cell>
          <cell r="P34">
            <v>0</v>
          </cell>
          <cell r="R34">
            <v>8</v>
          </cell>
        </row>
        <row r="35">
          <cell r="A35">
            <v>20</v>
          </cell>
          <cell r="B35" t="str">
            <v>Other Equipment-Other</v>
          </cell>
          <cell r="C35">
            <v>337</v>
          </cell>
          <cell r="E35">
            <v>0</v>
          </cell>
          <cell r="F35" t="str">
            <v>SUPP</v>
          </cell>
          <cell r="P35">
            <v>0</v>
          </cell>
          <cell r="R35">
            <v>8</v>
          </cell>
        </row>
        <row r="36">
          <cell r="A36">
            <v>21</v>
          </cell>
          <cell r="B36" t="str">
            <v>Subtotal - PRODUCTION PLANT</v>
          </cell>
          <cell r="C36" t="str">
            <v>325-337</v>
          </cell>
          <cell r="E36">
            <v>0</v>
          </cell>
          <cell r="P36">
            <v>0</v>
          </cell>
        </row>
        <row r="37">
          <cell r="A37">
            <v>22</v>
          </cell>
        </row>
        <row r="38">
          <cell r="A38">
            <v>23</v>
          </cell>
          <cell r="B38" t="str">
            <v>C. NATURAL GAS STORAGE PLANT &amp; PROD PLANT</v>
          </cell>
        </row>
        <row r="39">
          <cell r="A39">
            <v>24</v>
          </cell>
        </row>
        <row r="40">
          <cell r="A40">
            <v>25</v>
          </cell>
          <cell r="B40" t="str">
            <v xml:space="preserve">Land and Land Rights </v>
          </cell>
          <cell r="C40">
            <v>350</v>
          </cell>
          <cell r="E40">
            <v>0</v>
          </cell>
          <cell r="F40" t="str">
            <v>STOR</v>
          </cell>
          <cell r="P40">
            <v>0</v>
          </cell>
          <cell r="R40">
            <v>11</v>
          </cell>
        </row>
        <row r="41">
          <cell r="A41">
            <v>26</v>
          </cell>
          <cell r="B41" t="str">
            <v>Structures and Improvements</v>
          </cell>
          <cell r="C41">
            <v>351</v>
          </cell>
          <cell r="E41">
            <v>0</v>
          </cell>
          <cell r="F41" t="str">
            <v>STOR</v>
          </cell>
          <cell r="P41">
            <v>0</v>
          </cell>
          <cell r="R41">
            <v>11</v>
          </cell>
        </row>
        <row r="42">
          <cell r="A42">
            <v>27</v>
          </cell>
          <cell r="B42" t="str">
            <v>Wells-Well Equipment</v>
          </cell>
          <cell r="C42">
            <v>352</v>
          </cell>
          <cell r="E42">
            <v>0</v>
          </cell>
          <cell r="F42" t="str">
            <v>STOR</v>
          </cell>
          <cell r="P42">
            <v>0</v>
          </cell>
          <cell r="R42">
            <v>11</v>
          </cell>
        </row>
        <row r="43">
          <cell r="A43">
            <v>28</v>
          </cell>
          <cell r="B43" t="str">
            <v>Lines</v>
          </cell>
          <cell r="C43">
            <v>353</v>
          </cell>
          <cell r="E43">
            <v>0</v>
          </cell>
          <cell r="F43" t="str">
            <v>STOR</v>
          </cell>
          <cell r="P43">
            <v>0</v>
          </cell>
          <cell r="R43">
            <v>11</v>
          </cell>
        </row>
        <row r="44">
          <cell r="A44">
            <v>29</v>
          </cell>
          <cell r="B44" t="str">
            <v>Compressor Station Equipment - Other</v>
          </cell>
          <cell r="C44">
            <v>354</v>
          </cell>
          <cell r="E44">
            <v>0</v>
          </cell>
          <cell r="F44" t="str">
            <v>STOR</v>
          </cell>
          <cell r="P44">
            <v>0</v>
          </cell>
          <cell r="R44">
            <v>11</v>
          </cell>
        </row>
        <row r="45">
          <cell r="A45">
            <v>30</v>
          </cell>
          <cell r="B45" t="str">
            <v>M&amp;R Equipment-Meters &amp; Gauges</v>
          </cell>
          <cell r="C45">
            <v>355</v>
          </cell>
          <cell r="E45">
            <v>0</v>
          </cell>
          <cell r="F45" t="str">
            <v>STOR</v>
          </cell>
          <cell r="P45">
            <v>0</v>
          </cell>
          <cell r="R45">
            <v>11</v>
          </cell>
        </row>
        <row r="46">
          <cell r="A46">
            <v>31</v>
          </cell>
          <cell r="B46" t="str">
            <v>Other Equipment</v>
          </cell>
          <cell r="C46">
            <v>357</v>
          </cell>
          <cell r="E46">
            <v>0</v>
          </cell>
          <cell r="F46" t="str">
            <v>STOR</v>
          </cell>
          <cell r="P46">
            <v>0</v>
          </cell>
          <cell r="R46">
            <v>11</v>
          </cell>
        </row>
        <row r="47">
          <cell r="A47">
            <v>32</v>
          </cell>
          <cell r="B47" t="str">
            <v>Subtotal - STORAGE PLANT</v>
          </cell>
          <cell r="C47" t="str">
            <v>350-363</v>
          </cell>
          <cell r="E47">
            <v>0</v>
          </cell>
          <cell r="P47">
            <v>0</v>
          </cell>
        </row>
        <row r="48">
          <cell r="A48">
            <v>33</v>
          </cell>
        </row>
        <row r="49">
          <cell r="A49">
            <v>34</v>
          </cell>
          <cell r="B49" t="str">
            <v>D. TRANSMISSION PLANT</v>
          </cell>
        </row>
        <row r="50">
          <cell r="A50">
            <v>35</v>
          </cell>
        </row>
        <row r="51">
          <cell r="A51">
            <v>36</v>
          </cell>
          <cell r="B51" t="str">
            <v>Land &amp; Land Rights</v>
          </cell>
          <cell r="C51">
            <v>365</v>
          </cell>
          <cell r="E51">
            <v>1229801.72</v>
          </cell>
          <cell r="F51" t="str">
            <v>TRANS</v>
          </cell>
          <cell r="P51">
            <v>0</v>
          </cell>
          <cell r="R51">
            <v>14</v>
          </cell>
        </row>
        <row r="52">
          <cell r="A52">
            <v>37</v>
          </cell>
          <cell r="B52" t="str">
            <v>Structures &amp; Improvements</v>
          </cell>
          <cell r="C52">
            <v>366</v>
          </cell>
          <cell r="E52">
            <v>0</v>
          </cell>
          <cell r="F52" t="str">
            <v>TRANS</v>
          </cell>
          <cell r="P52">
            <v>0</v>
          </cell>
          <cell r="R52">
            <v>14</v>
          </cell>
        </row>
        <row r="53">
          <cell r="A53">
            <v>38</v>
          </cell>
          <cell r="B53" t="str">
            <v>Mains</v>
          </cell>
          <cell r="C53">
            <v>367</v>
          </cell>
          <cell r="E53">
            <v>15382525.939166667</v>
          </cell>
          <cell r="F53" t="str">
            <v>TRANS</v>
          </cell>
          <cell r="P53">
            <v>0</v>
          </cell>
          <cell r="R53">
            <v>14</v>
          </cell>
        </row>
        <row r="54">
          <cell r="A54">
            <v>39</v>
          </cell>
          <cell r="B54" t="str">
            <v>Mains - Direct</v>
          </cell>
          <cell r="C54">
            <v>367</v>
          </cell>
          <cell r="E54">
            <v>658588.30000000005</v>
          </cell>
          <cell r="F54" t="str">
            <v>TRANS</v>
          </cell>
          <cell r="P54">
            <v>0</v>
          </cell>
          <cell r="R54">
            <v>14</v>
          </cell>
        </row>
        <row r="55">
          <cell r="A55">
            <v>40</v>
          </cell>
          <cell r="B55" t="str">
            <v>Compression Staion Equipement</v>
          </cell>
          <cell r="C55">
            <v>368</v>
          </cell>
          <cell r="E55">
            <v>0</v>
          </cell>
          <cell r="F55" t="str">
            <v>TRANS</v>
          </cell>
          <cell r="P55">
            <v>0</v>
          </cell>
          <cell r="R55">
            <v>14</v>
          </cell>
        </row>
        <row r="56">
          <cell r="A56">
            <v>41</v>
          </cell>
          <cell r="B56" t="str">
            <v>M&amp;R Station Equipment</v>
          </cell>
          <cell r="C56">
            <v>369</v>
          </cell>
          <cell r="E56">
            <v>156138.81000000003</v>
          </cell>
          <cell r="F56" t="str">
            <v>TRANS</v>
          </cell>
          <cell r="P56">
            <v>0</v>
          </cell>
          <cell r="R56">
            <v>14</v>
          </cell>
        </row>
        <row r="57">
          <cell r="A57">
            <v>42</v>
          </cell>
          <cell r="B57" t="str">
            <v>Other Equipment</v>
          </cell>
          <cell r="C57" t="str">
            <v>371</v>
          </cell>
          <cell r="E57">
            <v>0</v>
          </cell>
          <cell r="F57" t="str">
            <v>TRANSPT</v>
          </cell>
          <cell r="P57">
            <v>0</v>
          </cell>
          <cell r="R57">
            <v>74</v>
          </cell>
        </row>
        <row r="58">
          <cell r="A58">
            <v>43</v>
          </cell>
          <cell r="B58" t="str">
            <v>Subtotal - TRANSMISSION PLANT</v>
          </cell>
          <cell r="C58" t="str">
            <v>365-371</v>
          </cell>
          <cell r="E58">
            <v>17427054.769166667</v>
          </cell>
          <cell r="P58">
            <v>0</v>
          </cell>
        </row>
        <row r="59">
          <cell r="A59">
            <v>44</v>
          </cell>
        </row>
        <row r="60">
          <cell r="A60">
            <v>45</v>
          </cell>
          <cell r="B60" t="str">
            <v>E. DISTRIBUTION PLANT</v>
          </cell>
        </row>
        <row r="61">
          <cell r="A61">
            <v>46</v>
          </cell>
        </row>
        <row r="62">
          <cell r="A62">
            <v>47</v>
          </cell>
          <cell r="B62" t="str">
            <v>Land and Land Rights</v>
          </cell>
          <cell r="C62" t="str">
            <v>374</v>
          </cell>
          <cell r="E62">
            <v>2242166.0584726674</v>
          </cell>
          <cell r="F62" t="str">
            <v>DIST</v>
          </cell>
          <cell r="P62">
            <v>0</v>
          </cell>
          <cell r="R62">
            <v>17</v>
          </cell>
        </row>
        <row r="63">
          <cell r="A63">
            <v>48</v>
          </cell>
          <cell r="B63" t="str">
            <v>Structures and Improvements</v>
          </cell>
          <cell r="C63" t="str">
            <v>375</v>
          </cell>
          <cell r="E63">
            <v>995654.58139750012</v>
          </cell>
          <cell r="F63" t="str">
            <v>DIST</v>
          </cell>
          <cell r="P63">
            <v>0</v>
          </cell>
          <cell r="R63">
            <v>17</v>
          </cell>
        </row>
        <row r="64">
          <cell r="A64">
            <v>49</v>
          </cell>
          <cell r="B64" t="str">
            <v>Mains - High Pressure</v>
          </cell>
          <cell r="C64" t="str">
            <v>376</v>
          </cell>
          <cell r="E64">
            <v>93870445.610000014</v>
          </cell>
          <cell r="F64" t="str">
            <v>DIST</v>
          </cell>
          <cell r="P64">
            <v>0</v>
          </cell>
          <cell r="R64">
            <v>17</v>
          </cell>
        </row>
        <row r="65">
          <cell r="A65">
            <v>50</v>
          </cell>
          <cell r="B65" t="str">
            <v>Mains - HPx663</v>
          </cell>
          <cell r="C65" t="str">
            <v>376</v>
          </cell>
          <cell r="E65">
            <v>3943430.2719999999</v>
          </cell>
          <cell r="F65" t="str">
            <v>DIST</v>
          </cell>
          <cell r="P65">
            <v>0</v>
          </cell>
          <cell r="R65">
            <v>17</v>
          </cell>
        </row>
        <row r="66">
          <cell r="A66">
            <v>51</v>
          </cell>
          <cell r="B66" t="str">
            <v>Mains - HP Direct Assign</v>
          </cell>
          <cell r="C66" t="str">
            <v>376</v>
          </cell>
          <cell r="E66">
            <v>985857.56799999997</v>
          </cell>
          <cell r="F66" t="str">
            <v>DIST</v>
          </cell>
          <cell r="P66">
            <v>0</v>
          </cell>
          <cell r="R66">
            <v>17</v>
          </cell>
        </row>
        <row r="67">
          <cell r="A67">
            <v>52</v>
          </cell>
          <cell r="B67" t="str">
            <v>Mains Steel IP &gt;6"</v>
          </cell>
          <cell r="C67" t="str">
            <v>376</v>
          </cell>
          <cell r="E67">
            <v>8543907.7400000002</v>
          </cell>
          <cell r="F67" t="str">
            <v>DIST</v>
          </cell>
          <cell r="P67">
            <v>0</v>
          </cell>
          <cell r="R67">
            <v>17</v>
          </cell>
        </row>
        <row r="68">
          <cell r="A68">
            <v>53</v>
          </cell>
          <cell r="B68" t="str">
            <v>Mains Steel IP &gt;4-6"</v>
          </cell>
          <cell r="C68" t="str">
            <v>376</v>
          </cell>
          <cell r="E68">
            <v>12921271.720000003</v>
          </cell>
          <cell r="F68" t="str">
            <v>DIST</v>
          </cell>
          <cell r="P68">
            <v>0</v>
          </cell>
          <cell r="R68">
            <v>17</v>
          </cell>
        </row>
        <row r="69">
          <cell r="A69">
            <v>54</v>
          </cell>
          <cell r="B69" t="str">
            <v>Mains Steel IP &gt;2-4"</v>
          </cell>
          <cell r="C69" t="str">
            <v>376</v>
          </cell>
          <cell r="E69">
            <v>23422942.150000002</v>
          </cell>
          <cell r="F69" t="str">
            <v>DIST</v>
          </cell>
          <cell r="P69">
            <v>0</v>
          </cell>
          <cell r="R69">
            <v>17</v>
          </cell>
        </row>
        <row r="70">
          <cell r="A70">
            <v>55</v>
          </cell>
          <cell r="B70" t="str">
            <v>Mains Steel IP &lt;=2"</v>
          </cell>
          <cell r="C70" t="str">
            <v>376</v>
          </cell>
          <cell r="E70">
            <v>65857060.210000001</v>
          </cell>
          <cell r="F70" t="str">
            <v>DIST</v>
          </cell>
          <cell r="P70">
            <v>0</v>
          </cell>
          <cell r="R70">
            <v>17</v>
          </cell>
        </row>
        <row r="71">
          <cell r="A71">
            <v>56</v>
          </cell>
          <cell r="B71" t="str">
            <v>Mains Plasticl IP 6"</v>
          </cell>
          <cell r="C71" t="str">
            <v>376</v>
          </cell>
          <cell r="E71">
            <v>8176829.4099999992</v>
          </cell>
          <cell r="F71" t="str">
            <v>DIST</v>
          </cell>
          <cell r="P71">
            <v>0</v>
          </cell>
          <cell r="R71">
            <v>17</v>
          </cell>
        </row>
        <row r="72">
          <cell r="A72">
            <v>57</v>
          </cell>
          <cell r="B72" t="str">
            <v>Mains Plasticl IP 4"</v>
          </cell>
          <cell r="C72" t="str">
            <v>376</v>
          </cell>
          <cell r="E72">
            <v>25939078.09</v>
          </cell>
          <cell r="F72" t="str">
            <v>DIST</v>
          </cell>
          <cell r="P72">
            <v>0</v>
          </cell>
          <cell r="R72">
            <v>17</v>
          </cell>
        </row>
        <row r="73">
          <cell r="A73">
            <v>58</v>
          </cell>
          <cell r="B73" t="str">
            <v>Mains Plasticl IP 2"</v>
          </cell>
          <cell r="C73" t="str">
            <v>376</v>
          </cell>
          <cell r="E73">
            <v>64574112.350000001</v>
          </cell>
          <cell r="F73" t="str">
            <v>DIST</v>
          </cell>
          <cell r="P73">
            <v>0</v>
          </cell>
          <cell r="R73">
            <v>17</v>
          </cell>
        </row>
        <row r="74">
          <cell r="A74">
            <v>59</v>
          </cell>
          <cell r="B74" t="str">
            <v>Mains - Direct Allocation</v>
          </cell>
          <cell r="C74" t="str">
            <v>376</v>
          </cell>
          <cell r="E74">
            <v>22509568.120000001</v>
          </cell>
          <cell r="F74" t="str">
            <v>DIST</v>
          </cell>
          <cell r="P74">
            <v>0</v>
          </cell>
          <cell r="R74">
            <v>17</v>
          </cell>
        </row>
        <row r="75">
          <cell r="A75">
            <v>60</v>
          </cell>
          <cell r="B75" t="str">
            <v>Mains - Other</v>
          </cell>
          <cell r="C75" t="str">
            <v>376</v>
          </cell>
          <cell r="E75">
            <v>8403131.9529166576</v>
          </cell>
          <cell r="F75" t="str">
            <v>DIST</v>
          </cell>
          <cell r="P75">
            <v>0</v>
          </cell>
          <cell r="R75">
            <v>17</v>
          </cell>
        </row>
        <row r="76">
          <cell r="A76">
            <v>61</v>
          </cell>
          <cell r="B76" t="str">
            <v>Compressor Station</v>
          </cell>
          <cell r="C76">
            <v>377</v>
          </cell>
          <cell r="E76">
            <v>2097766.77</v>
          </cell>
          <cell r="F76" t="str">
            <v>DIST</v>
          </cell>
          <cell r="P76">
            <v>0</v>
          </cell>
          <cell r="R76">
            <v>17</v>
          </cell>
        </row>
        <row r="77">
          <cell r="A77">
            <v>62</v>
          </cell>
          <cell r="B77" t="str">
            <v>M &amp; R Station Equipment</v>
          </cell>
          <cell r="C77" t="str">
            <v>378</v>
          </cell>
          <cell r="E77">
            <v>19188859.344166666</v>
          </cell>
          <cell r="F77" t="str">
            <v>DIST</v>
          </cell>
          <cell r="P77">
            <v>0</v>
          </cell>
          <cell r="R77">
            <v>17</v>
          </cell>
        </row>
        <row r="78">
          <cell r="A78">
            <v>63</v>
          </cell>
          <cell r="B78" t="str">
            <v>Services</v>
          </cell>
          <cell r="C78" t="str">
            <v>380</v>
          </cell>
          <cell r="E78">
            <v>163002131.05500001</v>
          </cell>
          <cell r="F78" t="str">
            <v>DIST</v>
          </cell>
          <cell r="P78">
            <v>0</v>
          </cell>
          <cell r="R78">
            <v>17</v>
          </cell>
        </row>
        <row r="79">
          <cell r="A79">
            <v>64</v>
          </cell>
          <cell r="B79" t="str">
            <v>Services - Direct</v>
          </cell>
          <cell r="C79" t="str">
            <v>380</v>
          </cell>
          <cell r="E79">
            <v>22241.79</v>
          </cell>
          <cell r="F79" t="str">
            <v>DIST</v>
          </cell>
          <cell r="P79">
            <v>0</v>
          </cell>
          <cell r="R79">
            <v>17</v>
          </cell>
        </row>
        <row r="80">
          <cell r="A80">
            <v>65</v>
          </cell>
          <cell r="B80" t="str">
            <v>Meters</v>
          </cell>
          <cell r="C80" t="str">
            <v>381</v>
          </cell>
          <cell r="E80">
            <v>41039332.402482167</v>
          </cell>
          <cell r="F80" t="str">
            <v>DIST</v>
          </cell>
          <cell r="P80">
            <v>0</v>
          </cell>
          <cell r="R80">
            <v>17</v>
          </cell>
        </row>
        <row r="81">
          <cell r="A81">
            <v>66</v>
          </cell>
          <cell r="B81" t="str">
            <v xml:space="preserve">Meter Install </v>
          </cell>
          <cell r="C81" t="str">
            <v>382</v>
          </cell>
          <cell r="E81">
            <v>22597276.53083333</v>
          </cell>
          <cell r="F81" t="str">
            <v>DIST</v>
          </cell>
          <cell r="P81">
            <v>0</v>
          </cell>
          <cell r="R81">
            <v>17</v>
          </cell>
        </row>
        <row r="82">
          <cell r="A82">
            <v>67</v>
          </cell>
          <cell r="B82" t="str">
            <v>House Regulator &amp; Install.</v>
          </cell>
          <cell r="C82" t="str">
            <v>383, 384</v>
          </cell>
          <cell r="E82">
            <v>7755597.5630362509</v>
          </cell>
          <cell r="F82" t="str">
            <v>DIST</v>
          </cell>
          <cell r="P82">
            <v>0</v>
          </cell>
          <cell r="R82">
            <v>17</v>
          </cell>
        </row>
        <row r="83">
          <cell r="A83">
            <v>68</v>
          </cell>
          <cell r="B83" t="str">
            <v>Industrial M &amp; R Station Equipment</v>
          </cell>
          <cell r="C83" t="str">
            <v>385</v>
          </cell>
          <cell r="E83">
            <v>9042638.8108333349</v>
          </cell>
          <cell r="F83" t="str">
            <v>DIST</v>
          </cell>
          <cell r="P83">
            <v>0</v>
          </cell>
          <cell r="R83">
            <v>17</v>
          </cell>
        </row>
        <row r="84">
          <cell r="A84">
            <v>69</v>
          </cell>
          <cell r="B84" t="str">
            <v>Other Property on Customers Premise</v>
          </cell>
          <cell r="C84" t="str">
            <v>386</v>
          </cell>
          <cell r="E84">
            <v>0</v>
          </cell>
          <cell r="F84" t="str">
            <v>DIST</v>
          </cell>
          <cell r="P84">
            <v>0</v>
          </cell>
          <cell r="R84">
            <v>17</v>
          </cell>
        </row>
        <row r="85">
          <cell r="A85">
            <v>70</v>
          </cell>
          <cell r="B85" t="str">
            <v>Other Equipment</v>
          </cell>
          <cell r="C85" t="str">
            <v>387, 388</v>
          </cell>
          <cell r="E85">
            <v>0</v>
          </cell>
          <cell r="F85" t="str">
            <v>DISTPT</v>
          </cell>
          <cell r="P85">
            <v>0</v>
          </cell>
          <cell r="R85">
            <v>77</v>
          </cell>
        </row>
        <row r="86">
          <cell r="A86">
            <v>71</v>
          </cell>
          <cell r="B86" t="str">
            <v>Subtotal - DISTRIBUTION PLANT</v>
          </cell>
          <cell r="C86" t="str">
            <v>374-387</v>
          </cell>
          <cell r="E86">
            <v>607131300.09913862</v>
          </cell>
          <cell r="P86">
            <v>0</v>
          </cell>
        </row>
        <row r="87">
          <cell r="A87">
            <v>72</v>
          </cell>
        </row>
        <row r="88">
          <cell r="A88">
            <v>73</v>
          </cell>
          <cell r="B88" t="str">
            <v>F. GENERAL PLANT</v>
          </cell>
        </row>
        <row r="89">
          <cell r="A89">
            <v>74</v>
          </cell>
        </row>
        <row r="90">
          <cell r="A90">
            <v>75</v>
          </cell>
          <cell r="B90" t="str">
            <v>Land and Land Rights</v>
          </cell>
          <cell r="C90" t="str">
            <v>389</v>
          </cell>
          <cell r="E90">
            <v>2738864.5645764172</v>
          </cell>
          <cell r="F90" t="str">
            <v>PSTDP</v>
          </cell>
          <cell r="P90">
            <v>0</v>
          </cell>
          <cell r="R90">
            <v>50</v>
          </cell>
        </row>
        <row r="91">
          <cell r="A91">
            <v>76</v>
          </cell>
          <cell r="B91" t="str">
            <v>Structures and Improvements</v>
          </cell>
          <cell r="C91" t="str">
            <v>390</v>
          </cell>
          <cell r="E91">
            <v>13566023.193436205</v>
          </cell>
          <cell r="F91" t="str">
            <v>PSTDP</v>
          </cell>
          <cell r="P91">
            <v>0</v>
          </cell>
          <cell r="R91">
            <v>50</v>
          </cell>
        </row>
        <row r="92">
          <cell r="A92">
            <v>77</v>
          </cell>
          <cell r="B92" t="str">
            <v>Office Furniture and Equipment</v>
          </cell>
          <cell r="C92" t="str">
            <v>391</v>
          </cell>
          <cell r="E92">
            <v>5763949.7455356671</v>
          </cell>
          <cell r="F92" t="str">
            <v>PSTDP</v>
          </cell>
          <cell r="P92">
            <v>0</v>
          </cell>
          <cell r="R92">
            <v>50</v>
          </cell>
        </row>
        <row r="93">
          <cell r="A93">
            <v>78</v>
          </cell>
          <cell r="B93" t="str">
            <v>Transportation Equipment</v>
          </cell>
          <cell r="C93" t="str">
            <v>392</v>
          </cell>
          <cell r="E93">
            <v>10752616.541323917</v>
          </cell>
          <cell r="F93" t="str">
            <v>PSTDP</v>
          </cell>
          <cell r="P93">
            <v>0</v>
          </cell>
          <cell r="R93">
            <v>50</v>
          </cell>
        </row>
        <row r="94">
          <cell r="A94">
            <v>79</v>
          </cell>
          <cell r="B94" t="str">
            <v>Stores Equipment</v>
          </cell>
          <cell r="C94" t="str">
            <v>393</v>
          </cell>
          <cell r="E94">
            <v>56277.75918275</v>
          </cell>
          <cell r="F94" t="str">
            <v>PSTDP</v>
          </cell>
          <cell r="P94">
            <v>0</v>
          </cell>
          <cell r="R94">
            <v>50</v>
          </cell>
        </row>
        <row r="95">
          <cell r="A95">
            <v>80</v>
          </cell>
          <cell r="B95" t="str">
            <v>Tools, Shop and Garage Equipment</v>
          </cell>
          <cell r="C95" t="str">
            <v>394</v>
          </cell>
          <cell r="E95">
            <v>6006139.5495692082</v>
          </cell>
          <cell r="F95" t="str">
            <v>PSTDP</v>
          </cell>
          <cell r="P95">
            <v>0</v>
          </cell>
          <cell r="R95">
            <v>50</v>
          </cell>
        </row>
        <row r="96">
          <cell r="A96">
            <v>81</v>
          </cell>
          <cell r="B96" t="str">
            <v>Laboratory Equipment</v>
          </cell>
          <cell r="C96" t="str">
            <v>395</v>
          </cell>
          <cell r="E96">
            <v>102218.10203783335</v>
          </cell>
          <cell r="F96" t="str">
            <v>PSTDP</v>
          </cell>
          <cell r="P96">
            <v>0</v>
          </cell>
          <cell r="R96">
            <v>50</v>
          </cell>
        </row>
        <row r="97">
          <cell r="A97">
            <v>82</v>
          </cell>
          <cell r="B97" t="str">
            <v>Power Operated Equipment</v>
          </cell>
          <cell r="C97" t="str">
            <v>396</v>
          </cell>
          <cell r="E97">
            <v>2567582.4077424579</v>
          </cell>
          <cell r="F97" t="str">
            <v>PSTDP</v>
          </cell>
          <cell r="P97">
            <v>0</v>
          </cell>
          <cell r="R97">
            <v>50</v>
          </cell>
        </row>
        <row r="98">
          <cell r="A98">
            <v>83</v>
          </cell>
          <cell r="B98" t="str">
            <v>Communication Equipment</v>
          </cell>
          <cell r="C98" t="str">
            <v>397</v>
          </cell>
          <cell r="E98">
            <v>5311915.0541760828</v>
          </cell>
          <cell r="F98" t="str">
            <v>PSTDP</v>
          </cell>
          <cell r="P98">
            <v>0</v>
          </cell>
          <cell r="R98">
            <v>50</v>
          </cell>
        </row>
        <row r="99">
          <cell r="A99">
            <v>84</v>
          </cell>
          <cell r="B99" t="str">
            <v>Communication Equipment-Metretek</v>
          </cell>
          <cell r="C99" t="str">
            <v>397</v>
          </cell>
          <cell r="E99">
            <v>106500</v>
          </cell>
          <cell r="F99" t="str">
            <v>DIST</v>
          </cell>
          <cell r="P99">
            <v>0</v>
          </cell>
          <cell r="R99">
            <v>17</v>
          </cell>
        </row>
        <row r="100">
          <cell r="A100">
            <v>85</v>
          </cell>
          <cell r="B100" t="str">
            <v>Miscellaneous Equipment</v>
          </cell>
          <cell r="C100">
            <v>398</v>
          </cell>
          <cell r="E100">
            <v>56984.498182583353</v>
          </cell>
          <cell r="F100" t="str">
            <v>PSTDP</v>
          </cell>
          <cell r="P100">
            <v>0</v>
          </cell>
          <cell r="R100">
            <v>50</v>
          </cell>
        </row>
        <row r="101">
          <cell r="A101">
            <v>86</v>
          </cell>
          <cell r="B101" t="str">
            <v>Other Tangible Plant</v>
          </cell>
          <cell r="C101">
            <v>399</v>
          </cell>
          <cell r="E101">
            <v>0</v>
          </cell>
          <cell r="F101" t="str">
            <v>PSTDP</v>
          </cell>
          <cell r="P101">
            <v>0</v>
          </cell>
          <cell r="R101">
            <v>50</v>
          </cell>
        </row>
        <row r="102">
          <cell r="A102">
            <v>87</v>
          </cell>
          <cell r="B102" t="str">
            <v>Subtotal - GENERAL PLANT</v>
          </cell>
          <cell r="C102" t="str">
            <v>389-399</v>
          </cell>
          <cell r="E102">
            <v>47029071.415763117</v>
          </cell>
          <cell r="P102">
            <v>0</v>
          </cell>
        </row>
        <row r="103">
          <cell r="A103">
            <v>88</v>
          </cell>
        </row>
        <row r="104">
          <cell r="A104">
            <v>89</v>
          </cell>
          <cell r="B104" t="str">
            <v>TOTAL PLANT IN SERVICE</v>
          </cell>
          <cell r="E104">
            <v>698410162.7612288</v>
          </cell>
          <cell r="P104">
            <v>0</v>
          </cell>
        </row>
        <row r="105">
          <cell r="A105">
            <v>90</v>
          </cell>
        </row>
        <row r="106">
          <cell r="A106">
            <v>91</v>
          </cell>
          <cell r="B106" t="str">
            <v xml:space="preserve">G. Utility Plant </v>
          </cell>
          <cell r="C106" t="str">
            <v>105</v>
          </cell>
          <cell r="E106">
            <v>0</v>
          </cell>
          <cell r="F106" t="str">
            <v>PSTDP</v>
          </cell>
          <cell r="P106">
            <v>0</v>
          </cell>
          <cell r="R106">
            <v>50</v>
          </cell>
        </row>
        <row r="107">
          <cell r="A107">
            <v>92</v>
          </cell>
        </row>
        <row r="108">
          <cell r="A108">
            <v>93</v>
          </cell>
          <cell r="B108" t="str">
            <v>TOTAL UTILITY PLANT</v>
          </cell>
          <cell r="E108">
            <v>698410162.7612288</v>
          </cell>
          <cell r="P108">
            <v>0</v>
          </cell>
        </row>
        <row r="109">
          <cell r="A109">
            <v>94</v>
          </cell>
        </row>
        <row r="110">
          <cell r="A110">
            <v>95</v>
          </cell>
          <cell r="B110" t="str">
            <v>II. DEPRECIATION RESERVE</v>
          </cell>
        </row>
        <row r="111">
          <cell r="A111">
            <v>96</v>
          </cell>
          <cell r="B111" t="str">
            <v>Intangible Plant</v>
          </cell>
          <cell r="C111">
            <v>303</v>
          </cell>
          <cell r="E111">
            <v>7329017.6091067931</v>
          </cell>
          <cell r="F111" t="str">
            <v>INTANGPT</v>
          </cell>
          <cell r="P111">
            <v>0</v>
          </cell>
          <cell r="R111">
            <v>116</v>
          </cell>
        </row>
        <row r="112">
          <cell r="A112">
            <v>97</v>
          </cell>
          <cell r="B112" t="str">
            <v>Production Plant</v>
          </cell>
          <cell r="C112" t="str">
            <v>332-337</v>
          </cell>
          <cell r="E112">
            <v>0</v>
          </cell>
          <cell r="F112" t="str">
            <v>SUPP</v>
          </cell>
          <cell r="P112">
            <v>0</v>
          </cell>
          <cell r="R112">
            <v>8</v>
          </cell>
        </row>
        <row r="113">
          <cell r="A113">
            <v>98</v>
          </cell>
          <cell r="B113" t="str">
            <v>Local Storage Plant</v>
          </cell>
          <cell r="C113" t="str">
            <v>350-357</v>
          </cell>
          <cell r="E113">
            <v>0</v>
          </cell>
          <cell r="F113" t="str">
            <v>STORPT</v>
          </cell>
          <cell r="P113">
            <v>0</v>
          </cell>
          <cell r="R113">
            <v>71</v>
          </cell>
        </row>
        <row r="114">
          <cell r="A114">
            <v>99</v>
          </cell>
          <cell r="B114" t="str">
            <v>Transmission</v>
          </cell>
          <cell r="C114" t="str">
            <v>365-371</v>
          </cell>
          <cell r="E114">
            <v>11521078.067329334</v>
          </cell>
          <cell r="F114" t="str">
            <v>TRANSPT</v>
          </cell>
          <cell r="P114">
            <v>0</v>
          </cell>
          <cell r="R114">
            <v>74</v>
          </cell>
        </row>
        <row r="115">
          <cell r="A115">
            <v>100</v>
          </cell>
          <cell r="B115" t="str">
            <v>Distribution Land Structures &amp; Improvements</v>
          </cell>
          <cell r="C115" t="str">
            <v>374-375</v>
          </cell>
          <cell r="E115">
            <v>1592449.7936781668</v>
          </cell>
          <cell r="F115" t="str">
            <v>DISTPT</v>
          </cell>
          <cell r="P115">
            <v>0</v>
          </cell>
          <cell r="R115">
            <v>77</v>
          </cell>
        </row>
        <row r="116">
          <cell r="A116">
            <v>101</v>
          </cell>
          <cell r="B116" t="str">
            <v>Mains</v>
          </cell>
          <cell r="C116">
            <v>376</v>
          </cell>
          <cell r="E116">
            <v>138449805.07294154</v>
          </cell>
          <cell r="F116" t="str">
            <v>DISTPT</v>
          </cell>
          <cell r="P116">
            <v>0</v>
          </cell>
          <cell r="R116">
            <v>77</v>
          </cell>
        </row>
        <row r="117">
          <cell r="A117">
            <v>102</v>
          </cell>
          <cell r="B117" t="str">
            <v>Compressor Station</v>
          </cell>
          <cell r="C117">
            <v>377</v>
          </cell>
          <cell r="E117">
            <v>1370496.24</v>
          </cell>
          <cell r="F117" t="str">
            <v>DISTPT</v>
          </cell>
          <cell r="P117">
            <v>0</v>
          </cell>
          <cell r="R117">
            <v>77</v>
          </cell>
        </row>
        <row r="118">
          <cell r="A118">
            <v>103</v>
          </cell>
          <cell r="B118" t="str">
            <v>Distribution M&amp;R General</v>
          </cell>
          <cell r="C118">
            <v>378</v>
          </cell>
          <cell r="E118">
            <v>5594946.9176786663</v>
          </cell>
          <cell r="F118" t="str">
            <v>DISTPT</v>
          </cell>
          <cell r="P118">
            <v>0</v>
          </cell>
          <cell r="R118">
            <v>77</v>
          </cell>
        </row>
        <row r="119">
          <cell r="A119">
            <v>104</v>
          </cell>
          <cell r="B119" t="str">
            <v>Distribution Services</v>
          </cell>
          <cell r="C119">
            <v>380</v>
          </cell>
          <cell r="E119">
            <v>129932792.20200464</v>
          </cell>
          <cell r="F119" t="str">
            <v>DISTPT</v>
          </cell>
          <cell r="P119">
            <v>0</v>
          </cell>
          <cell r="R119">
            <v>77</v>
          </cell>
        </row>
        <row r="120">
          <cell r="A120">
            <v>105</v>
          </cell>
          <cell r="B120" t="str">
            <v>Distribution - Meters</v>
          </cell>
          <cell r="C120">
            <v>381</v>
          </cell>
          <cell r="E120">
            <v>12787623.594037356</v>
          </cell>
          <cell r="F120" t="str">
            <v>DISTPT</v>
          </cell>
          <cell r="P120">
            <v>0</v>
          </cell>
          <cell r="R120">
            <v>77</v>
          </cell>
        </row>
        <row r="121">
          <cell r="A121">
            <v>106</v>
          </cell>
          <cell r="B121" t="str">
            <v>Distribution - Meters Installations</v>
          </cell>
          <cell r="C121">
            <v>382</v>
          </cell>
          <cell r="E121">
            <v>10244836.287083333</v>
          </cell>
          <cell r="F121" t="str">
            <v>DISTPT</v>
          </cell>
          <cell r="P121">
            <v>0</v>
          </cell>
          <cell r="R121">
            <v>77</v>
          </cell>
        </row>
        <row r="122">
          <cell r="A122">
            <v>107</v>
          </cell>
          <cell r="B122" t="str">
            <v>House Regulator &amp; Install.</v>
          </cell>
          <cell r="C122" t="str">
            <v>383, 384</v>
          </cell>
          <cell r="E122">
            <v>2785488.26940525</v>
          </cell>
          <cell r="F122" t="str">
            <v>DISTPT</v>
          </cell>
          <cell r="P122">
            <v>0</v>
          </cell>
          <cell r="R122">
            <v>77</v>
          </cell>
        </row>
        <row r="123">
          <cell r="A123">
            <v>108</v>
          </cell>
          <cell r="B123" t="str">
            <v>Industrial M &amp; R Station Equipment - Other</v>
          </cell>
          <cell r="C123">
            <v>385</v>
          </cell>
          <cell r="E123">
            <v>3552565.8973903325</v>
          </cell>
          <cell r="F123" t="str">
            <v>DISTPT</v>
          </cell>
          <cell r="P123">
            <v>0</v>
          </cell>
          <cell r="R123">
            <v>77</v>
          </cell>
        </row>
        <row r="124">
          <cell r="A124">
            <v>109</v>
          </cell>
          <cell r="B124" t="str">
            <v>Other Property on Customers Premises</v>
          </cell>
          <cell r="C124">
            <v>386</v>
          </cell>
          <cell r="E124">
            <v>-305.76000000000005</v>
          </cell>
          <cell r="F124" t="str">
            <v>DISTPT</v>
          </cell>
          <cell r="P124">
            <v>0</v>
          </cell>
          <cell r="R124">
            <v>77</v>
          </cell>
        </row>
        <row r="125">
          <cell r="A125">
            <v>110</v>
          </cell>
          <cell r="B125" t="str">
            <v>Other Equipment</v>
          </cell>
          <cell r="C125">
            <v>387</v>
          </cell>
          <cell r="E125">
            <v>0</v>
          </cell>
          <cell r="F125" t="str">
            <v>DISTPT</v>
          </cell>
          <cell r="P125">
            <v>0</v>
          </cell>
          <cell r="R125">
            <v>77</v>
          </cell>
        </row>
        <row r="126">
          <cell r="A126">
            <v>111</v>
          </cell>
          <cell r="B126" t="str">
            <v>General Plant</v>
          </cell>
          <cell r="C126" t="str">
            <v>389-399</v>
          </cell>
          <cell r="E126">
            <v>20507992.664249986</v>
          </cell>
          <cell r="F126" t="str">
            <v>PSTDP</v>
          </cell>
          <cell r="P126">
            <v>0</v>
          </cell>
          <cell r="R126">
            <v>50</v>
          </cell>
        </row>
        <row r="127">
          <cell r="A127">
            <v>112</v>
          </cell>
          <cell r="B127" t="str">
            <v>Total-DEP. RESERVE (PLANT IN SERVI</v>
          </cell>
          <cell r="E127">
            <v>345668786.85490537</v>
          </cell>
          <cell r="P127">
            <v>0</v>
          </cell>
        </row>
        <row r="128">
          <cell r="A128">
            <v>113</v>
          </cell>
        </row>
        <row r="129">
          <cell r="A129">
            <v>114</v>
          </cell>
          <cell r="B129" t="str">
            <v>Retirement Obligation</v>
          </cell>
          <cell r="E129">
            <v>0</v>
          </cell>
          <cell r="F129" t="str">
            <v>PSTDP</v>
          </cell>
          <cell r="P129">
            <v>0</v>
          </cell>
          <cell r="R129">
            <v>50</v>
          </cell>
        </row>
        <row r="130">
          <cell r="A130">
            <v>115</v>
          </cell>
        </row>
        <row r="131">
          <cell r="A131">
            <v>116</v>
          </cell>
          <cell r="B131" t="str">
            <v>TOTAL  - DEPRECIATION RESERVE</v>
          </cell>
          <cell r="E131">
            <v>345668786.85490537</v>
          </cell>
          <cell r="P131">
            <v>0</v>
          </cell>
        </row>
        <row r="132">
          <cell r="A132">
            <v>117</v>
          </cell>
        </row>
        <row r="133">
          <cell r="A133">
            <v>118</v>
          </cell>
          <cell r="B133" t="str">
            <v>III. OTHER RATE BASE ITEMS</v>
          </cell>
        </row>
        <row r="134">
          <cell r="A134">
            <v>119</v>
          </cell>
          <cell r="B134" t="str">
            <v>CWIP</v>
          </cell>
          <cell r="E134">
            <v>0</v>
          </cell>
          <cell r="F134" t="str">
            <v>PSTDP</v>
          </cell>
          <cell r="P134">
            <v>0</v>
          </cell>
          <cell r="R134">
            <v>50</v>
          </cell>
        </row>
        <row r="135">
          <cell r="A135">
            <v>120</v>
          </cell>
          <cell r="B135" t="str">
            <v>Working Capital</v>
          </cell>
          <cell r="E135">
            <v>25610869.595646363</v>
          </cell>
          <cell r="F135" t="str">
            <v>PSTDP</v>
          </cell>
          <cell r="P135">
            <v>0</v>
          </cell>
          <cell r="R135">
            <v>50</v>
          </cell>
        </row>
        <row r="136">
          <cell r="A136">
            <v>121</v>
          </cell>
          <cell r="B136" t="str">
            <v xml:space="preserve">Deferred Income Taxes </v>
          </cell>
          <cell r="E136">
            <v>-73719929.417244926</v>
          </cell>
          <cell r="F136" t="str">
            <v>PSTDP</v>
          </cell>
          <cell r="P136">
            <v>0</v>
          </cell>
          <cell r="R136">
            <v>50</v>
          </cell>
        </row>
        <row r="137">
          <cell r="A137">
            <v>122</v>
          </cell>
          <cell r="B137" t="str">
            <v>Customer Advances</v>
          </cell>
          <cell r="E137">
            <v>-3771590.387083333</v>
          </cell>
          <cell r="F137" t="str">
            <v>DISTPT</v>
          </cell>
          <cell r="P137">
            <v>0</v>
          </cell>
          <cell r="R137">
            <v>77</v>
          </cell>
        </row>
        <row r="138">
          <cell r="A138">
            <v>123</v>
          </cell>
          <cell r="B138" t="str">
            <v>Total - OTHER RATE BASE ITEMS</v>
          </cell>
          <cell r="E138">
            <v>-51880650.208681896</v>
          </cell>
          <cell r="P138">
            <v>0</v>
          </cell>
        </row>
        <row r="139">
          <cell r="A139">
            <v>124</v>
          </cell>
        </row>
        <row r="140">
          <cell r="A140">
            <v>125</v>
          </cell>
          <cell r="B140" t="str">
            <v>IV. TOTAL RATE BASE (Excl. Working Capital)</v>
          </cell>
          <cell r="E140">
            <v>300860725.69764155</v>
          </cell>
          <cell r="P140">
            <v>0</v>
          </cell>
        </row>
        <row r="141">
          <cell r="A141">
            <v>126</v>
          </cell>
        </row>
        <row r="142">
          <cell r="A142">
            <v>127</v>
          </cell>
          <cell r="B142" t="str">
            <v>Gas Purchases Cash Working Capital</v>
          </cell>
          <cell r="E142">
            <v>0</v>
          </cell>
          <cell r="F142" t="str">
            <v>DIST</v>
          </cell>
          <cell r="P142">
            <v>0</v>
          </cell>
          <cell r="R142">
            <v>17</v>
          </cell>
        </row>
        <row r="143">
          <cell r="A143">
            <v>128</v>
          </cell>
        </row>
        <row r="144">
          <cell r="A144">
            <v>129</v>
          </cell>
          <cell r="B144" t="str">
            <v>V. TOTAL RATE BASE</v>
          </cell>
          <cell r="E144">
            <v>300860725.69764155</v>
          </cell>
          <cell r="P144">
            <v>0</v>
          </cell>
        </row>
        <row r="145">
          <cell r="A145">
            <v>130</v>
          </cell>
        </row>
        <row r="146">
          <cell r="A146">
            <v>131</v>
          </cell>
          <cell r="B146" t="str">
            <v>I. OPERATION &amp; MAINTENANCE EXPENSE</v>
          </cell>
        </row>
        <row r="147">
          <cell r="A147">
            <v>132</v>
          </cell>
        </row>
        <row r="148">
          <cell r="A148">
            <v>133</v>
          </cell>
          <cell r="B148" t="str">
            <v>A. PRODUCTION EXPENSES</v>
          </cell>
        </row>
        <row r="149">
          <cell r="A149">
            <v>134</v>
          </cell>
        </row>
        <row r="150">
          <cell r="A150">
            <v>135</v>
          </cell>
          <cell r="B150" t="str">
            <v>1. Manufactured Gas Production</v>
          </cell>
        </row>
        <row r="151">
          <cell r="A151">
            <v>136</v>
          </cell>
        </row>
        <row r="152">
          <cell r="A152">
            <v>137</v>
          </cell>
          <cell r="B152" t="str">
            <v>Production Maps</v>
          </cell>
          <cell r="C152">
            <v>751</v>
          </cell>
          <cell r="E152">
            <v>0</v>
          </cell>
          <cell r="F152" t="str">
            <v>SUPP</v>
          </cell>
          <cell r="P152">
            <v>0</v>
          </cell>
          <cell r="R152">
            <v>8</v>
          </cell>
        </row>
        <row r="153">
          <cell r="A153">
            <v>138</v>
          </cell>
          <cell r="B153" t="str">
            <v>Gas Wells Expense</v>
          </cell>
          <cell r="C153">
            <v>752</v>
          </cell>
          <cell r="E153">
            <v>0</v>
          </cell>
          <cell r="F153" t="str">
            <v>SUPP</v>
          </cell>
          <cell r="P153">
            <v>0</v>
          </cell>
          <cell r="R153">
            <v>8</v>
          </cell>
        </row>
        <row r="154">
          <cell r="A154">
            <v>139</v>
          </cell>
          <cell r="B154" t="str">
            <v>Field Lines Expense</v>
          </cell>
          <cell r="C154">
            <v>753</v>
          </cell>
          <cell r="E154">
            <v>0</v>
          </cell>
          <cell r="F154" t="str">
            <v>SUPP</v>
          </cell>
          <cell r="P154">
            <v>0</v>
          </cell>
          <cell r="R154">
            <v>8</v>
          </cell>
        </row>
        <row r="155">
          <cell r="A155">
            <v>140</v>
          </cell>
          <cell r="B155" t="str">
            <v>Field Compressor Station Expense</v>
          </cell>
          <cell r="C155">
            <v>754756</v>
          </cell>
          <cell r="E155">
            <v>0</v>
          </cell>
          <cell r="F155" t="str">
            <v>SUPP</v>
          </cell>
          <cell r="P155">
            <v>0</v>
          </cell>
          <cell r="R155">
            <v>8</v>
          </cell>
        </row>
        <row r="156">
          <cell r="A156">
            <v>141</v>
          </cell>
          <cell r="B156" t="str">
            <v>Other Expense</v>
          </cell>
          <cell r="C156">
            <v>759</v>
          </cell>
          <cell r="E156">
            <v>0</v>
          </cell>
          <cell r="F156" t="str">
            <v>SUPP</v>
          </cell>
          <cell r="P156">
            <v>0</v>
          </cell>
          <cell r="R156">
            <v>8</v>
          </cell>
        </row>
        <row r="157">
          <cell r="A157">
            <v>142</v>
          </cell>
          <cell r="B157" t="str">
            <v>Rents</v>
          </cell>
          <cell r="C157">
            <v>760</v>
          </cell>
          <cell r="E157">
            <v>0</v>
          </cell>
          <cell r="F157" t="str">
            <v>SUPP</v>
          </cell>
          <cell r="P157">
            <v>0</v>
          </cell>
          <cell r="R157">
            <v>8</v>
          </cell>
        </row>
        <row r="158">
          <cell r="A158">
            <v>143</v>
          </cell>
          <cell r="B158" t="str">
            <v xml:space="preserve">     Subtotal - Operation Accounts </v>
          </cell>
          <cell r="C158" t="str">
            <v>751-760</v>
          </cell>
          <cell r="E158">
            <v>0</v>
          </cell>
          <cell r="P158">
            <v>0</v>
          </cell>
          <cell r="R158">
            <v>4</v>
          </cell>
        </row>
        <row r="159">
          <cell r="A159">
            <v>144</v>
          </cell>
          <cell r="B159" t="str">
            <v>Maint Supervision &amp; Engineering</v>
          </cell>
          <cell r="C159">
            <v>762</v>
          </cell>
          <cell r="E159">
            <v>0</v>
          </cell>
          <cell r="F159" t="str">
            <v>SUPP</v>
          </cell>
          <cell r="P159">
            <v>0</v>
          </cell>
          <cell r="R159">
            <v>8</v>
          </cell>
        </row>
        <row r="160">
          <cell r="A160">
            <v>145</v>
          </cell>
          <cell r="B160" t="str">
            <v>Field Lines</v>
          </cell>
          <cell r="C160" t="str">
            <v>764, 787</v>
          </cell>
          <cell r="E160">
            <v>0</v>
          </cell>
          <cell r="F160" t="str">
            <v>SUPP</v>
          </cell>
          <cell r="P160">
            <v>0</v>
          </cell>
          <cell r="R160">
            <v>8</v>
          </cell>
        </row>
        <row r="161">
          <cell r="A161">
            <v>146</v>
          </cell>
          <cell r="B161" t="str">
            <v>Field Meas/Reg</v>
          </cell>
          <cell r="C161" t="str">
            <v>765, 766</v>
          </cell>
          <cell r="E161">
            <v>0</v>
          </cell>
          <cell r="F161" t="str">
            <v>SUPP</v>
          </cell>
          <cell r="P161">
            <v>0</v>
          </cell>
          <cell r="R161">
            <v>8</v>
          </cell>
        </row>
        <row r="162">
          <cell r="A162">
            <v>147</v>
          </cell>
          <cell r="B162" t="str">
            <v xml:space="preserve">     Subtotal - Maintenance Accounts</v>
          </cell>
          <cell r="C162" t="str">
            <v>762-787</v>
          </cell>
          <cell r="E162">
            <v>0</v>
          </cell>
          <cell r="P162">
            <v>0</v>
          </cell>
        </row>
        <row r="163">
          <cell r="A163">
            <v>148</v>
          </cell>
        </row>
        <row r="164">
          <cell r="A164">
            <v>149</v>
          </cell>
          <cell r="B164" t="str">
            <v>Subtotal - Manufactured Gas Production</v>
          </cell>
          <cell r="C164" t="str">
            <v>751-787</v>
          </cell>
          <cell r="E164">
            <v>0</v>
          </cell>
          <cell r="P164">
            <v>0</v>
          </cell>
        </row>
        <row r="165">
          <cell r="A165">
            <v>150</v>
          </cell>
        </row>
        <row r="166">
          <cell r="A166">
            <v>151</v>
          </cell>
          <cell r="B166" t="str">
            <v>2. Other Gas Supply  Expenses</v>
          </cell>
        </row>
        <row r="167">
          <cell r="A167">
            <v>152</v>
          </cell>
        </row>
        <row r="168">
          <cell r="A168">
            <v>153</v>
          </cell>
          <cell r="B168" t="str">
            <v>Oth Gas Supply Op - Natural gas well head Pur</v>
          </cell>
          <cell r="C168">
            <v>800</v>
          </cell>
          <cell r="E168">
            <v>0</v>
          </cell>
          <cell r="F168" t="str">
            <v>SUPP</v>
          </cell>
          <cell r="P168">
            <v>0</v>
          </cell>
          <cell r="R168">
            <v>8</v>
          </cell>
        </row>
        <row r="169">
          <cell r="A169">
            <v>154</v>
          </cell>
          <cell r="B169" t="str">
            <v>Nat Gas Field Lines</v>
          </cell>
          <cell r="C169">
            <v>801</v>
          </cell>
          <cell r="E169">
            <v>0</v>
          </cell>
          <cell r="F169" t="str">
            <v>SUPP</v>
          </cell>
          <cell r="P169">
            <v>0</v>
          </cell>
          <cell r="R169">
            <v>8</v>
          </cell>
        </row>
        <row r="170">
          <cell r="A170">
            <v>155</v>
          </cell>
          <cell r="B170" t="str">
            <v>Nat Gas Transmission Lines</v>
          </cell>
          <cell r="C170">
            <v>803</v>
          </cell>
          <cell r="E170">
            <v>0</v>
          </cell>
          <cell r="F170" t="str">
            <v>SUPP</v>
          </cell>
          <cell r="P170">
            <v>0</v>
          </cell>
          <cell r="R170">
            <v>8</v>
          </cell>
        </row>
        <row r="171">
          <cell r="A171">
            <v>156</v>
          </cell>
          <cell r="B171" t="str">
            <v>Natural Gas City Gate</v>
          </cell>
          <cell r="C171">
            <v>804</v>
          </cell>
          <cell r="E171">
            <v>107612402.79367998</v>
          </cell>
          <cell r="F171" t="str">
            <v>SUPP</v>
          </cell>
          <cell r="P171">
            <v>0</v>
          </cell>
          <cell r="R171">
            <v>8</v>
          </cell>
        </row>
        <row r="172">
          <cell r="A172">
            <v>157</v>
          </cell>
          <cell r="B172" t="str">
            <v>Natural Gas City Gate - TF1</v>
          </cell>
          <cell r="C172">
            <v>0</v>
          </cell>
          <cell r="E172">
            <v>0</v>
          </cell>
          <cell r="F172" t="str">
            <v>SUPP</v>
          </cell>
          <cell r="P172">
            <v>0</v>
          </cell>
          <cell r="R172">
            <v>8</v>
          </cell>
        </row>
        <row r="173">
          <cell r="A173">
            <v>158</v>
          </cell>
          <cell r="B173" t="str">
            <v>Natural Gas City Gate - JP + TF-2</v>
          </cell>
          <cell r="C173">
            <v>0</v>
          </cell>
          <cell r="E173">
            <v>0</v>
          </cell>
          <cell r="F173" t="str">
            <v>SUPP</v>
          </cell>
          <cell r="P173">
            <v>0</v>
          </cell>
          <cell r="R173">
            <v>8</v>
          </cell>
        </row>
        <row r="174">
          <cell r="A174">
            <v>159</v>
          </cell>
          <cell r="B174" t="str">
            <v>Natural Gas City Gate - Peaking</v>
          </cell>
          <cell r="C174">
            <v>0</v>
          </cell>
          <cell r="E174">
            <v>0</v>
          </cell>
          <cell r="F174" t="str">
            <v>SUPP</v>
          </cell>
          <cell r="P174">
            <v>0</v>
          </cell>
          <cell r="R174">
            <v>8</v>
          </cell>
        </row>
        <row r="175">
          <cell r="A175">
            <v>160</v>
          </cell>
          <cell r="B175" t="str">
            <v>Purchase Gas Cost Adjustment</v>
          </cell>
          <cell r="C175">
            <v>805</v>
          </cell>
          <cell r="E175">
            <v>0</v>
          </cell>
          <cell r="F175" t="str">
            <v>SUPP</v>
          </cell>
          <cell r="P175">
            <v>0</v>
          </cell>
          <cell r="R175">
            <v>8</v>
          </cell>
        </row>
        <row r="176">
          <cell r="A176">
            <v>161</v>
          </cell>
          <cell r="B176" t="str">
            <v>Exchange Gas</v>
          </cell>
          <cell r="C176">
            <v>806</v>
          </cell>
          <cell r="E176">
            <v>0</v>
          </cell>
          <cell r="F176" t="str">
            <v>SUPP</v>
          </cell>
          <cell r="P176">
            <v>0</v>
          </cell>
          <cell r="R176">
            <v>8</v>
          </cell>
        </row>
        <row r="177">
          <cell r="A177">
            <v>162</v>
          </cell>
          <cell r="B177" t="str">
            <v>Well Expense - Purchase Gas</v>
          </cell>
          <cell r="C177">
            <v>807</v>
          </cell>
          <cell r="E177">
            <v>0</v>
          </cell>
          <cell r="F177" t="str">
            <v>SUPP</v>
          </cell>
          <cell r="P177">
            <v>0</v>
          </cell>
          <cell r="R177">
            <v>8</v>
          </cell>
        </row>
        <row r="178">
          <cell r="A178">
            <v>163</v>
          </cell>
          <cell r="B178" t="str">
            <v>Gas Delivery/Withdraw from Storage</v>
          </cell>
          <cell r="C178">
            <v>808</v>
          </cell>
          <cell r="E178">
            <v>0</v>
          </cell>
          <cell r="F178" t="str">
            <v>SUPP</v>
          </cell>
          <cell r="P178">
            <v>0</v>
          </cell>
          <cell r="R178">
            <v>8</v>
          </cell>
        </row>
        <row r="179">
          <cell r="A179">
            <v>164</v>
          </cell>
          <cell r="B179" t="str">
            <v>Gas used Compressor Station</v>
          </cell>
          <cell r="C179">
            <v>810</v>
          </cell>
          <cell r="E179">
            <v>0</v>
          </cell>
          <cell r="F179" t="str">
            <v>SUPP</v>
          </cell>
          <cell r="P179">
            <v>0</v>
          </cell>
          <cell r="R179">
            <v>8</v>
          </cell>
        </row>
        <row r="180">
          <cell r="A180">
            <v>165</v>
          </cell>
          <cell r="B180" t="str">
            <v>Gas Used Other Util Ops-Credit</v>
          </cell>
          <cell r="C180">
            <v>812755</v>
          </cell>
          <cell r="E180">
            <v>0</v>
          </cell>
          <cell r="F180" t="str">
            <v>SUPP</v>
          </cell>
          <cell r="P180">
            <v>0</v>
          </cell>
          <cell r="R180">
            <v>8</v>
          </cell>
        </row>
        <row r="181">
          <cell r="A181">
            <v>166</v>
          </cell>
          <cell r="B181" t="str">
            <v>Other Gas Supply Expenses</v>
          </cell>
          <cell r="C181">
            <v>813</v>
          </cell>
          <cell r="E181">
            <v>535154.69966348482</v>
          </cell>
          <cell r="F181" t="str">
            <v>SUPP</v>
          </cell>
          <cell r="P181">
            <v>0</v>
          </cell>
          <cell r="R181">
            <v>8</v>
          </cell>
        </row>
        <row r="182">
          <cell r="A182">
            <v>167</v>
          </cell>
          <cell r="B182" t="str">
            <v>Subtotal - OTHER GAS SUPPLY EXPENSES</v>
          </cell>
          <cell r="C182" t="str">
            <v>801-813</v>
          </cell>
          <cell r="E182">
            <v>108147557.49334347</v>
          </cell>
          <cell r="P182">
            <v>0</v>
          </cell>
        </row>
        <row r="183">
          <cell r="A183">
            <v>168</v>
          </cell>
        </row>
        <row r="184">
          <cell r="A184">
            <v>169</v>
          </cell>
        </row>
        <row r="185">
          <cell r="A185">
            <v>170</v>
          </cell>
          <cell r="B185" t="str">
            <v>B. NATURAL GAS STORAGE, TERMINALING &amp; PROCESSING EXPENSES</v>
          </cell>
        </row>
        <row r="186">
          <cell r="A186">
            <v>171</v>
          </cell>
        </row>
        <row r="187">
          <cell r="A187">
            <v>172</v>
          </cell>
          <cell r="B187" t="str">
            <v>UG Storage Operation supervision and engineering</v>
          </cell>
          <cell r="C187">
            <v>814</v>
          </cell>
          <cell r="E187">
            <v>0</v>
          </cell>
          <cell r="F187" t="str">
            <v>STOR</v>
          </cell>
          <cell r="P187">
            <v>0</v>
          </cell>
          <cell r="R187">
            <v>11</v>
          </cell>
        </row>
        <row r="188">
          <cell r="A188">
            <v>173</v>
          </cell>
          <cell r="B188" t="str">
            <v>Wells Expense</v>
          </cell>
          <cell r="C188">
            <v>816</v>
          </cell>
          <cell r="E188">
            <v>0</v>
          </cell>
          <cell r="F188" t="str">
            <v>STOR</v>
          </cell>
          <cell r="P188">
            <v>0</v>
          </cell>
          <cell r="R188">
            <v>11</v>
          </cell>
        </row>
        <row r="189">
          <cell r="A189">
            <v>174</v>
          </cell>
          <cell r="B189" t="str">
            <v>Lines Expenses</v>
          </cell>
          <cell r="C189">
            <v>817</v>
          </cell>
          <cell r="E189">
            <v>0</v>
          </cell>
          <cell r="F189" t="str">
            <v>STOR</v>
          </cell>
          <cell r="P189">
            <v>0</v>
          </cell>
          <cell r="R189">
            <v>11</v>
          </cell>
        </row>
        <row r="190">
          <cell r="A190">
            <v>175</v>
          </cell>
          <cell r="B190" t="str">
            <v>Compressor Station Expenses</v>
          </cell>
          <cell r="C190">
            <v>818</v>
          </cell>
          <cell r="E190">
            <v>0</v>
          </cell>
          <cell r="F190" t="str">
            <v>STOR</v>
          </cell>
          <cell r="P190">
            <v>0</v>
          </cell>
          <cell r="R190">
            <v>11</v>
          </cell>
        </row>
        <row r="191">
          <cell r="A191">
            <v>176</v>
          </cell>
          <cell r="B191" t="str">
            <v>Compressor Station Fuel</v>
          </cell>
          <cell r="C191">
            <v>819</v>
          </cell>
          <cell r="E191">
            <v>0</v>
          </cell>
          <cell r="F191" t="str">
            <v>SUPP</v>
          </cell>
          <cell r="P191">
            <v>0</v>
          </cell>
          <cell r="R191">
            <v>8</v>
          </cell>
        </row>
        <row r="192">
          <cell r="A192">
            <v>177</v>
          </cell>
          <cell r="B192" t="str">
            <v>Meas/Reg Station Expenses</v>
          </cell>
          <cell r="C192">
            <v>820</v>
          </cell>
          <cell r="E192">
            <v>0</v>
          </cell>
          <cell r="F192" t="str">
            <v>STOR</v>
          </cell>
          <cell r="P192">
            <v>0</v>
          </cell>
          <cell r="R192">
            <v>11</v>
          </cell>
        </row>
        <row r="193">
          <cell r="A193">
            <v>178</v>
          </cell>
          <cell r="B193" t="str">
            <v>Gas Losses</v>
          </cell>
          <cell r="C193">
            <v>823</v>
          </cell>
          <cell r="E193">
            <v>0</v>
          </cell>
          <cell r="F193" t="str">
            <v>SUPP</v>
          </cell>
          <cell r="P193">
            <v>0</v>
          </cell>
          <cell r="R193">
            <v>8</v>
          </cell>
        </row>
        <row r="194">
          <cell r="A194">
            <v>179</v>
          </cell>
          <cell r="B194" t="str">
            <v>Other Expenses</v>
          </cell>
          <cell r="C194">
            <v>824</v>
          </cell>
          <cell r="E194">
            <v>0</v>
          </cell>
          <cell r="F194" t="str">
            <v>STOR</v>
          </cell>
          <cell r="P194">
            <v>0</v>
          </cell>
          <cell r="R194">
            <v>11</v>
          </cell>
        </row>
        <row r="195">
          <cell r="A195">
            <v>180</v>
          </cell>
          <cell r="B195" t="str">
            <v>Storage Well Royalties</v>
          </cell>
          <cell r="C195">
            <v>825</v>
          </cell>
          <cell r="E195">
            <v>0</v>
          </cell>
          <cell r="F195" t="str">
            <v>STOR</v>
          </cell>
          <cell r="P195">
            <v>0</v>
          </cell>
          <cell r="R195">
            <v>11</v>
          </cell>
        </row>
        <row r="196">
          <cell r="A196">
            <v>181</v>
          </cell>
          <cell r="B196" t="str">
            <v xml:space="preserve">     Subtotal - Operations Accounts</v>
          </cell>
          <cell r="C196" t="str">
            <v>816-825</v>
          </cell>
          <cell r="E196">
            <v>0</v>
          </cell>
          <cell r="P196">
            <v>0</v>
          </cell>
          <cell r="R196">
            <v>4</v>
          </cell>
        </row>
        <row r="197">
          <cell r="A197">
            <v>182</v>
          </cell>
          <cell r="B197" t="str">
            <v>UG Storage Maint - supervision and engineering</v>
          </cell>
          <cell r="C197">
            <v>830</v>
          </cell>
          <cell r="E197">
            <v>0</v>
          </cell>
          <cell r="F197" t="str">
            <v>STOR</v>
          </cell>
          <cell r="P197">
            <v>0</v>
          </cell>
          <cell r="R197">
            <v>11</v>
          </cell>
        </row>
        <row r="198">
          <cell r="A198">
            <v>183</v>
          </cell>
          <cell r="B198" t="str">
            <v>Maint. of Structures &amp; Improvements</v>
          </cell>
          <cell r="C198">
            <v>831</v>
          </cell>
          <cell r="E198">
            <v>0</v>
          </cell>
          <cell r="F198" t="str">
            <v>STOR</v>
          </cell>
          <cell r="P198">
            <v>0</v>
          </cell>
          <cell r="R198">
            <v>11</v>
          </cell>
        </row>
        <row r="199">
          <cell r="A199">
            <v>184</v>
          </cell>
          <cell r="B199" t="str">
            <v>Maint. of Reservoirs and Wells</v>
          </cell>
          <cell r="C199">
            <v>832</v>
          </cell>
          <cell r="E199">
            <v>0</v>
          </cell>
          <cell r="F199" t="str">
            <v>STOR</v>
          </cell>
          <cell r="P199">
            <v>0</v>
          </cell>
          <cell r="R199">
            <v>11</v>
          </cell>
        </row>
        <row r="200">
          <cell r="A200">
            <v>185</v>
          </cell>
          <cell r="B200" t="str">
            <v>Maint. of Lines</v>
          </cell>
          <cell r="C200">
            <v>833</v>
          </cell>
          <cell r="E200">
            <v>0</v>
          </cell>
          <cell r="F200" t="str">
            <v>STOR</v>
          </cell>
          <cell r="P200">
            <v>0</v>
          </cell>
          <cell r="R200">
            <v>11</v>
          </cell>
        </row>
        <row r="201">
          <cell r="A201">
            <v>186</v>
          </cell>
          <cell r="B201" t="str">
            <v>Maint. of Compressor Station Equipment</v>
          </cell>
          <cell r="C201">
            <v>834</v>
          </cell>
          <cell r="E201">
            <v>0</v>
          </cell>
          <cell r="F201" t="str">
            <v>STOR</v>
          </cell>
          <cell r="P201">
            <v>0</v>
          </cell>
          <cell r="R201">
            <v>11</v>
          </cell>
        </row>
        <row r="202">
          <cell r="A202">
            <v>187</v>
          </cell>
          <cell r="B202" t="str">
            <v>Maint. of Meas/Reg Statoin Equipment</v>
          </cell>
          <cell r="C202">
            <v>835</v>
          </cell>
          <cell r="E202">
            <v>0</v>
          </cell>
          <cell r="F202" t="str">
            <v>STOR</v>
          </cell>
          <cell r="P202">
            <v>0</v>
          </cell>
          <cell r="R202">
            <v>11</v>
          </cell>
        </row>
        <row r="203">
          <cell r="A203">
            <v>188</v>
          </cell>
          <cell r="B203" t="str">
            <v xml:space="preserve">     Subtotal - Maint.  Accounts</v>
          </cell>
          <cell r="C203" t="str">
            <v>831-835</v>
          </cell>
          <cell r="E203">
            <v>0</v>
          </cell>
          <cell r="P203">
            <v>0</v>
          </cell>
        </row>
        <row r="204">
          <cell r="A204">
            <v>189</v>
          </cell>
        </row>
        <row r="205">
          <cell r="A205">
            <v>190</v>
          </cell>
          <cell r="B205" t="str">
            <v>Subtotal - NATURAL GAS STORAGE</v>
          </cell>
          <cell r="C205" t="str">
            <v>816-835</v>
          </cell>
          <cell r="E205">
            <v>0</v>
          </cell>
          <cell r="P205">
            <v>0</v>
          </cell>
        </row>
        <row r="206">
          <cell r="A206">
            <v>191</v>
          </cell>
        </row>
        <row r="207">
          <cell r="A207">
            <v>192</v>
          </cell>
          <cell r="B207" t="str">
            <v>C. TRANSMISSION EXPENSES</v>
          </cell>
        </row>
        <row r="208">
          <cell r="A208">
            <v>193</v>
          </cell>
        </row>
        <row r="209">
          <cell r="A209">
            <v>194</v>
          </cell>
          <cell r="B209" t="str">
            <v>Supvervision/Engineering</v>
          </cell>
          <cell r="C209">
            <v>850</v>
          </cell>
          <cell r="E209">
            <v>0</v>
          </cell>
          <cell r="F209" t="str">
            <v>TRANS</v>
          </cell>
          <cell r="P209">
            <v>0</v>
          </cell>
          <cell r="R209">
            <v>14</v>
          </cell>
        </row>
        <row r="210">
          <cell r="A210">
            <v>195</v>
          </cell>
          <cell r="B210" t="str">
            <v>Compressor Station Labor &amp; Expenses</v>
          </cell>
          <cell r="C210">
            <v>853</v>
          </cell>
          <cell r="E210">
            <v>0</v>
          </cell>
          <cell r="F210" t="str">
            <v>TRANS</v>
          </cell>
          <cell r="P210">
            <v>0</v>
          </cell>
          <cell r="R210">
            <v>14</v>
          </cell>
        </row>
        <row r="211">
          <cell r="A211">
            <v>196</v>
          </cell>
          <cell r="B211" t="str">
            <v>Mains Expense</v>
          </cell>
          <cell r="C211">
            <v>856</v>
          </cell>
          <cell r="E211">
            <v>0</v>
          </cell>
          <cell r="F211" t="str">
            <v>TRANS</v>
          </cell>
          <cell r="P211">
            <v>0</v>
          </cell>
          <cell r="R211">
            <v>14</v>
          </cell>
        </row>
        <row r="212">
          <cell r="A212">
            <v>197</v>
          </cell>
          <cell r="B212" t="str">
            <v>Meas/Reg Station Expenses</v>
          </cell>
          <cell r="C212">
            <v>857</v>
          </cell>
          <cell r="E212">
            <v>0</v>
          </cell>
          <cell r="F212" t="str">
            <v>TRANS</v>
          </cell>
          <cell r="P212">
            <v>0</v>
          </cell>
          <cell r="R212">
            <v>14</v>
          </cell>
        </row>
        <row r="213">
          <cell r="A213">
            <v>198</v>
          </cell>
          <cell r="B213" t="str">
            <v>Transmission/Compressor Ga</v>
          </cell>
          <cell r="C213">
            <v>858</v>
          </cell>
          <cell r="E213">
            <v>0</v>
          </cell>
          <cell r="F213" t="str">
            <v>SUPP</v>
          </cell>
          <cell r="P213">
            <v>0</v>
          </cell>
          <cell r="R213">
            <v>8</v>
          </cell>
        </row>
        <row r="214">
          <cell r="A214">
            <v>199</v>
          </cell>
          <cell r="B214" t="str">
            <v>Other Expenses</v>
          </cell>
          <cell r="C214">
            <v>859</v>
          </cell>
          <cell r="E214">
            <v>0</v>
          </cell>
          <cell r="F214" t="str">
            <v>TRANS</v>
          </cell>
          <cell r="P214">
            <v>0</v>
          </cell>
          <cell r="R214">
            <v>14</v>
          </cell>
        </row>
        <row r="215">
          <cell r="A215">
            <v>200</v>
          </cell>
          <cell r="B215" t="str">
            <v>Rents</v>
          </cell>
          <cell r="C215" t="str">
            <v>860</v>
          </cell>
          <cell r="E215">
            <v>0</v>
          </cell>
          <cell r="F215" t="str">
            <v>TRANS</v>
          </cell>
          <cell r="P215">
            <v>0</v>
          </cell>
          <cell r="R215">
            <v>14</v>
          </cell>
        </row>
        <row r="216">
          <cell r="A216">
            <v>201</v>
          </cell>
          <cell r="B216" t="str">
            <v xml:space="preserve">     Subtotal - Operation Accounts</v>
          </cell>
          <cell r="C216" t="str">
            <v>850-860</v>
          </cell>
          <cell r="E216">
            <v>0</v>
          </cell>
          <cell r="P216">
            <v>0</v>
          </cell>
        </row>
        <row r="217">
          <cell r="A217">
            <v>202</v>
          </cell>
          <cell r="B217" t="str">
            <v>Gas Transmission Maint - structures and improvements</v>
          </cell>
          <cell r="C217">
            <v>862</v>
          </cell>
          <cell r="E217">
            <v>0</v>
          </cell>
          <cell r="F217" t="str">
            <v>TRANS</v>
          </cell>
          <cell r="P217">
            <v>0</v>
          </cell>
          <cell r="R217">
            <v>14</v>
          </cell>
        </row>
        <row r="218">
          <cell r="A218">
            <v>203</v>
          </cell>
          <cell r="B218" t="str">
            <v>Maint. of Mains</v>
          </cell>
          <cell r="C218">
            <v>863</v>
          </cell>
          <cell r="E218">
            <v>0</v>
          </cell>
          <cell r="F218" t="str">
            <v>TRANS</v>
          </cell>
          <cell r="P218">
            <v>0</v>
          </cell>
          <cell r="R218">
            <v>14</v>
          </cell>
        </row>
        <row r="219">
          <cell r="A219">
            <v>204</v>
          </cell>
          <cell r="B219" t="str">
            <v>Maint. Of Compressor Station</v>
          </cell>
          <cell r="C219">
            <v>864</v>
          </cell>
          <cell r="E219">
            <v>0</v>
          </cell>
          <cell r="F219" t="str">
            <v>TRANS</v>
          </cell>
          <cell r="P219">
            <v>0</v>
          </cell>
          <cell r="R219">
            <v>14</v>
          </cell>
        </row>
        <row r="220">
          <cell r="A220">
            <v>205</v>
          </cell>
          <cell r="B220" t="str">
            <v>Maint. Of Meas/Reg Station Equipment</v>
          </cell>
          <cell r="C220">
            <v>865</v>
          </cell>
          <cell r="E220">
            <v>0</v>
          </cell>
          <cell r="F220" t="str">
            <v>TRANS</v>
          </cell>
          <cell r="P220">
            <v>0</v>
          </cell>
          <cell r="R220">
            <v>14</v>
          </cell>
        </row>
        <row r="221">
          <cell r="A221">
            <v>206</v>
          </cell>
          <cell r="B221" t="str">
            <v xml:space="preserve">     Subtotal - Maintenance Accounts</v>
          </cell>
          <cell r="C221" t="str">
            <v>863-865</v>
          </cell>
          <cell r="E221">
            <v>0</v>
          </cell>
          <cell r="P221">
            <v>0</v>
          </cell>
          <cell r="R221">
            <v>4</v>
          </cell>
        </row>
        <row r="222">
          <cell r="A222">
            <v>207</v>
          </cell>
        </row>
        <row r="223">
          <cell r="A223">
            <v>208</v>
          </cell>
          <cell r="B223" t="str">
            <v>Subtotal - TRANSMISSION EXPENSES</v>
          </cell>
          <cell r="C223" t="str">
            <v>850-865</v>
          </cell>
          <cell r="E223">
            <v>0</v>
          </cell>
          <cell r="P223">
            <v>0</v>
          </cell>
        </row>
        <row r="224">
          <cell r="A224">
            <v>209</v>
          </cell>
        </row>
        <row r="225">
          <cell r="A225">
            <v>210</v>
          </cell>
          <cell r="B225" t="str">
            <v>D. DISTRIBUTION EXPENSES</v>
          </cell>
        </row>
        <row r="226">
          <cell r="A226">
            <v>211</v>
          </cell>
        </row>
        <row r="227">
          <cell r="A227">
            <v>212</v>
          </cell>
          <cell r="B227" t="str">
            <v>Operation Supervision &amp; Engineering</v>
          </cell>
          <cell r="C227" t="str">
            <v>870</v>
          </cell>
          <cell r="E227">
            <v>2692327.8328841524</v>
          </cell>
          <cell r="F227" t="str">
            <v>DIST</v>
          </cell>
          <cell r="P227">
            <v>0</v>
          </cell>
          <cell r="R227">
            <v>17</v>
          </cell>
        </row>
        <row r="228">
          <cell r="A228">
            <v>213</v>
          </cell>
          <cell r="B228" t="str">
            <v>Distribution Load Dispatching</v>
          </cell>
          <cell r="C228" t="str">
            <v>871</v>
          </cell>
          <cell r="E228">
            <v>518908.79036897403</v>
          </cell>
          <cell r="F228" t="str">
            <v>DIST</v>
          </cell>
          <cell r="P228">
            <v>0</v>
          </cell>
          <cell r="R228">
            <v>17</v>
          </cell>
        </row>
        <row r="229">
          <cell r="A229">
            <v>214</v>
          </cell>
          <cell r="B229" t="str">
            <v>Compressor Station</v>
          </cell>
          <cell r="C229">
            <v>872</v>
          </cell>
          <cell r="E229">
            <v>117168.15408762959</v>
          </cell>
          <cell r="F229" t="str">
            <v>DIST</v>
          </cell>
          <cell r="P229">
            <v>0</v>
          </cell>
          <cell r="R229">
            <v>17</v>
          </cell>
        </row>
        <row r="230">
          <cell r="A230">
            <v>215</v>
          </cell>
          <cell r="B230" t="str">
            <v>Mains and Services Expenses</v>
          </cell>
          <cell r="C230" t="str">
            <v>874</v>
          </cell>
          <cell r="E230">
            <v>3687791.2703530602</v>
          </cell>
          <cell r="F230" t="str">
            <v>MAIN-SERVICE</v>
          </cell>
          <cell r="P230">
            <v>0</v>
          </cell>
          <cell r="R230">
            <v>59</v>
          </cell>
        </row>
        <row r="231">
          <cell r="A231">
            <v>216</v>
          </cell>
          <cell r="B231" t="str">
            <v>Meas. &amp; Reg. Station Expenses</v>
          </cell>
          <cell r="C231" t="str">
            <v>875</v>
          </cell>
          <cell r="E231">
            <v>611560.37632012053</v>
          </cell>
          <cell r="F231" t="str">
            <v>DIST</v>
          </cell>
          <cell r="P231">
            <v>0</v>
          </cell>
          <cell r="R231">
            <v>17</v>
          </cell>
        </row>
        <row r="232">
          <cell r="A232">
            <v>217</v>
          </cell>
          <cell r="B232" t="str">
            <v>Meas. &amp; Reg. Station Expenses - Ind</v>
          </cell>
          <cell r="C232">
            <v>876</v>
          </cell>
          <cell r="E232">
            <v>157191.37296992328</v>
          </cell>
          <cell r="F232" t="str">
            <v>DIST</v>
          </cell>
          <cell r="P232">
            <v>0</v>
          </cell>
          <cell r="R232">
            <v>17</v>
          </cell>
        </row>
        <row r="233">
          <cell r="A233">
            <v>218</v>
          </cell>
          <cell r="B233" t="str">
            <v>Meter &amp; House Regulator Expenses</v>
          </cell>
          <cell r="C233" t="str">
            <v>878</v>
          </cell>
          <cell r="E233">
            <v>1403651.9251681019</v>
          </cell>
          <cell r="F233" t="str">
            <v>DIST</v>
          </cell>
          <cell r="P233">
            <v>0</v>
          </cell>
          <cell r="R233">
            <v>17</v>
          </cell>
        </row>
        <row r="234">
          <cell r="A234">
            <v>219</v>
          </cell>
          <cell r="B234" t="str">
            <v>Customer Installations Expenses</v>
          </cell>
          <cell r="C234" t="str">
            <v>879</v>
          </cell>
          <cell r="E234">
            <v>1117249.1980196733</v>
          </cell>
          <cell r="F234" t="str">
            <v>DIST</v>
          </cell>
          <cell r="P234">
            <v>0</v>
          </cell>
          <cell r="R234">
            <v>17</v>
          </cell>
        </row>
        <row r="235">
          <cell r="A235">
            <v>220</v>
          </cell>
          <cell r="B235" t="str">
            <v>Other Expenses</v>
          </cell>
          <cell r="C235">
            <v>880</v>
          </cell>
          <cell r="E235">
            <v>3396389.0393745224</v>
          </cell>
          <cell r="F235" t="str">
            <v>DIST</v>
          </cell>
          <cell r="P235">
            <v>0</v>
          </cell>
          <cell r="R235">
            <v>17</v>
          </cell>
        </row>
        <row r="236">
          <cell r="A236">
            <v>221</v>
          </cell>
          <cell r="B236" t="str">
            <v>Rents</v>
          </cell>
          <cell r="C236" t="str">
            <v>881</v>
          </cell>
          <cell r="E236">
            <v>149900.68</v>
          </cell>
          <cell r="F236" t="str">
            <v>DIST</v>
          </cell>
          <cell r="P236">
            <v>0</v>
          </cell>
          <cell r="R236">
            <v>17</v>
          </cell>
        </row>
        <row r="237">
          <cell r="A237">
            <v>222</v>
          </cell>
          <cell r="B237" t="str">
            <v>Maint. Supervision &amp; Engineering</v>
          </cell>
          <cell r="C237">
            <v>885</v>
          </cell>
          <cell r="E237">
            <v>143664.39464672163</v>
          </cell>
          <cell r="F237" t="str">
            <v>DIST</v>
          </cell>
          <cell r="P237">
            <v>0</v>
          </cell>
          <cell r="R237">
            <v>17</v>
          </cell>
        </row>
        <row r="238">
          <cell r="A238">
            <v>223</v>
          </cell>
          <cell r="B238" t="str">
            <v>Maint. of Structures &amp; Improvements</v>
          </cell>
          <cell r="C238" t="str">
            <v>886</v>
          </cell>
          <cell r="E238">
            <v>15839.48407712</v>
          </cell>
          <cell r="F238" t="str">
            <v>DIST</v>
          </cell>
          <cell r="P238">
            <v>0</v>
          </cell>
          <cell r="R238">
            <v>17</v>
          </cell>
        </row>
        <row r="239">
          <cell r="A239">
            <v>224</v>
          </cell>
          <cell r="B239" t="str">
            <v>Maint. of Mains</v>
          </cell>
          <cell r="C239" t="str">
            <v>887</v>
          </cell>
          <cell r="E239">
            <v>1297085.0157871176</v>
          </cell>
          <cell r="F239" t="str">
            <v>DIST-MAINS</v>
          </cell>
          <cell r="P239">
            <v>0</v>
          </cell>
          <cell r="R239">
            <v>62</v>
          </cell>
        </row>
        <row r="240">
          <cell r="A240">
            <v>225</v>
          </cell>
          <cell r="B240" t="str">
            <v>Maint. of Compressor Station Equip.</v>
          </cell>
          <cell r="C240" t="str">
            <v>888</v>
          </cell>
          <cell r="E240">
            <v>43235.8</v>
          </cell>
          <cell r="F240" t="str">
            <v>DIST</v>
          </cell>
          <cell r="P240">
            <v>0</v>
          </cell>
          <cell r="R240">
            <v>17</v>
          </cell>
        </row>
        <row r="241">
          <cell r="A241">
            <v>226</v>
          </cell>
          <cell r="B241" t="str">
            <v>Maint. of Meas. &amp; Reg. Station Expenses-General</v>
          </cell>
          <cell r="C241" t="str">
            <v>889</v>
          </cell>
          <cell r="E241">
            <v>348808.42392243946</v>
          </cell>
          <cell r="F241" t="str">
            <v>DIST</v>
          </cell>
          <cell r="P241">
            <v>0</v>
          </cell>
          <cell r="R241">
            <v>17</v>
          </cell>
        </row>
        <row r="242">
          <cell r="A242">
            <v>227</v>
          </cell>
          <cell r="B242" t="str">
            <v>Maint. of Meas. &amp; Reg. Station Expenses-Indust.</v>
          </cell>
          <cell r="C242" t="str">
            <v>890</v>
          </cell>
          <cell r="E242">
            <v>22017.708227379419</v>
          </cell>
          <cell r="F242" t="str">
            <v>DIST</v>
          </cell>
          <cell r="P242">
            <v>0</v>
          </cell>
          <cell r="R242">
            <v>17</v>
          </cell>
        </row>
        <row r="243">
          <cell r="A243">
            <v>228</v>
          </cell>
          <cell r="B243" t="str">
            <v>Maint. of Services</v>
          </cell>
          <cell r="C243" t="str">
            <v>892</v>
          </cell>
          <cell r="E243">
            <v>1236992.4879191988</v>
          </cell>
          <cell r="F243" t="str">
            <v>DIST</v>
          </cell>
          <cell r="P243">
            <v>0</v>
          </cell>
          <cell r="R243">
            <v>17</v>
          </cell>
        </row>
        <row r="244">
          <cell r="A244">
            <v>229</v>
          </cell>
          <cell r="B244" t="str">
            <v>Maint. of Meters &amp; House Regulators</v>
          </cell>
          <cell r="C244" t="str">
            <v>893</v>
          </cell>
          <cell r="E244">
            <v>1158015.9543685243</v>
          </cell>
          <cell r="F244" t="str">
            <v>DIST</v>
          </cell>
          <cell r="P244">
            <v>0</v>
          </cell>
          <cell r="R244">
            <v>17</v>
          </cell>
        </row>
        <row r="245">
          <cell r="A245">
            <v>230</v>
          </cell>
          <cell r="B245" t="str">
            <v>Maint. of Other Equipment</v>
          </cell>
          <cell r="C245" t="str">
            <v>894</v>
          </cell>
          <cell r="E245">
            <v>152352.80817273728</v>
          </cell>
          <cell r="F245" t="str">
            <v>DISTPT</v>
          </cell>
          <cell r="P245">
            <v>0</v>
          </cell>
          <cell r="R245">
            <v>77</v>
          </cell>
        </row>
        <row r="246">
          <cell r="A246">
            <v>231</v>
          </cell>
        </row>
        <row r="247">
          <cell r="A247">
            <v>232</v>
          </cell>
          <cell r="B247" t="str">
            <v>Subtotal - DISTRIBUTION EXPENSES</v>
          </cell>
          <cell r="C247" t="str">
            <v>870-894</v>
          </cell>
          <cell r="E247">
            <v>18270150.716667399</v>
          </cell>
          <cell r="P247">
            <v>0</v>
          </cell>
        </row>
        <row r="248">
          <cell r="A248">
            <v>233</v>
          </cell>
        </row>
        <row r="249">
          <cell r="A249">
            <v>234</v>
          </cell>
          <cell r="B249" t="str">
            <v>Total - OPERATION &amp; MAINTENANCE EXPENSES</v>
          </cell>
          <cell r="E249">
            <v>126417708.21001087</v>
          </cell>
          <cell r="P249">
            <v>0</v>
          </cell>
        </row>
        <row r="250">
          <cell r="A250">
            <v>235</v>
          </cell>
        </row>
        <row r="251">
          <cell r="A251">
            <v>236</v>
          </cell>
        </row>
        <row r="252">
          <cell r="A252">
            <v>237</v>
          </cell>
          <cell r="B252" t="str">
            <v>II. CUSTOMER ACCOUNTS EXPENSES</v>
          </cell>
        </row>
        <row r="253">
          <cell r="A253">
            <v>238</v>
          </cell>
          <cell r="B253" t="str">
            <v>Supervision</v>
          </cell>
          <cell r="C253">
            <v>901</v>
          </cell>
          <cell r="E253">
            <v>-2727.79</v>
          </cell>
          <cell r="F253" t="str">
            <v>DIST</v>
          </cell>
          <cell r="P253">
            <v>0</v>
          </cell>
          <cell r="R253">
            <v>17</v>
          </cell>
        </row>
        <row r="254">
          <cell r="A254">
            <v>239</v>
          </cell>
          <cell r="B254" t="str">
            <v>Meter Reading Expenses</v>
          </cell>
          <cell r="C254" t="str">
            <v>902</v>
          </cell>
          <cell r="E254">
            <v>548914.53047802974</v>
          </cell>
          <cell r="F254" t="str">
            <v>DIST</v>
          </cell>
          <cell r="P254">
            <v>0</v>
          </cell>
          <cell r="R254">
            <v>17</v>
          </cell>
        </row>
        <row r="255">
          <cell r="A255">
            <v>240</v>
          </cell>
          <cell r="B255" t="str">
            <v>Customer Records &amp; Collection Expense</v>
          </cell>
          <cell r="C255" t="str">
            <v>903</v>
          </cell>
          <cell r="E255">
            <v>5145122.597435995</v>
          </cell>
          <cell r="F255" t="str">
            <v>DIST</v>
          </cell>
          <cell r="P255">
            <v>0</v>
          </cell>
          <cell r="R255">
            <v>17</v>
          </cell>
        </row>
        <row r="256">
          <cell r="A256">
            <v>241</v>
          </cell>
          <cell r="B256" t="str">
            <v>Uncollectible Accounts</v>
          </cell>
          <cell r="C256" t="str">
            <v>904</v>
          </cell>
          <cell r="E256">
            <v>823816.4605104347</v>
          </cell>
          <cell r="F256" t="str">
            <v>DIST</v>
          </cell>
          <cell r="P256">
            <v>0</v>
          </cell>
          <cell r="R256">
            <v>17</v>
          </cell>
        </row>
        <row r="257">
          <cell r="A257">
            <v>242</v>
          </cell>
          <cell r="B257" t="str">
            <v>Misc. Exp.</v>
          </cell>
          <cell r="C257">
            <v>905</v>
          </cell>
          <cell r="E257">
            <v>795.98</v>
          </cell>
          <cell r="F257" t="str">
            <v>DIST</v>
          </cell>
          <cell r="P257">
            <v>0</v>
          </cell>
          <cell r="R257">
            <v>17</v>
          </cell>
        </row>
        <row r="258">
          <cell r="A258">
            <v>243</v>
          </cell>
        </row>
        <row r="259">
          <cell r="A259">
            <v>244</v>
          </cell>
          <cell r="B259" t="str">
            <v>Total - CUSTOMER ACCOUNTS EXPENSES</v>
          </cell>
          <cell r="C259" t="str">
            <v>901-904</v>
          </cell>
          <cell r="E259">
            <v>6515921.7784244595</v>
          </cell>
          <cell r="P259">
            <v>0</v>
          </cell>
        </row>
        <row r="260">
          <cell r="A260">
            <v>245</v>
          </cell>
        </row>
        <row r="261">
          <cell r="A261">
            <v>246</v>
          </cell>
          <cell r="B261" t="str">
            <v>III. CUSTOMER SERVICE &amp; INFORMATIONAL EXPENSES</v>
          </cell>
        </row>
        <row r="262">
          <cell r="A262">
            <v>247</v>
          </cell>
        </row>
        <row r="263">
          <cell r="A263">
            <v>248</v>
          </cell>
          <cell r="B263" t="str">
            <v>Supervision</v>
          </cell>
          <cell r="C263">
            <v>907</v>
          </cell>
          <cell r="E263">
            <v>0</v>
          </cell>
          <cell r="F263" t="str">
            <v>DIST</v>
          </cell>
          <cell r="P263">
            <v>0</v>
          </cell>
          <cell r="R263">
            <v>17</v>
          </cell>
        </row>
        <row r="264">
          <cell r="A264">
            <v>249</v>
          </cell>
          <cell r="B264" t="str">
            <v>Customer Assistance Expenses</v>
          </cell>
          <cell r="C264">
            <v>908</v>
          </cell>
          <cell r="E264">
            <v>250860.92000000004</v>
          </cell>
          <cell r="F264" t="str">
            <v>DIST</v>
          </cell>
          <cell r="P264">
            <v>0</v>
          </cell>
          <cell r="R264">
            <v>17</v>
          </cell>
        </row>
        <row r="265">
          <cell r="A265">
            <v>250</v>
          </cell>
          <cell r="B265" t="str">
            <v>Misc. Customer Serv. &amp; Inform. Expen.</v>
          </cell>
          <cell r="C265" t="str">
            <v>909, 910</v>
          </cell>
          <cell r="E265">
            <v>40201.360000000001</v>
          </cell>
          <cell r="F265" t="str">
            <v>DIST</v>
          </cell>
          <cell r="P265">
            <v>0</v>
          </cell>
          <cell r="R265">
            <v>17</v>
          </cell>
        </row>
        <row r="266">
          <cell r="A266">
            <v>251</v>
          </cell>
        </row>
        <row r="267">
          <cell r="A267">
            <v>252</v>
          </cell>
          <cell r="B267" t="str">
            <v>Subtotal - CUSTOMER SERVICE</v>
          </cell>
          <cell r="C267" t="str">
            <v>907-910</v>
          </cell>
          <cell r="E267">
            <v>291062.28000000003</v>
          </cell>
          <cell r="P267">
            <v>0</v>
          </cell>
        </row>
        <row r="268">
          <cell r="A268">
            <v>253</v>
          </cell>
        </row>
        <row r="269">
          <cell r="A269">
            <v>254</v>
          </cell>
          <cell r="B269" t="str">
            <v>IV. SALES EXPENSES (C-8)</v>
          </cell>
        </row>
        <row r="270">
          <cell r="A270">
            <v>255</v>
          </cell>
        </row>
        <row r="271">
          <cell r="A271">
            <v>256</v>
          </cell>
          <cell r="B271" t="str">
            <v>Supervision</v>
          </cell>
          <cell r="C271">
            <v>911</v>
          </cell>
          <cell r="E271">
            <v>0</v>
          </cell>
          <cell r="F271" t="str">
            <v>DIST</v>
          </cell>
          <cell r="P271">
            <v>0</v>
          </cell>
          <cell r="R271">
            <v>17</v>
          </cell>
        </row>
        <row r="272">
          <cell r="A272">
            <v>257</v>
          </cell>
          <cell r="B272" t="str">
            <v>Demonstrating &amp; Selling Expenses</v>
          </cell>
          <cell r="C272" t="str">
            <v>912, 913</v>
          </cell>
          <cell r="E272">
            <v>0</v>
          </cell>
          <cell r="F272" t="str">
            <v>DIST</v>
          </cell>
          <cell r="P272">
            <v>0</v>
          </cell>
          <cell r="R272">
            <v>17</v>
          </cell>
        </row>
        <row r="273">
          <cell r="A273">
            <v>258</v>
          </cell>
          <cell r="B273" t="str">
            <v>Miscellaneous Sales Expenses</v>
          </cell>
          <cell r="C273">
            <v>916</v>
          </cell>
          <cell r="E273">
            <v>-300</v>
          </cell>
          <cell r="F273" t="str">
            <v>DIST</v>
          </cell>
          <cell r="P273">
            <v>0</v>
          </cell>
          <cell r="R273">
            <v>17</v>
          </cell>
        </row>
        <row r="274">
          <cell r="A274">
            <v>259</v>
          </cell>
          <cell r="B274" t="str">
            <v xml:space="preserve">     Subtotal - O&amp;M Accounts </v>
          </cell>
          <cell r="C274" t="str">
            <v>911-916</v>
          </cell>
          <cell r="E274">
            <v>-300</v>
          </cell>
          <cell r="P274">
            <v>0</v>
          </cell>
        </row>
        <row r="275">
          <cell r="A275">
            <v>260</v>
          </cell>
        </row>
        <row r="276">
          <cell r="A276">
            <v>261</v>
          </cell>
          <cell r="B276" t="str">
            <v>Total - SALES EXPENSES</v>
          </cell>
          <cell r="C276" t="str">
            <v>911-916</v>
          </cell>
          <cell r="E276">
            <v>-300</v>
          </cell>
          <cell r="P276">
            <v>0</v>
          </cell>
        </row>
        <row r="277">
          <cell r="A277">
            <v>262</v>
          </cell>
        </row>
        <row r="278">
          <cell r="A278">
            <v>263</v>
          </cell>
          <cell r="B278" t="str">
            <v>Total - CUSTOMER ACCOUNTS, SERVICES &amp; SALES EXPENSES</v>
          </cell>
          <cell r="C278" t="str">
            <v>901-916</v>
          </cell>
          <cell r="E278">
            <v>6806684.0584244598</v>
          </cell>
          <cell r="P278">
            <v>0</v>
          </cell>
        </row>
        <row r="279">
          <cell r="A279">
            <v>264</v>
          </cell>
        </row>
        <row r="280">
          <cell r="A280">
            <v>265</v>
          </cell>
          <cell r="B280" t="str">
            <v>V. ADMINISTRATIVE &amp; GENERAL EXPENSES</v>
          </cell>
          <cell r="P280">
            <v>0</v>
          </cell>
        </row>
        <row r="281">
          <cell r="A281">
            <v>266</v>
          </cell>
        </row>
        <row r="282">
          <cell r="A282">
            <v>267</v>
          </cell>
          <cell r="B282" t="str">
            <v>A. Labor-Related:</v>
          </cell>
        </row>
        <row r="283">
          <cell r="A283">
            <v>268</v>
          </cell>
        </row>
        <row r="284">
          <cell r="A284">
            <v>269</v>
          </cell>
          <cell r="B284" t="str">
            <v>Administrative &amp; General Salaries</v>
          </cell>
          <cell r="C284" t="str">
            <v>920</v>
          </cell>
          <cell r="E284">
            <v>6031663.8440251816</v>
          </cell>
          <cell r="F284" t="str">
            <v>LABOR</v>
          </cell>
          <cell r="P284">
            <v>0</v>
          </cell>
          <cell r="R284">
            <v>38</v>
          </cell>
        </row>
        <row r="285">
          <cell r="A285">
            <v>270</v>
          </cell>
          <cell r="B285" t="str">
            <v>Office Supplies &amp; Expenses</v>
          </cell>
          <cell r="C285" t="str">
            <v>921</v>
          </cell>
          <cell r="E285">
            <v>2457887.234337891</v>
          </cell>
          <cell r="F285" t="str">
            <v>LABOR</v>
          </cell>
          <cell r="P285">
            <v>0</v>
          </cell>
          <cell r="R285">
            <v>38</v>
          </cell>
        </row>
        <row r="286">
          <cell r="A286">
            <v>271</v>
          </cell>
          <cell r="B286" t="str">
            <v>Admin. Expenses Transferred-Credit</v>
          </cell>
          <cell r="C286" t="str">
            <v>922</v>
          </cell>
          <cell r="E286">
            <v>-284965.68</v>
          </cell>
          <cell r="F286" t="str">
            <v>LABOR</v>
          </cell>
          <cell r="P286">
            <v>0</v>
          </cell>
          <cell r="R286">
            <v>38</v>
          </cell>
        </row>
        <row r="287">
          <cell r="A287">
            <v>272</v>
          </cell>
          <cell r="B287" t="str">
            <v>Outside Services Employed</v>
          </cell>
          <cell r="C287" t="str">
            <v>923</v>
          </cell>
          <cell r="E287">
            <v>1296216.6000000001</v>
          </cell>
          <cell r="F287" t="str">
            <v>LABOR</v>
          </cell>
          <cell r="P287">
            <v>0</v>
          </cell>
          <cell r="R287">
            <v>38</v>
          </cell>
        </row>
        <row r="288">
          <cell r="A288">
            <v>273</v>
          </cell>
          <cell r="B288" t="str">
            <v>Outside Services-Dem&amp;Selling Exp</v>
          </cell>
          <cell r="C288" t="str">
            <v>923</v>
          </cell>
          <cell r="E288">
            <v>0</v>
          </cell>
          <cell r="F288" t="str">
            <v>LABOR</v>
          </cell>
          <cell r="P288">
            <v>0</v>
          </cell>
          <cell r="R288">
            <v>38</v>
          </cell>
        </row>
        <row r="289">
          <cell r="A289">
            <v>274</v>
          </cell>
          <cell r="B289" t="str">
            <v>Employee Pensions and Benefits</v>
          </cell>
          <cell r="C289" t="str">
            <v>926</v>
          </cell>
          <cell r="E289">
            <v>4560394.5620801607</v>
          </cell>
          <cell r="F289" t="str">
            <v>LABOR</v>
          </cell>
          <cell r="P289">
            <v>0</v>
          </cell>
          <cell r="R289">
            <v>38</v>
          </cell>
        </row>
        <row r="290">
          <cell r="A290">
            <v>275</v>
          </cell>
        </row>
        <row r="291">
          <cell r="A291">
            <v>276</v>
          </cell>
          <cell r="B291" t="str">
            <v>Subtotal - O&amp;M Accounts</v>
          </cell>
          <cell r="C291" t="str">
            <v>920-932</v>
          </cell>
          <cell r="E291">
            <v>14061196.560443234</v>
          </cell>
          <cell r="P291">
            <v>0</v>
          </cell>
        </row>
        <row r="292">
          <cell r="A292">
            <v>277</v>
          </cell>
        </row>
        <row r="293">
          <cell r="A293">
            <v>278</v>
          </cell>
          <cell r="B293" t="str">
            <v>B. Plant-Related:</v>
          </cell>
        </row>
        <row r="294">
          <cell r="A294">
            <v>279</v>
          </cell>
        </row>
        <row r="295">
          <cell r="A295">
            <v>280</v>
          </cell>
          <cell r="B295" t="str">
            <v>Property Insurance</v>
          </cell>
          <cell r="C295" t="str">
            <v>924</v>
          </cell>
          <cell r="E295">
            <v>60387.9</v>
          </cell>
          <cell r="F295" t="str">
            <v>PSTDP</v>
          </cell>
          <cell r="P295">
            <v>0</v>
          </cell>
          <cell r="R295">
            <v>50</v>
          </cell>
        </row>
        <row r="296">
          <cell r="A296">
            <v>281</v>
          </cell>
          <cell r="B296" t="str">
            <v>Injuries and Damages</v>
          </cell>
          <cell r="C296" t="str">
            <v>925</v>
          </cell>
          <cell r="E296">
            <v>1073773.6000000001</v>
          </cell>
          <cell r="F296" t="str">
            <v>LABOR</v>
          </cell>
          <cell r="P296">
            <v>0</v>
          </cell>
          <cell r="R296">
            <v>38</v>
          </cell>
        </row>
        <row r="297">
          <cell r="A297">
            <v>282</v>
          </cell>
          <cell r="B297" t="str">
            <v>Maintenance of General Plant</v>
          </cell>
          <cell r="C297" t="str">
            <v>932</v>
          </cell>
          <cell r="E297">
            <v>33089.775699783007</v>
          </cell>
          <cell r="F297" t="str">
            <v>PSTDP</v>
          </cell>
          <cell r="P297">
            <v>0</v>
          </cell>
          <cell r="R297">
            <v>50</v>
          </cell>
        </row>
        <row r="298">
          <cell r="A298">
            <v>283</v>
          </cell>
        </row>
        <row r="299">
          <cell r="A299">
            <v>284</v>
          </cell>
          <cell r="B299" t="str">
            <v xml:space="preserve">Subtotal - O&amp;M Accounts </v>
          </cell>
          <cell r="E299">
            <v>1167251.2756997831</v>
          </cell>
          <cell r="P299">
            <v>0</v>
          </cell>
        </row>
        <row r="300">
          <cell r="A300">
            <v>285</v>
          </cell>
        </row>
        <row r="301">
          <cell r="A301">
            <v>286</v>
          </cell>
          <cell r="B301" t="str">
            <v>C. Other-Related:</v>
          </cell>
        </row>
        <row r="302">
          <cell r="A302">
            <v>287</v>
          </cell>
        </row>
        <row r="303">
          <cell r="A303">
            <v>288</v>
          </cell>
          <cell r="B303" t="str">
            <v>Franchise Requirements</v>
          </cell>
          <cell r="C303" t="str">
            <v>927</v>
          </cell>
          <cell r="E303">
            <v>0</v>
          </cell>
          <cell r="F303" t="str">
            <v>PSTD/LP</v>
          </cell>
          <cell r="P303">
            <v>0</v>
          </cell>
          <cell r="R303">
            <v>65</v>
          </cell>
        </row>
        <row r="304">
          <cell r="A304">
            <v>289</v>
          </cell>
          <cell r="B304" t="str">
            <v>Regulatory Commission Expenses</v>
          </cell>
          <cell r="C304" t="str">
            <v>928</v>
          </cell>
          <cell r="E304">
            <v>0</v>
          </cell>
          <cell r="F304" t="str">
            <v>PSTD/LP</v>
          </cell>
          <cell r="P304">
            <v>0</v>
          </cell>
          <cell r="R304">
            <v>65</v>
          </cell>
        </row>
        <row r="305">
          <cell r="A305">
            <v>290</v>
          </cell>
          <cell r="B305" t="str">
            <v>Duplicate Charges - Credit</v>
          </cell>
          <cell r="C305" t="str">
            <v>929</v>
          </cell>
          <cell r="E305">
            <v>0</v>
          </cell>
          <cell r="F305" t="str">
            <v>PSTD/LP</v>
          </cell>
          <cell r="P305">
            <v>0</v>
          </cell>
          <cell r="R305">
            <v>65</v>
          </cell>
        </row>
        <row r="306">
          <cell r="A306">
            <v>291</v>
          </cell>
          <cell r="B306" t="str">
            <v>Misc. Gen'l Expenses</v>
          </cell>
          <cell r="E306">
            <v>774898.59</v>
          </cell>
          <cell r="F306" t="str">
            <v>O&amp;MXGAS</v>
          </cell>
          <cell r="P306">
            <v>0</v>
          </cell>
          <cell r="R306">
            <v>119</v>
          </cell>
        </row>
        <row r="307">
          <cell r="A307">
            <v>292</v>
          </cell>
          <cell r="B307" t="str">
            <v>Rents</v>
          </cell>
          <cell r="C307" t="str">
            <v>931</v>
          </cell>
          <cell r="E307">
            <v>1238673.51</v>
          </cell>
          <cell r="F307" t="str">
            <v>PSTDP</v>
          </cell>
          <cell r="P307">
            <v>0</v>
          </cell>
          <cell r="R307">
            <v>50</v>
          </cell>
        </row>
        <row r="308">
          <cell r="A308">
            <v>293</v>
          </cell>
        </row>
        <row r="309">
          <cell r="A309">
            <v>294</v>
          </cell>
          <cell r="B309" t="str">
            <v>Total - ADMINISTRATIVE &amp; GENERAL EXPENSES</v>
          </cell>
          <cell r="C309" t="str">
            <v>920-931</v>
          </cell>
          <cell r="E309">
            <v>17242019.936143018</v>
          </cell>
          <cell r="P309">
            <v>0</v>
          </cell>
        </row>
        <row r="310">
          <cell r="A310">
            <v>295</v>
          </cell>
        </row>
        <row r="311">
          <cell r="A311">
            <v>296</v>
          </cell>
          <cell r="B311" t="str">
            <v>TOTAL - OPERATING EXPENSES (Excl. Depr.,</v>
          </cell>
          <cell r="E311">
            <v>42318854.711234868</v>
          </cell>
          <cell r="P311">
            <v>0</v>
          </cell>
        </row>
        <row r="312">
          <cell r="A312">
            <v>297</v>
          </cell>
          <cell r="B312" t="str">
            <v>Taxes, and Gas Supply Expense)</v>
          </cell>
        </row>
        <row r="313">
          <cell r="A313">
            <v>298</v>
          </cell>
        </row>
        <row r="314">
          <cell r="A314">
            <v>299</v>
          </cell>
          <cell r="B314" t="str">
            <v>VI. DEPRECIATION EXPENSE</v>
          </cell>
        </row>
        <row r="315">
          <cell r="A315">
            <v>300</v>
          </cell>
          <cell r="B315" t="str">
            <v>Intangible Plant</v>
          </cell>
          <cell r="C315" t="str">
            <v>403.1</v>
          </cell>
          <cell r="E315">
            <v>2195886.7982905838</v>
          </cell>
          <cell r="F315" t="str">
            <v>INTANGPT</v>
          </cell>
          <cell r="P315">
            <v>0</v>
          </cell>
          <cell r="R315">
            <v>116</v>
          </cell>
        </row>
        <row r="316">
          <cell r="A316">
            <v>301</v>
          </cell>
          <cell r="B316" t="str">
            <v>Production Plant</v>
          </cell>
          <cell r="C316" t="str">
            <v>403.2</v>
          </cell>
          <cell r="E316">
            <v>0</v>
          </cell>
          <cell r="F316" t="str">
            <v>SUPP</v>
          </cell>
          <cell r="P316">
            <v>0</v>
          </cell>
          <cell r="R316">
            <v>8</v>
          </cell>
        </row>
        <row r="317">
          <cell r="A317">
            <v>302</v>
          </cell>
          <cell r="B317" t="str">
            <v>Natural Gas Storage Plant</v>
          </cell>
          <cell r="C317" t="str">
            <v>403.3</v>
          </cell>
          <cell r="E317">
            <v>0</v>
          </cell>
          <cell r="F317" t="str">
            <v>STORPT</v>
          </cell>
          <cell r="P317">
            <v>0</v>
          </cell>
          <cell r="R317">
            <v>71</v>
          </cell>
        </row>
        <row r="318">
          <cell r="A318">
            <v>303</v>
          </cell>
          <cell r="B318" t="str">
            <v>Transmission</v>
          </cell>
          <cell r="C318" t="str">
            <v>403.4</v>
          </cell>
          <cell r="E318">
            <v>308678.84799199994</v>
          </cell>
          <cell r="F318" t="str">
            <v>TRANSPT</v>
          </cell>
          <cell r="P318">
            <v>0</v>
          </cell>
          <cell r="R318">
            <v>74</v>
          </cell>
        </row>
        <row r="319">
          <cell r="A319">
            <v>304</v>
          </cell>
          <cell r="B319" t="str">
            <v>Distribution Land &amp; Structures</v>
          </cell>
          <cell r="C319">
            <v>0</v>
          </cell>
          <cell r="E319">
            <v>44678.056517999998</v>
          </cell>
          <cell r="F319" t="str">
            <v>DISTPT</v>
          </cell>
          <cell r="P319">
            <v>0</v>
          </cell>
          <cell r="R319">
            <v>77</v>
          </cell>
        </row>
        <row r="320">
          <cell r="A320">
            <v>305</v>
          </cell>
          <cell r="B320" t="str">
            <v>Distribution Mains</v>
          </cell>
          <cell r="C320" t="str">
            <v>403.5</v>
          </cell>
          <cell r="E320">
            <v>8055208.5000497503</v>
          </cell>
          <cell r="F320" t="str">
            <v>DISTPT</v>
          </cell>
          <cell r="P320">
            <v>0</v>
          </cell>
          <cell r="R320">
            <v>77</v>
          </cell>
        </row>
        <row r="321">
          <cell r="A321">
            <v>306</v>
          </cell>
          <cell r="B321" t="str">
            <v>Compressor Station</v>
          </cell>
          <cell r="C321">
            <v>0</v>
          </cell>
          <cell r="E321">
            <v>404057.81702400005</v>
          </cell>
          <cell r="F321" t="str">
            <v>DISTPT</v>
          </cell>
          <cell r="P321">
            <v>0</v>
          </cell>
          <cell r="R321">
            <v>77</v>
          </cell>
        </row>
        <row r="322">
          <cell r="A322">
            <v>307</v>
          </cell>
          <cell r="B322" t="str">
            <v>Distribution Services</v>
          </cell>
          <cell r="C322" t="str">
            <v>403.6</v>
          </cell>
          <cell r="E322">
            <v>5970894.3806760004</v>
          </cell>
          <cell r="F322" t="str">
            <v>DISTPT</v>
          </cell>
          <cell r="P322">
            <v>0</v>
          </cell>
          <cell r="R322">
            <v>77</v>
          </cell>
        </row>
        <row r="323">
          <cell r="A323">
            <v>308</v>
          </cell>
          <cell r="B323" t="str">
            <v>Distr- Meters &amp; House Regulators</v>
          </cell>
          <cell r="C323" t="str">
            <v>403.7</v>
          </cell>
          <cell r="E323">
            <v>1573842.2037488776</v>
          </cell>
          <cell r="F323" t="str">
            <v>DISTPT</v>
          </cell>
          <cell r="P323">
            <v>0</v>
          </cell>
          <cell r="R323">
            <v>77</v>
          </cell>
        </row>
        <row r="324">
          <cell r="A324">
            <v>309</v>
          </cell>
          <cell r="B324" t="str">
            <v>Industrial M &amp; R Station Equipment</v>
          </cell>
          <cell r="C324">
            <v>0</v>
          </cell>
          <cell r="E324">
            <v>196845.42311399995</v>
          </cell>
          <cell r="F324" t="str">
            <v>DISTPT</v>
          </cell>
          <cell r="P324">
            <v>0</v>
          </cell>
          <cell r="R324">
            <v>77</v>
          </cell>
        </row>
        <row r="325">
          <cell r="A325">
            <v>310</v>
          </cell>
          <cell r="B325" t="str">
            <v xml:space="preserve">General Plant </v>
          </cell>
          <cell r="C325" t="str">
            <v>403.9</v>
          </cell>
          <cell r="E325">
            <v>957214.35916271806</v>
          </cell>
          <cell r="F325" t="str">
            <v>PSTDP</v>
          </cell>
          <cell r="P325">
            <v>0</v>
          </cell>
          <cell r="R325">
            <v>50</v>
          </cell>
        </row>
        <row r="326">
          <cell r="A326">
            <v>311</v>
          </cell>
          <cell r="B326" t="str">
            <v>Amort &amp; Depl of UG Storage Land &amp; Land</v>
          </cell>
          <cell r="C326">
            <v>404</v>
          </cell>
          <cell r="E326">
            <v>0</v>
          </cell>
          <cell r="F326" t="str">
            <v>STORPT</v>
          </cell>
          <cell r="P326">
            <v>0</v>
          </cell>
          <cell r="R326">
            <v>71</v>
          </cell>
        </row>
        <row r="327">
          <cell r="A327">
            <v>312</v>
          </cell>
        </row>
        <row r="328">
          <cell r="A328">
            <v>313</v>
          </cell>
          <cell r="B328" t="str">
            <v>Total - DEPRECIATION EXPENSE</v>
          </cell>
          <cell r="C328" t="str">
            <v>403</v>
          </cell>
          <cell r="E328">
            <v>19707306.386575934</v>
          </cell>
          <cell r="P328">
            <v>0</v>
          </cell>
        </row>
        <row r="329">
          <cell r="A329">
            <v>314</v>
          </cell>
        </row>
        <row r="330">
          <cell r="A330">
            <v>315</v>
          </cell>
          <cell r="B330" t="str">
            <v>VII. TAXES OTHER THAN INCOME TAXES</v>
          </cell>
          <cell r="P330">
            <v>0</v>
          </cell>
        </row>
        <row r="331">
          <cell r="A331">
            <v>316</v>
          </cell>
        </row>
        <row r="332">
          <cell r="A332">
            <v>317</v>
          </cell>
          <cell r="B332" t="str">
            <v>A. General Taxes</v>
          </cell>
        </row>
        <row r="333">
          <cell r="A333">
            <v>318</v>
          </cell>
        </row>
        <row r="334">
          <cell r="A334">
            <v>319</v>
          </cell>
          <cell r="B334" t="str">
            <v>Payroll Taxes</v>
          </cell>
          <cell r="C334" t="str">
            <v>408.15</v>
          </cell>
          <cell r="E334">
            <v>4402810.6573555116</v>
          </cell>
          <cell r="F334" t="str">
            <v>LABOR</v>
          </cell>
          <cell r="P334">
            <v>0</v>
          </cell>
          <cell r="R334">
            <v>38</v>
          </cell>
        </row>
        <row r="335">
          <cell r="A335">
            <v>320</v>
          </cell>
          <cell r="B335" t="str">
            <v>Plant Related Taxes</v>
          </cell>
          <cell r="C335" t="str">
            <v>408.17</v>
          </cell>
          <cell r="E335">
            <v>0</v>
          </cell>
          <cell r="F335" t="str">
            <v>PSTDP</v>
          </cell>
          <cell r="P335">
            <v>0</v>
          </cell>
          <cell r="R335">
            <v>50</v>
          </cell>
        </row>
        <row r="336">
          <cell r="A336">
            <v>321</v>
          </cell>
          <cell r="B336" t="str">
            <v>Gas Related</v>
          </cell>
          <cell r="C336" t="str">
            <v>408.18</v>
          </cell>
          <cell r="E336">
            <v>0</v>
          </cell>
          <cell r="F336" t="str">
            <v>SUPP</v>
          </cell>
          <cell r="P336">
            <v>0</v>
          </cell>
          <cell r="R336">
            <v>8</v>
          </cell>
        </row>
        <row r="337">
          <cell r="A337">
            <v>322</v>
          </cell>
          <cell r="B337" t="str">
            <v>Subtotal - Real Estate &amp; Other</v>
          </cell>
          <cell r="C337" t="str">
            <v>408.17,408.18</v>
          </cell>
          <cell r="E337">
            <v>0</v>
          </cell>
          <cell r="P337">
            <v>0</v>
          </cell>
        </row>
        <row r="338">
          <cell r="A338">
            <v>323</v>
          </cell>
          <cell r="B338" t="str">
            <v>Subtotal - General Taxes</v>
          </cell>
          <cell r="E338">
            <v>4402810.6573555116</v>
          </cell>
          <cell r="P338">
            <v>0</v>
          </cell>
        </row>
        <row r="339">
          <cell r="A339">
            <v>324</v>
          </cell>
        </row>
        <row r="340">
          <cell r="A340">
            <v>325</v>
          </cell>
          <cell r="B340" t="str">
            <v xml:space="preserve">TOTAL EXPENSES (excl. Gross Receipts </v>
          </cell>
          <cell r="C340" t="str">
            <v>408.1</v>
          </cell>
          <cell r="E340">
            <v>174576529.24850979</v>
          </cell>
          <cell r="P340">
            <v>0</v>
          </cell>
        </row>
        <row r="341">
          <cell r="A341">
            <v>326</v>
          </cell>
          <cell r="B341" t="str">
            <v>Taxes &amp; Gas Purchases)</v>
          </cell>
        </row>
        <row r="342">
          <cell r="A342">
            <v>327</v>
          </cell>
        </row>
        <row r="343">
          <cell r="A343">
            <v>328</v>
          </cell>
          <cell r="B343" t="str">
            <v>B. Revenue Taxes: (GRT)</v>
          </cell>
        </row>
        <row r="344">
          <cell r="A344">
            <v>329</v>
          </cell>
        </row>
        <row r="345">
          <cell r="A345">
            <v>330</v>
          </cell>
          <cell r="B345" t="str">
            <v>Gross Revenue Taxes</v>
          </cell>
          <cell r="C345" t="str">
            <v>408.11</v>
          </cell>
          <cell r="E345">
            <v>17435062.161555059</v>
          </cell>
          <cell r="F345" t="str">
            <v>REVREQ</v>
          </cell>
          <cell r="P345">
            <v>0</v>
          </cell>
          <cell r="R345">
            <v>107</v>
          </cell>
        </row>
        <row r="346">
          <cell r="A346">
            <v>331</v>
          </cell>
          <cell r="B346" t="str">
            <v>Municipal Tax</v>
          </cell>
          <cell r="C346">
            <v>408.12</v>
          </cell>
          <cell r="E346">
            <v>0</v>
          </cell>
          <cell r="F346" t="str">
            <v>REVREQ</v>
          </cell>
          <cell r="P346">
            <v>0</v>
          </cell>
          <cell r="R346">
            <v>107</v>
          </cell>
        </row>
        <row r="347">
          <cell r="A347">
            <v>332</v>
          </cell>
          <cell r="B347" t="str">
            <v>Subtotal - Revenue Taxes (GRT)</v>
          </cell>
          <cell r="E347">
            <v>17435062.161555059</v>
          </cell>
          <cell r="P347">
            <v>0</v>
          </cell>
        </row>
        <row r="348">
          <cell r="A348">
            <v>333</v>
          </cell>
        </row>
        <row r="349">
          <cell r="A349">
            <v>334</v>
          </cell>
          <cell r="B349" t="str">
            <v>C. INCOME TAXES</v>
          </cell>
        </row>
        <row r="350">
          <cell r="A350">
            <v>335</v>
          </cell>
        </row>
        <row r="351">
          <cell r="A351">
            <v>336</v>
          </cell>
          <cell r="B351" t="str">
            <v>Fed &amp; State Income Taxes Based on Net Income</v>
          </cell>
          <cell r="C351">
            <v>409.1</v>
          </cell>
          <cell r="E351">
            <v>4982116.9962927923</v>
          </cell>
          <cell r="F351" t="str">
            <v>REVREQ</v>
          </cell>
          <cell r="P351">
            <v>0</v>
          </cell>
          <cell r="R351">
            <v>107</v>
          </cell>
        </row>
        <row r="352">
          <cell r="A352">
            <v>337</v>
          </cell>
          <cell r="B352" t="str">
            <v>Provision for Deferred Taxes</v>
          </cell>
          <cell r="C352">
            <v>410.1</v>
          </cell>
          <cell r="E352">
            <v>1031914.19</v>
          </cell>
          <cell r="F352" t="str">
            <v>PSTDP</v>
          </cell>
          <cell r="P352">
            <v>0</v>
          </cell>
          <cell r="R352">
            <v>50</v>
          </cell>
        </row>
        <row r="353">
          <cell r="A353">
            <v>338</v>
          </cell>
          <cell r="B353" t="str">
            <v>Investment Tax Credit Adjustments</v>
          </cell>
          <cell r="C353">
            <v>411</v>
          </cell>
          <cell r="E353">
            <v>-37382.410000000003</v>
          </cell>
          <cell r="F353" t="str">
            <v>PSTDP</v>
          </cell>
          <cell r="P353">
            <v>0</v>
          </cell>
          <cell r="R353">
            <v>50</v>
          </cell>
        </row>
        <row r="354">
          <cell r="A354">
            <v>339</v>
          </cell>
          <cell r="B354" t="str">
            <v>Fed &amp; State Inc Taxes Based on Deferred Plant</v>
          </cell>
          <cell r="C354" t="str">
            <v>409.1Plant</v>
          </cell>
          <cell r="E354">
            <v>0</v>
          </cell>
          <cell r="F354" t="str">
            <v>REVREQ</v>
          </cell>
          <cell r="P354">
            <v>0</v>
          </cell>
          <cell r="R354">
            <v>107</v>
          </cell>
        </row>
        <row r="355">
          <cell r="A355">
            <v>340</v>
          </cell>
          <cell r="B355" t="str">
            <v>Other</v>
          </cell>
          <cell r="C355">
            <v>409.4</v>
          </cell>
          <cell r="E355">
            <v>0</v>
          </cell>
          <cell r="F355" t="str">
            <v>REVREQ</v>
          </cell>
          <cell r="P355">
            <v>0</v>
          </cell>
          <cell r="R355">
            <v>107</v>
          </cell>
        </row>
        <row r="356">
          <cell r="A356">
            <v>341</v>
          </cell>
          <cell r="B356" t="str">
            <v>Subtotal - Income Taxes</v>
          </cell>
          <cell r="E356">
            <v>5976648.7762927916</v>
          </cell>
          <cell r="P356">
            <v>0</v>
          </cell>
        </row>
        <row r="357">
          <cell r="A357">
            <v>342</v>
          </cell>
          <cell r="P357">
            <v>0</v>
          </cell>
        </row>
        <row r="358">
          <cell r="A358">
            <v>343</v>
          </cell>
          <cell r="B358" t="str">
            <v>TOTAL TAXES (Excl. General Taxes)</v>
          </cell>
          <cell r="E358">
            <v>23411710.937847853</v>
          </cell>
          <cell r="P358">
            <v>0</v>
          </cell>
        </row>
        <row r="359">
          <cell r="A359">
            <v>344</v>
          </cell>
        </row>
        <row r="360">
          <cell r="A360">
            <v>345</v>
          </cell>
          <cell r="B360" t="str">
            <v>TOTAL EXPENSES</v>
          </cell>
          <cell r="E360">
            <v>197988240.18635765</v>
          </cell>
          <cell r="P360">
            <v>0</v>
          </cell>
        </row>
        <row r="361">
          <cell r="A361">
            <v>346</v>
          </cell>
        </row>
        <row r="362">
          <cell r="A362">
            <v>347</v>
          </cell>
        </row>
        <row r="363">
          <cell r="A363">
            <v>348</v>
          </cell>
          <cell r="B363" t="str">
            <v>V. OPERATING REVENUES</v>
          </cell>
        </row>
        <row r="364">
          <cell r="A364">
            <v>349</v>
          </cell>
        </row>
        <row r="365">
          <cell r="A365">
            <v>350</v>
          </cell>
          <cell r="B365" t="str">
            <v>Sales &amp; Transportation Operating Revenues</v>
          </cell>
          <cell r="C365" t="str">
            <v>480-485</v>
          </cell>
          <cell r="E365">
            <v>92897542.45995459</v>
          </cell>
          <cell r="F365" t="str">
            <v>REVREQ</v>
          </cell>
          <cell r="P365">
            <v>0</v>
          </cell>
          <cell r="R365">
            <v>107</v>
          </cell>
        </row>
        <row r="366">
          <cell r="A366">
            <v>351</v>
          </cell>
          <cell r="B366" t="str">
            <v>Gas Revenues</v>
          </cell>
          <cell r="E366">
            <v>112289916.10277365</v>
          </cell>
          <cell r="F366" t="str">
            <v>SUPP</v>
          </cell>
          <cell r="P366">
            <v>0</v>
          </cell>
          <cell r="R366">
            <v>8</v>
          </cell>
        </row>
        <row r="367">
          <cell r="A367">
            <v>352</v>
          </cell>
          <cell r="B367" t="str">
            <v>Miscellaneous Service Revenues</v>
          </cell>
          <cell r="C367">
            <v>487</v>
          </cell>
          <cell r="E367">
            <v>810183.02</v>
          </cell>
          <cell r="F367" t="str">
            <v>DIST</v>
          </cell>
          <cell r="P367">
            <v>0</v>
          </cell>
          <cell r="R367">
            <v>17</v>
          </cell>
        </row>
        <row r="368">
          <cell r="A368">
            <v>353</v>
          </cell>
          <cell r="B368" t="str">
            <v>Miscellaneous Charge Changes</v>
          </cell>
          <cell r="E368">
            <v>-101645</v>
          </cell>
          <cell r="F368" t="str">
            <v>REVREQ</v>
          </cell>
          <cell r="P368">
            <v>0</v>
          </cell>
          <cell r="R368">
            <v>107</v>
          </cell>
        </row>
        <row r="369">
          <cell r="A369">
            <v>354</v>
          </cell>
          <cell r="B369" t="str">
            <v>Rent From Gas Property</v>
          </cell>
          <cell r="E369">
            <v>100</v>
          </cell>
          <cell r="F369" t="str">
            <v>PSTDP</v>
          </cell>
          <cell r="P369">
            <v>0</v>
          </cell>
          <cell r="R369">
            <v>50</v>
          </cell>
        </row>
        <row r="370">
          <cell r="A370">
            <v>355</v>
          </cell>
          <cell r="B370" t="str">
            <v>Interdepartmental Rents</v>
          </cell>
          <cell r="E370">
            <v>91471.079999999973</v>
          </cell>
          <cell r="F370" t="str">
            <v>PSTDP</v>
          </cell>
          <cell r="P370">
            <v>0</v>
          </cell>
          <cell r="R370">
            <v>50</v>
          </cell>
        </row>
        <row r="371">
          <cell r="A371">
            <v>356</v>
          </cell>
          <cell r="B371" t="str">
            <v>Other Gas Revenue</v>
          </cell>
          <cell r="E371">
            <v>109620.85000000002</v>
          </cell>
          <cell r="F371" t="str">
            <v>REVREQ</v>
          </cell>
          <cell r="P371">
            <v>0</v>
          </cell>
          <cell r="R371">
            <v>107</v>
          </cell>
        </row>
        <row r="372">
          <cell r="A372">
            <v>357</v>
          </cell>
          <cell r="B372" t="str">
            <v>Miscellaneous Charges and Taxes</v>
          </cell>
          <cell r="E372">
            <v>11094720.090000002</v>
          </cell>
          <cell r="F372" t="str">
            <v>REVREQ</v>
          </cell>
          <cell r="P372">
            <v>0</v>
          </cell>
          <cell r="R372">
            <v>107</v>
          </cell>
        </row>
        <row r="373">
          <cell r="A373">
            <v>358</v>
          </cell>
          <cell r="B373" t="str">
            <v>Service Co. IT Support Revenue</v>
          </cell>
          <cell r="E373">
            <v>0</v>
          </cell>
          <cell r="F373" t="str">
            <v>DIST</v>
          </cell>
          <cell r="P373">
            <v>0</v>
          </cell>
          <cell r="R373">
            <v>17</v>
          </cell>
        </row>
        <row r="374">
          <cell r="A374">
            <v>359</v>
          </cell>
          <cell r="B374" t="str">
            <v>Storage Revenues</v>
          </cell>
          <cell r="E374">
            <v>0</v>
          </cell>
          <cell r="F374" t="str">
            <v>STOR</v>
          </cell>
          <cell r="P374">
            <v>0</v>
          </cell>
          <cell r="R374">
            <v>11</v>
          </cell>
        </row>
        <row r="375">
          <cell r="A375">
            <v>360</v>
          </cell>
          <cell r="B375" t="str">
            <v>Total Operating Revenues</v>
          </cell>
          <cell r="E375">
            <v>217191908.60272825</v>
          </cell>
          <cell r="P375">
            <v>0</v>
          </cell>
        </row>
        <row r="376">
          <cell r="A376">
            <v>361</v>
          </cell>
        </row>
        <row r="377">
          <cell r="A377">
            <v>362</v>
          </cell>
          <cell r="B377" t="str">
            <v xml:space="preserve">Other Income </v>
          </cell>
          <cell r="C377">
            <v>412</v>
          </cell>
          <cell r="E377">
            <v>0</v>
          </cell>
          <cell r="F377" t="str">
            <v>PSTDP</v>
          </cell>
          <cell r="P377">
            <v>0</v>
          </cell>
          <cell r="R377">
            <v>50</v>
          </cell>
        </row>
        <row r="378">
          <cell r="A378">
            <v>363</v>
          </cell>
        </row>
        <row r="379">
          <cell r="A379">
            <v>364</v>
          </cell>
          <cell r="B379" t="str">
            <v>NET INCOME</v>
          </cell>
          <cell r="E379">
            <v>19203668.4163706</v>
          </cell>
          <cell r="P379">
            <v>0</v>
          </cell>
        </row>
        <row r="380">
          <cell r="A380">
            <v>365</v>
          </cell>
          <cell r="B380" t="str">
            <v>Return</v>
          </cell>
          <cell r="E380">
            <v>6.3829096908015401E-2</v>
          </cell>
        </row>
        <row r="381">
          <cell r="A381">
            <v>366</v>
          </cell>
        </row>
        <row r="382">
          <cell r="A382">
            <v>367</v>
          </cell>
          <cell r="B382" t="str">
            <v>Effective Tax Rate Historical</v>
          </cell>
          <cell r="E382">
            <v>0.23735399083988362</v>
          </cell>
        </row>
        <row r="383">
          <cell r="A383">
            <v>368</v>
          </cell>
        </row>
        <row r="384">
          <cell r="A384">
            <v>369</v>
          </cell>
        </row>
        <row r="385">
          <cell r="A385">
            <v>370</v>
          </cell>
        </row>
        <row r="386">
          <cell r="A386">
            <v>371</v>
          </cell>
        </row>
        <row r="387">
          <cell r="A387">
            <v>372</v>
          </cell>
        </row>
        <row r="388">
          <cell r="A388">
            <v>1</v>
          </cell>
          <cell r="B388" t="str">
            <v>SUMMARY</v>
          </cell>
        </row>
        <row r="389">
          <cell r="A389">
            <v>2</v>
          </cell>
          <cell r="B389" t="str">
            <v>OPERATING REVENUES</v>
          </cell>
        </row>
        <row r="390">
          <cell r="A390">
            <v>3</v>
          </cell>
          <cell r="B390" t="str">
            <v>Sales &amp; Transportation Operating Revenues</v>
          </cell>
          <cell r="E390">
            <v>92897542.45995459</v>
          </cell>
          <cell r="P390">
            <v>0</v>
          </cell>
        </row>
        <row r="391">
          <cell r="A391">
            <v>4</v>
          </cell>
          <cell r="B391" t="str">
            <v>Gas Revenues</v>
          </cell>
          <cell r="E391">
            <v>112289916.10277365</v>
          </cell>
          <cell r="P391">
            <v>0</v>
          </cell>
        </row>
        <row r="392">
          <cell r="A392">
            <v>5</v>
          </cell>
          <cell r="B392" t="str">
            <v>Miscellaneous Service Revenues</v>
          </cell>
          <cell r="E392">
            <v>810183.02</v>
          </cell>
          <cell r="P392">
            <v>0</v>
          </cell>
        </row>
        <row r="393">
          <cell r="A393">
            <v>6</v>
          </cell>
          <cell r="B393" t="str">
            <v>Rev. From Transp. of Gas of Others</v>
          </cell>
          <cell r="E393">
            <v>-101645</v>
          </cell>
          <cell r="P393">
            <v>0</v>
          </cell>
        </row>
        <row r="394">
          <cell r="A394">
            <v>7</v>
          </cell>
          <cell r="B394" t="str">
            <v>Rent From Gas Property</v>
          </cell>
          <cell r="E394">
            <v>100</v>
          </cell>
          <cell r="P394">
            <v>0</v>
          </cell>
        </row>
        <row r="395">
          <cell r="A395">
            <v>8</v>
          </cell>
          <cell r="B395" t="str">
            <v>Interdepartmental Rents</v>
          </cell>
          <cell r="E395">
            <v>91471.079999999973</v>
          </cell>
          <cell r="P395">
            <v>0</v>
          </cell>
        </row>
        <row r="396">
          <cell r="A396">
            <v>9</v>
          </cell>
          <cell r="B396" t="str">
            <v>Other Gas Revenue</v>
          </cell>
          <cell r="E396">
            <v>109620.85000000002</v>
          </cell>
          <cell r="P396">
            <v>0</v>
          </cell>
        </row>
        <row r="397">
          <cell r="A397">
            <v>10</v>
          </cell>
          <cell r="B397" t="str">
            <v>Overrun Penalty Income</v>
          </cell>
          <cell r="E397">
            <v>11094720.090000002</v>
          </cell>
          <cell r="P397">
            <v>0</v>
          </cell>
        </row>
        <row r="398">
          <cell r="A398">
            <v>11</v>
          </cell>
          <cell r="B398" t="str">
            <v>Service Co. IT Support Revenue</v>
          </cell>
          <cell r="E398">
            <v>0</v>
          </cell>
          <cell r="P398">
            <v>0</v>
          </cell>
        </row>
        <row r="399">
          <cell r="A399">
            <v>12</v>
          </cell>
          <cell r="B399" t="str">
            <v>Storage Revenues</v>
          </cell>
          <cell r="E399">
            <v>0</v>
          </cell>
          <cell r="P399">
            <v>0</v>
          </cell>
        </row>
        <row r="400">
          <cell r="A400">
            <v>13</v>
          </cell>
        </row>
        <row r="401">
          <cell r="A401">
            <v>14</v>
          </cell>
          <cell r="B401" t="str">
            <v>Proposed Revenue Increase</v>
          </cell>
        </row>
        <row r="402">
          <cell r="A402">
            <v>15</v>
          </cell>
        </row>
        <row r="403">
          <cell r="A403">
            <v>16</v>
          </cell>
          <cell r="B403" t="str">
            <v>Total Revenue</v>
          </cell>
          <cell r="E403">
            <v>217191908.60272825</v>
          </cell>
          <cell r="P403">
            <v>0</v>
          </cell>
        </row>
        <row r="404">
          <cell r="A404">
            <v>17</v>
          </cell>
        </row>
        <row r="405">
          <cell r="A405">
            <v>18</v>
          </cell>
        </row>
        <row r="406">
          <cell r="A406">
            <v>19</v>
          </cell>
          <cell r="B406" t="str">
            <v>Production Expenses</v>
          </cell>
          <cell r="E406">
            <v>108147557.49334347</v>
          </cell>
          <cell r="P406">
            <v>0</v>
          </cell>
        </row>
        <row r="407">
          <cell r="A407">
            <v>20</v>
          </cell>
          <cell r="B407" t="str">
            <v>Natural Gas Storage, Terminaling &amp; Proc. Exp.</v>
          </cell>
          <cell r="E407">
            <v>0</v>
          </cell>
          <cell r="P407">
            <v>0</v>
          </cell>
        </row>
        <row r="408">
          <cell r="A408">
            <v>21</v>
          </cell>
          <cell r="B408" t="str">
            <v>Transmission Expenses</v>
          </cell>
          <cell r="E408">
            <v>0</v>
          </cell>
          <cell r="P408">
            <v>0</v>
          </cell>
        </row>
        <row r="409">
          <cell r="A409">
            <v>22</v>
          </cell>
          <cell r="B409" t="str">
            <v>Distribution Expenses</v>
          </cell>
          <cell r="E409">
            <v>18270150.716667399</v>
          </cell>
          <cell r="P409">
            <v>0</v>
          </cell>
        </row>
        <row r="410">
          <cell r="A410">
            <v>23</v>
          </cell>
          <cell r="B410" t="str">
            <v>Total Operating Expenses</v>
          </cell>
          <cell r="E410">
            <v>126417708.21001087</v>
          </cell>
          <cell r="P410">
            <v>0</v>
          </cell>
        </row>
        <row r="411">
          <cell r="A411">
            <v>24</v>
          </cell>
        </row>
        <row r="412">
          <cell r="A412">
            <v>25</v>
          </cell>
          <cell r="B412" t="str">
            <v>CUSTOMER ACCOUNTS, SERVICES, &amp; SALES EXPENSES</v>
          </cell>
          <cell r="E412">
            <v>6806684.0584244598</v>
          </cell>
          <cell r="P412">
            <v>0</v>
          </cell>
        </row>
        <row r="413">
          <cell r="A413">
            <v>26</v>
          </cell>
        </row>
        <row r="414">
          <cell r="A414">
            <v>27</v>
          </cell>
          <cell r="B414" t="str">
            <v>ADMINISTRATIVE &amp; GENERAL EXPENSES</v>
          </cell>
          <cell r="E414">
            <v>17242019.936143018</v>
          </cell>
          <cell r="P414">
            <v>0</v>
          </cell>
        </row>
        <row r="415">
          <cell r="A415">
            <v>28</v>
          </cell>
        </row>
        <row r="416">
          <cell r="A416">
            <v>29</v>
          </cell>
          <cell r="B416" t="str">
            <v>DEPRECIATION EXPENSE</v>
          </cell>
          <cell r="E416">
            <v>19707306.386575934</v>
          </cell>
          <cell r="P416">
            <v>0</v>
          </cell>
        </row>
        <row r="417">
          <cell r="A417">
            <v>30</v>
          </cell>
        </row>
        <row r="418">
          <cell r="A418">
            <v>31</v>
          </cell>
          <cell r="B418" t="str">
            <v>TAXES OTHER THAN INCOME TAXES</v>
          </cell>
          <cell r="E418">
            <v>21837872.818910569</v>
          </cell>
          <cell r="P418">
            <v>0</v>
          </cell>
        </row>
        <row r="419">
          <cell r="A419">
            <v>32</v>
          </cell>
          <cell r="B419" t="str">
            <v xml:space="preserve">Other Income </v>
          </cell>
          <cell r="E419">
            <v>0</v>
          </cell>
          <cell r="P419">
            <v>0</v>
          </cell>
        </row>
        <row r="420">
          <cell r="A420">
            <v>33</v>
          </cell>
          <cell r="B420" t="str">
            <v>INCOME BEFORE INCOME TAXES</v>
          </cell>
          <cell r="E420">
            <v>25180317.192663401</v>
          </cell>
          <cell r="P420">
            <v>0</v>
          </cell>
        </row>
        <row r="421">
          <cell r="A421">
            <v>34</v>
          </cell>
        </row>
        <row r="422">
          <cell r="A422">
            <v>35</v>
          </cell>
          <cell r="B422" t="str">
            <v>FEDERAL INCOME TAXES</v>
          </cell>
        </row>
        <row r="423">
          <cell r="A423">
            <v>36</v>
          </cell>
          <cell r="B423" t="str">
            <v>Federal Income Taxes-Current</v>
          </cell>
          <cell r="E423">
            <v>4982116.9962927923</v>
          </cell>
          <cell r="P423">
            <v>0</v>
          </cell>
        </row>
        <row r="424">
          <cell r="A424">
            <v>37</v>
          </cell>
          <cell r="B424" t="str">
            <v>Provision for Deferred Taxes</v>
          </cell>
          <cell r="E424">
            <v>1031914.19</v>
          </cell>
          <cell r="P424">
            <v>0</v>
          </cell>
        </row>
        <row r="425">
          <cell r="A425">
            <v>38</v>
          </cell>
          <cell r="B425" t="str">
            <v>Investment Tax Credit Adjustments</v>
          </cell>
          <cell r="E425">
            <v>-37382.410000000003</v>
          </cell>
          <cell r="P425">
            <v>0</v>
          </cell>
        </row>
        <row r="426">
          <cell r="A426">
            <v>39</v>
          </cell>
          <cell r="B426" t="str">
            <v>State Net Income Tax</v>
          </cell>
          <cell r="E426">
            <v>0</v>
          </cell>
          <cell r="P426">
            <v>0</v>
          </cell>
        </row>
        <row r="427">
          <cell r="A427">
            <v>40</v>
          </cell>
          <cell r="B427" t="str">
            <v>Subtotal - Income Taxes</v>
          </cell>
          <cell r="E427">
            <v>5976648.7762927916</v>
          </cell>
          <cell r="P427">
            <v>0</v>
          </cell>
        </row>
        <row r="428">
          <cell r="A428">
            <v>41</v>
          </cell>
        </row>
        <row r="429">
          <cell r="A429">
            <v>42</v>
          </cell>
          <cell r="B429" t="str">
            <v>NET OPERATING INCOME</v>
          </cell>
          <cell r="E429">
            <v>19203668.4163706</v>
          </cell>
          <cell r="P429">
            <v>0</v>
          </cell>
        </row>
        <row r="430">
          <cell r="A430">
            <v>43</v>
          </cell>
        </row>
        <row r="431">
          <cell r="A431">
            <v>44</v>
          </cell>
          <cell r="B431" t="str">
            <v>RATE BASE</v>
          </cell>
          <cell r="E431">
            <v>300860725.69764155</v>
          </cell>
          <cell r="P431">
            <v>0</v>
          </cell>
        </row>
        <row r="432">
          <cell r="A432">
            <v>45</v>
          </cell>
        </row>
        <row r="433">
          <cell r="A433">
            <v>46</v>
          </cell>
          <cell r="B433" t="str">
            <v>RATE OF RETURN</v>
          </cell>
          <cell r="E433">
            <v>6.3829096908015401E-2</v>
          </cell>
        </row>
        <row r="434">
          <cell r="A434">
            <v>47</v>
          </cell>
          <cell r="B434" t="str">
            <v>Unitized RoR Compared to System Average</v>
          </cell>
          <cell r="E434">
            <v>1</v>
          </cell>
        </row>
        <row r="435">
          <cell r="A435">
            <v>48</v>
          </cell>
          <cell r="B435" t="str">
            <v>Unitized RoR Compared to Proposed</v>
          </cell>
          <cell r="E435">
            <v>0.84007761131897063</v>
          </cell>
        </row>
        <row r="436">
          <cell r="A436">
            <v>49</v>
          </cell>
        </row>
        <row r="437">
          <cell r="A437">
            <v>422</v>
          </cell>
        </row>
        <row r="438">
          <cell r="A438">
            <v>423</v>
          </cell>
        </row>
        <row r="439">
          <cell r="A439">
            <v>424</v>
          </cell>
        </row>
        <row r="440">
          <cell r="A440">
            <v>425</v>
          </cell>
        </row>
        <row r="442">
          <cell r="A442">
            <v>1</v>
          </cell>
          <cell r="B442" t="str">
            <v>REVENUE REQUIREMENTS ANALYSIS</v>
          </cell>
        </row>
        <row r="443">
          <cell r="A443">
            <v>2</v>
          </cell>
          <cell r="B443" t="str">
            <v>System Average Rate of Return Achieved</v>
          </cell>
          <cell r="E443">
            <v>7.598000000000002E-2</v>
          </cell>
        </row>
        <row r="444">
          <cell r="A444">
            <v>3</v>
          </cell>
        </row>
        <row r="445">
          <cell r="A445">
            <v>4</v>
          </cell>
        </row>
        <row r="446">
          <cell r="A446">
            <v>5</v>
          </cell>
          <cell r="B446" t="str">
            <v>RATE BASE</v>
          </cell>
          <cell r="E446">
            <v>300860725.69764155</v>
          </cell>
          <cell r="P446">
            <v>0</v>
          </cell>
        </row>
        <row r="447">
          <cell r="A447">
            <v>6</v>
          </cell>
        </row>
        <row r="448">
          <cell r="A448">
            <v>7</v>
          </cell>
          <cell r="B448" t="str">
            <v>OPERATING EXPENSES</v>
          </cell>
          <cell r="E448">
            <v>126417708.21001087</v>
          </cell>
          <cell r="P448">
            <v>0</v>
          </cell>
        </row>
        <row r="449">
          <cell r="A449">
            <v>8</v>
          </cell>
          <cell r="B449" t="str">
            <v>CUST. ACCTS., SERVICES, &amp; SALES EXP.</v>
          </cell>
          <cell r="E449">
            <v>6806684.0584244598</v>
          </cell>
          <cell r="P449">
            <v>0</v>
          </cell>
        </row>
        <row r="450">
          <cell r="A450">
            <v>9</v>
          </cell>
          <cell r="B450" t="str">
            <v>ADMINISTRATIVE &amp; GENERAL EXPENSES</v>
          </cell>
          <cell r="E450">
            <v>17242019.936143018</v>
          </cell>
          <cell r="P450">
            <v>0</v>
          </cell>
        </row>
        <row r="451">
          <cell r="A451">
            <v>10</v>
          </cell>
          <cell r="B451" t="str">
            <v>DEPRECIATION EXPENSE</v>
          </cell>
          <cell r="E451">
            <v>19707306.386575934</v>
          </cell>
          <cell r="P451">
            <v>0</v>
          </cell>
        </row>
        <row r="452">
          <cell r="A452">
            <v>11</v>
          </cell>
          <cell r="B452" t="str">
            <v>Taxes</v>
          </cell>
          <cell r="E452">
            <v>27814521.595203362</v>
          </cell>
          <cell r="P452">
            <v>0</v>
          </cell>
        </row>
        <row r="453">
          <cell r="A453">
            <v>12</v>
          </cell>
        </row>
        <row r="454">
          <cell r="A454">
            <v>13</v>
          </cell>
          <cell r="B454" t="str">
            <v>TOTAL Expenses</v>
          </cell>
          <cell r="E454">
            <v>197988240.18635765</v>
          </cell>
          <cell r="P454">
            <v>0</v>
          </cell>
          <cell r="R454">
            <v>23411710.937847853</v>
          </cell>
        </row>
        <row r="455">
          <cell r="A455">
            <v>14</v>
          </cell>
        </row>
        <row r="456">
          <cell r="A456">
            <v>15</v>
          </cell>
          <cell r="B456" t="str">
            <v>Return on Ratebase</v>
          </cell>
          <cell r="E456">
            <v>22859397.938506804</v>
          </cell>
        </row>
        <row r="457">
          <cell r="A457">
            <v>16</v>
          </cell>
        </row>
        <row r="458">
          <cell r="A458">
            <v>17</v>
          </cell>
          <cell r="B458" t="str">
            <v>FIT ON RETURN</v>
          </cell>
          <cell r="E458">
            <v>1968469.7426887252</v>
          </cell>
          <cell r="F458" t="str">
            <v>RevDeficiency</v>
          </cell>
          <cell r="P458">
            <v>0</v>
          </cell>
          <cell r="R458">
            <v>110</v>
          </cell>
        </row>
        <row r="459">
          <cell r="A459">
            <v>18</v>
          </cell>
          <cell r="B459" t="str">
            <v>GROSS RECEIPTS TAX</v>
          </cell>
          <cell r="E459">
            <v>238459.41454539585</v>
          </cell>
          <cell r="F459" t="str">
            <v>RevDeficiency</v>
          </cell>
          <cell r="P459">
            <v>0</v>
          </cell>
          <cell r="R459">
            <v>110</v>
          </cell>
        </row>
        <row r="460">
          <cell r="A460">
            <v>19</v>
          </cell>
          <cell r="B460" t="str">
            <v>Increase in Uncoll</v>
          </cell>
          <cell r="E460">
            <v>22321.93626135866</v>
          </cell>
          <cell r="F460" t="str">
            <v>RevDeficiency</v>
          </cell>
          <cell r="P460">
            <v>0</v>
          </cell>
          <cell r="R460">
            <v>110</v>
          </cell>
        </row>
        <row r="461">
          <cell r="A461">
            <v>20</v>
          </cell>
        </row>
        <row r="462">
          <cell r="A462">
            <v>21</v>
          </cell>
          <cell r="B462" t="str">
            <v>TOTAL REVENUE REQUIREMENT</v>
          </cell>
          <cell r="E462">
            <v>223076889.21835995</v>
          </cell>
          <cell r="P462">
            <v>0</v>
          </cell>
        </row>
        <row r="463">
          <cell r="A463">
            <v>448</v>
          </cell>
          <cell r="B463" t="str">
            <v>Effective Tax Rate on RevReq</v>
          </cell>
          <cell r="E463">
            <v>7.9284687995160849E-2</v>
          </cell>
        </row>
        <row r="464">
          <cell r="A464">
            <v>449</v>
          </cell>
          <cell r="B464" t="str">
            <v>Storage Capacity Rate ($/MCF Capacity)</v>
          </cell>
        </row>
        <row r="465">
          <cell r="A465">
            <v>450</v>
          </cell>
        </row>
        <row r="466">
          <cell r="A466">
            <v>451</v>
          </cell>
        </row>
        <row r="467">
          <cell r="A467">
            <v>452</v>
          </cell>
          <cell r="B467" t="str">
            <v>Cost of Gas Subreport</v>
          </cell>
        </row>
        <row r="468">
          <cell r="A468">
            <v>453</v>
          </cell>
        </row>
        <row r="469">
          <cell r="A469">
            <v>454</v>
          </cell>
          <cell r="B469" t="str">
            <v>DEMAND COSTS:</v>
          </cell>
        </row>
        <row r="470">
          <cell r="A470">
            <v>455</v>
          </cell>
        </row>
        <row r="471">
          <cell r="A471">
            <v>456</v>
          </cell>
          <cell r="B471" t="str">
            <v>Producer Demand Charges</v>
          </cell>
        </row>
        <row r="472">
          <cell r="A472">
            <v>457</v>
          </cell>
          <cell r="B472" t="str">
            <v>Producer Reservation Charges</v>
          </cell>
          <cell r="E472">
            <v>0</v>
          </cell>
          <cell r="F472" t="str">
            <v>SUPP</v>
          </cell>
          <cell r="P472">
            <v>0</v>
          </cell>
          <cell r="R472">
            <v>8</v>
          </cell>
        </row>
        <row r="473">
          <cell r="A473">
            <v>458</v>
          </cell>
          <cell r="B473" t="str">
            <v>GSR</v>
          </cell>
          <cell r="E473">
            <v>0</v>
          </cell>
          <cell r="F473" t="str">
            <v>SUPP</v>
          </cell>
          <cell r="P473">
            <v>0</v>
          </cell>
          <cell r="R473">
            <v>8</v>
          </cell>
        </row>
        <row r="474">
          <cell r="A474">
            <v>459</v>
          </cell>
          <cell r="B474" t="str">
            <v>Peak Shaving Reservation</v>
          </cell>
          <cell r="E474">
            <v>0</v>
          </cell>
          <cell r="F474" t="str">
            <v>SUPP</v>
          </cell>
          <cell r="P474">
            <v>0</v>
          </cell>
          <cell r="R474">
            <v>8</v>
          </cell>
        </row>
        <row r="475">
          <cell r="A475">
            <v>460</v>
          </cell>
          <cell r="B475" t="str">
            <v>Capacity Release Credits - 100% UBRC</v>
          </cell>
          <cell r="E475">
            <v>0</v>
          </cell>
          <cell r="F475" t="str">
            <v>SUPP</v>
          </cell>
          <cell r="P475">
            <v>0</v>
          </cell>
          <cell r="R475">
            <v>8</v>
          </cell>
        </row>
        <row r="476">
          <cell r="A476">
            <v>461</v>
          </cell>
          <cell r="B476" t="str">
            <v>Peaking Supplies</v>
          </cell>
          <cell r="E476">
            <v>0</v>
          </cell>
          <cell r="F476" t="str">
            <v>SUPP</v>
          </cell>
          <cell r="P476">
            <v>0</v>
          </cell>
          <cell r="R476">
            <v>8</v>
          </cell>
        </row>
        <row r="477">
          <cell r="A477">
            <v>462</v>
          </cell>
          <cell r="B477" t="str">
            <v>Subtotal- Gas Supply</v>
          </cell>
          <cell r="E477">
            <v>0</v>
          </cell>
          <cell r="P477">
            <v>0</v>
          </cell>
        </row>
        <row r="478">
          <cell r="A478">
            <v>463</v>
          </cell>
        </row>
        <row r="479">
          <cell r="A479">
            <v>464</v>
          </cell>
          <cell r="B479" t="str">
            <v>Storage Contract</v>
          </cell>
          <cell r="P479">
            <v>0</v>
          </cell>
        </row>
        <row r="480">
          <cell r="A480">
            <v>465</v>
          </cell>
          <cell r="B480" t="str">
            <v>Peak</v>
          </cell>
          <cell r="E480">
            <v>0</v>
          </cell>
          <cell r="F480" t="str">
            <v>SUPP</v>
          </cell>
          <cell r="P480">
            <v>0</v>
          </cell>
          <cell r="R480">
            <v>8</v>
          </cell>
        </row>
        <row r="481">
          <cell r="A481">
            <v>466</v>
          </cell>
          <cell r="B481" t="str">
            <v>Capacity</v>
          </cell>
          <cell r="E481">
            <v>0</v>
          </cell>
          <cell r="F481" t="str">
            <v>SUPP</v>
          </cell>
          <cell r="P481">
            <v>0</v>
          </cell>
          <cell r="R481">
            <v>8</v>
          </cell>
        </row>
        <row r="482">
          <cell r="A482">
            <v>467</v>
          </cell>
          <cell r="B482" t="str">
            <v>Subtotal- Storage</v>
          </cell>
          <cell r="E482">
            <v>0</v>
          </cell>
          <cell r="P482">
            <v>0</v>
          </cell>
        </row>
        <row r="483">
          <cell r="A483">
            <v>468</v>
          </cell>
        </row>
        <row r="484">
          <cell r="A484">
            <v>469</v>
          </cell>
          <cell r="B484" t="str">
            <v>Firm Transportation</v>
          </cell>
        </row>
        <row r="485">
          <cell r="A485">
            <v>470</v>
          </cell>
          <cell r="B485" t="str">
            <v>Demand Charges - TF Demand all Pipelines</v>
          </cell>
        </row>
        <row r="486">
          <cell r="A486">
            <v>471</v>
          </cell>
          <cell r="B486" t="str">
            <v xml:space="preserve">   Pipeline Supply</v>
          </cell>
          <cell r="E486">
            <v>0</v>
          </cell>
          <cell r="F486" t="str">
            <v>SUPP</v>
          </cell>
          <cell r="P486">
            <v>0</v>
          </cell>
          <cell r="R486">
            <v>8</v>
          </cell>
        </row>
        <row r="487">
          <cell r="A487">
            <v>472</v>
          </cell>
          <cell r="B487" t="str">
            <v xml:space="preserve">   Storage</v>
          </cell>
          <cell r="E487">
            <v>0</v>
          </cell>
          <cell r="F487" t="str">
            <v>SUPP</v>
          </cell>
          <cell r="P487">
            <v>0</v>
          </cell>
          <cell r="R487">
            <v>8</v>
          </cell>
        </row>
        <row r="488">
          <cell r="A488">
            <v>473</v>
          </cell>
          <cell r="B488" t="str">
            <v>Subtotal- Transportation</v>
          </cell>
          <cell r="E488">
            <v>0</v>
          </cell>
        </row>
        <row r="489">
          <cell r="A489">
            <v>474</v>
          </cell>
        </row>
        <row r="490">
          <cell r="A490">
            <v>475</v>
          </cell>
          <cell r="B490" t="str">
            <v>Contingency Reserve</v>
          </cell>
          <cell r="E490">
            <v>0</v>
          </cell>
          <cell r="F490" t="str">
            <v>SUPP</v>
          </cell>
          <cell r="P490">
            <v>0</v>
          </cell>
          <cell r="R490">
            <v>8</v>
          </cell>
        </row>
        <row r="491">
          <cell r="A491">
            <v>476</v>
          </cell>
        </row>
        <row r="492">
          <cell r="A492">
            <v>477</v>
          </cell>
          <cell r="B492" t="str">
            <v>Direct Assigned Demand Costs</v>
          </cell>
          <cell r="E492">
            <v>0</v>
          </cell>
          <cell r="F492" t="str">
            <v>SUPP</v>
          </cell>
          <cell r="P492">
            <v>0</v>
          </cell>
          <cell r="R492">
            <v>8</v>
          </cell>
        </row>
        <row r="493">
          <cell r="A493">
            <v>478</v>
          </cell>
        </row>
        <row r="494">
          <cell r="A494">
            <v>479</v>
          </cell>
          <cell r="B494" t="str">
            <v>TOTAL DEMAND COSTS</v>
          </cell>
          <cell r="E494">
            <v>0</v>
          </cell>
          <cell r="P494">
            <v>0</v>
          </cell>
        </row>
        <row r="495">
          <cell r="A495">
            <v>480</v>
          </cell>
        </row>
        <row r="496">
          <cell r="A496">
            <v>481</v>
          </cell>
          <cell r="B496" t="str">
            <v>Other Fixed Costs:</v>
          </cell>
        </row>
        <row r="497">
          <cell r="A497">
            <v>482</v>
          </cell>
          <cell r="B497" t="str">
            <v>Cove Point all classes</v>
          </cell>
          <cell r="E497">
            <v>0</v>
          </cell>
          <cell r="F497" t="str">
            <v>SUPP</v>
          </cell>
          <cell r="P497">
            <v>0</v>
          </cell>
          <cell r="R497">
            <v>8</v>
          </cell>
        </row>
        <row r="498">
          <cell r="A498">
            <v>483</v>
          </cell>
          <cell r="B498" t="str">
            <v>Take or Pay</v>
          </cell>
          <cell r="E498">
            <v>0</v>
          </cell>
          <cell r="F498" t="str">
            <v>SUPP</v>
          </cell>
          <cell r="P498">
            <v>0</v>
          </cell>
          <cell r="R498">
            <v>8</v>
          </cell>
        </row>
        <row r="499">
          <cell r="A499">
            <v>484</v>
          </cell>
          <cell r="B499" t="str">
            <v>Supplier Refunds</v>
          </cell>
          <cell r="E499">
            <v>0</v>
          </cell>
          <cell r="F499" t="str">
            <v>SUPP</v>
          </cell>
          <cell r="P499">
            <v>0</v>
          </cell>
          <cell r="R499">
            <v>8</v>
          </cell>
        </row>
        <row r="500">
          <cell r="A500">
            <v>485</v>
          </cell>
          <cell r="B500" t="str">
            <v>Deferrals/Amortizations</v>
          </cell>
          <cell r="E500">
            <v>0</v>
          </cell>
          <cell r="F500" t="str">
            <v>SUPP</v>
          </cell>
          <cell r="P500">
            <v>0</v>
          </cell>
          <cell r="R500">
            <v>8</v>
          </cell>
        </row>
        <row r="501">
          <cell r="A501">
            <v>486</v>
          </cell>
          <cell r="B501" t="str">
            <v>Subtotal</v>
          </cell>
          <cell r="E501">
            <v>0</v>
          </cell>
        </row>
        <row r="502">
          <cell r="A502">
            <v>487</v>
          </cell>
        </row>
        <row r="503">
          <cell r="A503">
            <v>488</v>
          </cell>
          <cell r="B503" t="str">
            <v>TOTAL DEMAND &amp; FIXED COSTS</v>
          </cell>
          <cell r="E503">
            <v>0</v>
          </cell>
        </row>
        <row r="504">
          <cell r="A504">
            <v>489</v>
          </cell>
        </row>
        <row r="505">
          <cell r="A505">
            <v>490</v>
          </cell>
          <cell r="B505" t="str">
            <v>VARIABLE COSTS:</v>
          </cell>
        </row>
        <row r="506">
          <cell r="A506">
            <v>491</v>
          </cell>
          <cell r="B506" t="str">
            <v>Commodity Cost including transport liability</v>
          </cell>
          <cell r="E506">
            <v>0</v>
          </cell>
          <cell r="F506" t="str">
            <v>SUPP</v>
          </cell>
          <cell r="P506">
            <v>0</v>
          </cell>
          <cell r="R506">
            <v>8</v>
          </cell>
        </row>
        <row r="507">
          <cell r="A507">
            <v>492</v>
          </cell>
          <cell r="B507" t="str">
            <v>Cash Out</v>
          </cell>
          <cell r="E507">
            <v>0</v>
          </cell>
          <cell r="F507" t="str">
            <v>SUPP</v>
          </cell>
          <cell r="P507">
            <v>0</v>
          </cell>
          <cell r="R507">
            <v>8</v>
          </cell>
        </row>
        <row r="508">
          <cell r="A508">
            <v>493</v>
          </cell>
          <cell r="B508" t="str">
            <v>TF Transportation Step 1 &amp; Step 2 (total other)</v>
          </cell>
          <cell r="E508">
            <v>0</v>
          </cell>
          <cell r="F508" t="str">
            <v>SUPP</v>
          </cell>
          <cell r="P508">
            <v>0</v>
          </cell>
          <cell r="R508">
            <v>8</v>
          </cell>
        </row>
        <row r="509">
          <cell r="A509">
            <v>494</v>
          </cell>
          <cell r="B509" t="str">
            <v>Withdrawal Transportation Charges</v>
          </cell>
          <cell r="E509">
            <v>0</v>
          </cell>
          <cell r="F509" t="str">
            <v>SUPP</v>
          </cell>
          <cell r="P509">
            <v>0</v>
          </cell>
          <cell r="R509">
            <v>8</v>
          </cell>
        </row>
        <row r="510">
          <cell r="A510">
            <v>495</v>
          </cell>
          <cell r="B510" t="str">
            <v>Injection Fees</v>
          </cell>
          <cell r="E510">
            <v>0</v>
          </cell>
          <cell r="F510" t="str">
            <v>SUPP</v>
          </cell>
          <cell r="P510">
            <v>0</v>
          </cell>
          <cell r="R510">
            <v>8</v>
          </cell>
        </row>
        <row r="511">
          <cell r="A511">
            <v>496</v>
          </cell>
          <cell r="B511" t="str">
            <v>Withdrawal Fees</v>
          </cell>
          <cell r="E511">
            <v>0</v>
          </cell>
          <cell r="F511" t="str">
            <v>SUPP</v>
          </cell>
          <cell r="P511">
            <v>0</v>
          </cell>
          <cell r="R511">
            <v>8</v>
          </cell>
        </row>
        <row r="512">
          <cell r="A512">
            <v>497</v>
          </cell>
          <cell r="B512" t="str">
            <v>Injection Gas Costs (Acct 808,809)</v>
          </cell>
          <cell r="E512">
            <v>0</v>
          </cell>
          <cell r="F512" t="str">
            <v>SUPP</v>
          </cell>
          <cell r="P512">
            <v>0</v>
          </cell>
          <cell r="R512">
            <v>8</v>
          </cell>
        </row>
        <row r="513">
          <cell r="A513">
            <v>498</v>
          </cell>
          <cell r="B513" t="str">
            <v>Withdrawal Gas Costs (Acct 808,809)</v>
          </cell>
          <cell r="E513">
            <v>0</v>
          </cell>
          <cell r="F513" t="str">
            <v>SUPP</v>
          </cell>
          <cell r="P513">
            <v>0</v>
          </cell>
          <cell r="R513">
            <v>8</v>
          </cell>
        </row>
        <row r="514">
          <cell r="A514">
            <v>499</v>
          </cell>
          <cell r="B514" t="str">
            <v>Directly Assigned commodity costs</v>
          </cell>
          <cell r="E514">
            <v>0</v>
          </cell>
          <cell r="F514" t="str">
            <v>SUPP</v>
          </cell>
          <cell r="P514">
            <v>0</v>
          </cell>
          <cell r="R514">
            <v>8</v>
          </cell>
        </row>
        <row r="515">
          <cell r="A515">
            <v>500</v>
          </cell>
          <cell r="B515" t="str">
            <v>Off System Sales</v>
          </cell>
          <cell r="E515">
            <v>0</v>
          </cell>
          <cell r="F515" t="str">
            <v>SUPP</v>
          </cell>
          <cell r="P515">
            <v>0</v>
          </cell>
          <cell r="R515">
            <v>8</v>
          </cell>
        </row>
        <row r="516">
          <cell r="A516">
            <v>501</v>
          </cell>
          <cell r="B516" t="str">
            <v>Gas Commodity Deferral</v>
          </cell>
          <cell r="E516">
            <v>0</v>
          </cell>
          <cell r="F516" t="str">
            <v>SUPP</v>
          </cell>
          <cell r="P516">
            <v>0</v>
          </cell>
          <cell r="R516">
            <v>8</v>
          </cell>
        </row>
        <row r="517">
          <cell r="A517">
            <v>502</v>
          </cell>
          <cell r="B517" t="str">
            <v>Hedging</v>
          </cell>
          <cell r="E517">
            <v>0</v>
          </cell>
          <cell r="F517" t="str">
            <v>SUPP</v>
          </cell>
          <cell r="P517">
            <v>0</v>
          </cell>
          <cell r="R517">
            <v>8</v>
          </cell>
        </row>
        <row r="518">
          <cell r="A518">
            <v>503</v>
          </cell>
          <cell r="B518" t="str">
            <v>Subtotal</v>
          </cell>
          <cell r="E518">
            <v>0</v>
          </cell>
        </row>
        <row r="519">
          <cell r="A519">
            <v>504</v>
          </cell>
        </row>
        <row r="520">
          <cell r="A520">
            <v>505</v>
          </cell>
          <cell r="B520" t="str">
            <v>TOTAL COST OF GAS</v>
          </cell>
          <cell r="E520">
            <v>0</v>
          </cell>
        </row>
        <row r="521">
          <cell r="A521">
            <v>506</v>
          </cell>
        </row>
        <row r="522">
          <cell r="A522">
            <v>507</v>
          </cell>
        </row>
        <row r="523">
          <cell r="A523">
            <v>508</v>
          </cell>
        </row>
        <row r="524">
          <cell r="A524">
            <v>509</v>
          </cell>
        </row>
        <row r="525">
          <cell r="A525">
            <v>510</v>
          </cell>
        </row>
        <row r="526">
          <cell r="A526">
            <v>511</v>
          </cell>
        </row>
        <row r="527">
          <cell r="A527">
            <v>512</v>
          </cell>
          <cell r="B527" t="str">
            <v>LABOR SUBREPORT: FUNCTIONALIZATION PHASE</v>
          </cell>
        </row>
        <row r="528">
          <cell r="A528">
            <v>513</v>
          </cell>
          <cell r="B528" t="str">
            <v>----------------------------------------</v>
          </cell>
        </row>
        <row r="529">
          <cell r="A529">
            <v>514</v>
          </cell>
          <cell r="B529" t="str">
            <v xml:space="preserve">  1. PRODUCTION:  </v>
          </cell>
          <cell r="E529" t="str">
            <v>Labor $</v>
          </cell>
          <cell r="F529" t="str">
            <v>Labor %</v>
          </cell>
        </row>
        <row r="530">
          <cell r="A530">
            <v>515</v>
          </cell>
          <cell r="C530" t="str">
            <v>751-766</v>
          </cell>
          <cell r="E530">
            <v>0</v>
          </cell>
          <cell r="F530">
            <v>0</v>
          </cell>
          <cell r="P530">
            <v>0</v>
          </cell>
        </row>
        <row r="531">
          <cell r="A531">
            <v>516</v>
          </cell>
          <cell r="C531">
            <v>807</v>
          </cell>
          <cell r="E531">
            <v>0</v>
          </cell>
          <cell r="F531">
            <v>0</v>
          </cell>
          <cell r="P531">
            <v>0</v>
          </cell>
        </row>
        <row r="532">
          <cell r="A532">
            <v>517</v>
          </cell>
          <cell r="B532" t="str">
            <v>Sub Production</v>
          </cell>
          <cell r="E532">
            <v>0</v>
          </cell>
          <cell r="F532">
            <v>0</v>
          </cell>
          <cell r="P532">
            <v>0</v>
          </cell>
        </row>
        <row r="533">
          <cell r="A533">
            <v>518</v>
          </cell>
          <cell r="P533">
            <v>0</v>
          </cell>
        </row>
        <row r="534">
          <cell r="A534">
            <v>519</v>
          </cell>
          <cell r="B534" t="str">
            <v xml:space="preserve">  2. STORAGE:     </v>
          </cell>
          <cell r="P534">
            <v>0</v>
          </cell>
        </row>
        <row r="535">
          <cell r="A535">
            <v>520</v>
          </cell>
          <cell r="C535" t="str">
            <v>816-825</v>
          </cell>
          <cell r="E535">
            <v>0</v>
          </cell>
          <cell r="F535">
            <v>0</v>
          </cell>
          <cell r="P535">
            <v>0</v>
          </cell>
        </row>
        <row r="536">
          <cell r="A536">
            <v>521</v>
          </cell>
          <cell r="C536" t="str">
            <v>831-835</v>
          </cell>
          <cell r="E536">
            <v>0</v>
          </cell>
          <cell r="F536">
            <v>0</v>
          </cell>
          <cell r="P536">
            <v>0</v>
          </cell>
        </row>
        <row r="537">
          <cell r="A537">
            <v>522</v>
          </cell>
          <cell r="B537" t="str">
            <v>Sub Storage</v>
          </cell>
          <cell r="E537">
            <v>0</v>
          </cell>
          <cell r="F537">
            <v>0</v>
          </cell>
          <cell r="P537">
            <v>0</v>
          </cell>
        </row>
        <row r="538">
          <cell r="A538">
            <v>523</v>
          </cell>
          <cell r="P538">
            <v>0</v>
          </cell>
        </row>
        <row r="539">
          <cell r="A539">
            <v>524</v>
          </cell>
          <cell r="B539" t="str">
            <v xml:space="preserve">  3. TRANSMISSION:</v>
          </cell>
          <cell r="P539">
            <v>0</v>
          </cell>
        </row>
        <row r="540">
          <cell r="A540">
            <v>525</v>
          </cell>
          <cell r="C540" t="str">
            <v>856-860</v>
          </cell>
          <cell r="E540">
            <v>0</v>
          </cell>
          <cell r="F540">
            <v>0</v>
          </cell>
          <cell r="P540">
            <v>0</v>
          </cell>
        </row>
        <row r="541">
          <cell r="A541">
            <v>526</v>
          </cell>
          <cell r="C541" t="str">
            <v>863-865</v>
          </cell>
          <cell r="E541">
            <v>0</v>
          </cell>
          <cell r="F541">
            <v>0</v>
          </cell>
          <cell r="P541">
            <v>0</v>
          </cell>
        </row>
        <row r="542">
          <cell r="A542">
            <v>527</v>
          </cell>
          <cell r="B542" t="str">
            <v>Sub Transmission</v>
          </cell>
          <cell r="E542">
            <v>0</v>
          </cell>
          <cell r="F542">
            <v>0</v>
          </cell>
          <cell r="P542">
            <v>0</v>
          </cell>
        </row>
        <row r="543">
          <cell r="A543">
            <v>528</v>
          </cell>
          <cell r="P543">
            <v>0</v>
          </cell>
        </row>
        <row r="544">
          <cell r="A544">
            <v>529</v>
          </cell>
          <cell r="B544" t="str">
            <v xml:space="preserve">  4. DISTRIBUTION, Customer Accounting &amp; Sales ETC</v>
          </cell>
          <cell r="P544">
            <v>0</v>
          </cell>
        </row>
        <row r="545">
          <cell r="A545">
            <v>530</v>
          </cell>
          <cell r="C545" t="str">
            <v>870</v>
          </cell>
          <cell r="E545">
            <v>1362913.4400000002</v>
          </cell>
          <cell r="F545">
            <v>0.50622120506772794</v>
          </cell>
          <cell r="P545">
            <v>0</v>
          </cell>
        </row>
        <row r="546">
          <cell r="A546">
            <v>531</v>
          </cell>
          <cell r="C546" t="str">
            <v>871</v>
          </cell>
          <cell r="E546">
            <v>452341.63</v>
          </cell>
          <cell r="F546">
            <v>0.87171703080681873</v>
          </cell>
          <cell r="P546">
            <v>0</v>
          </cell>
        </row>
        <row r="547">
          <cell r="A547">
            <v>532</v>
          </cell>
          <cell r="C547" t="str">
            <v>874</v>
          </cell>
          <cell r="E547">
            <v>2491637.96</v>
          </cell>
          <cell r="F547">
            <v>0.67564506159304849</v>
          </cell>
          <cell r="P547">
            <v>0</v>
          </cell>
        </row>
        <row r="548">
          <cell r="A548">
            <v>533</v>
          </cell>
          <cell r="C548" t="str">
            <v>875</v>
          </cell>
          <cell r="E548">
            <v>306707.33999999997</v>
          </cell>
          <cell r="F548">
            <v>0.50151604302018149</v>
          </cell>
          <cell r="P548">
            <v>0</v>
          </cell>
        </row>
        <row r="549">
          <cell r="A549">
            <v>534</v>
          </cell>
          <cell r="C549" t="str">
            <v>878</v>
          </cell>
          <cell r="E549">
            <v>1177550.3599999999</v>
          </cell>
          <cell r="F549">
            <v>0.83891906453872167</v>
          </cell>
          <cell r="P549">
            <v>0</v>
          </cell>
        </row>
        <row r="550">
          <cell r="A550">
            <v>535</v>
          </cell>
          <cell r="C550" t="str">
            <v>879</v>
          </cell>
          <cell r="E550">
            <v>958712.14000000013</v>
          </cell>
          <cell r="F550">
            <v>0.85810053987894508</v>
          </cell>
          <cell r="P550">
            <v>0</v>
          </cell>
        </row>
        <row r="551">
          <cell r="A551">
            <v>536</v>
          </cell>
          <cell r="C551" t="str">
            <v>880</v>
          </cell>
          <cell r="E551">
            <v>1661547.6</v>
          </cell>
          <cell r="F551">
            <v>0.48921003475679276</v>
          </cell>
          <cell r="P551">
            <v>0</v>
          </cell>
        </row>
        <row r="552">
          <cell r="A552">
            <v>537</v>
          </cell>
          <cell r="C552" t="str">
            <v>885</v>
          </cell>
          <cell r="E552">
            <v>0</v>
          </cell>
          <cell r="F552">
            <v>0</v>
          </cell>
          <cell r="P552">
            <v>0</v>
          </cell>
        </row>
        <row r="553">
          <cell r="A553">
            <v>538</v>
          </cell>
          <cell r="C553" t="str">
            <v>886</v>
          </cell>
          <cell r="E553">
            <v>73.92</v>
          </cell>
          <cell r="F553">
            <v>4.6668186690990024E-3</v>
          </cell>
          <cell r="P553">
            <v>0</v>
          </cell>
        </row>
        <row r="554">
          <cell r="A554">
            <v>539</v>
          </cell>
          <cell r="C554" t="str">
            <v>887</v>
          </cell>
          <cell r="E554">
            <v>625865.84</v>
          </cell>
          <cell r="F554">
            <v>0.4825172077253565</v>
          </cell>
          <cell r="P554">
            <v>0</v>
          </cell>
        </row>
        <row r="555">
          <cell r="A555">
            <v>540</v>
          </cell>
          <cell r="C555">
            <v>888</v>
          </cell>
          <cell r="E555">
            <v>18595.93</v>
          </cell>
          <cell r="F555">
            <v>0.43010491305816012</v>
          </cell>
          <cell r="P555">
            <v>0</v>
          </cell>
        </row>
        <row r="556">
          <cell r="A556">
            <v>541</v>
          </cell>
          <cell r="C556" t="str">
            <v>889</v>
          </cell>
          <cell r="E556">
            <v>219662.53</v>
          </cell>
          <cell r="F556">
            <v>0.62975121853376981</v>
          </cell>
          <cell r="P556">
            <v>0</v>
          </cell>
        </row>
        <row r="557">
          <cell r="A557">
            <v>542</v>
          </cell>
          <cell r="C557" t="str">
            <v>890</v>
          </cell>
          <cell r="E557">
            <v>9726.590000000002</v>
          </cell>
          <cell r="F557">
            <v>0.44176214434092698</v>
          </cell>
          <cell r="P557">
            <v>0</v>
          </cell>
        </row>
        <row r="558">
          <cell r="A558">
            <v>543</v>
          </cell>
          <cell r="C558" t="str">
            <v>892</v>
          </cell>
          <cell r="E558">
            <v>836672.96</v>
          </cell>
          <cell r="F558">
            <v>0.67637675100792694</v>
          </cell>
          <cell r="P558">
            <v>0</v>
          </cell>
        </row>
        <row r="559">
          <cell r="A559">
            <v>544</v>
          </cell>
          <cell r="C559" t="str">
            <v>893</v>
          </cell>
          <cell r="E559">
            <v>897759</v>
          </cell>
          <cell r="F559">
            <v>0.77525615827076877</v>
          </cell>
          <cell r="P559">
            <v>0</v>
          </cell>
        </row>
        <row r="560">
          <cell r="A560">
            <v>545</v>
          </cell>
          <cell r="C560" t="str">
            <v>894</v>
          </cell>
          <cell r="E560">
            <v>62225.46</v>
          </cell>
          <cell r="F560">
            <v>0.40843001679003454</v>
          </cell>
          <cell r="P560">
            <v>0</v>
          </cell>
        </row>
        <row r="561">
          <cell r="A561">
            <v>546</v>
          </cell>
          <cell r="C561">
            <v>901</v>
          </cell>
          <cell r="E561">
            <v>0</v>
          </cell>
          <cell r="F561">
            <v>0</v>
          </cell>
          <cell r="P561">
            <v>0</v>
          </cell>
        </row>
        <row r="562">
          <cell r="A562">
            <v>547</v>
          </cell>
          <cell r="C562" t="str">
            <v>902</v>
          </cell>
          <cell r="E562">
            <v>400637.62</v>
          </cell>
          <cell r="F562">
            <v>0.72987249882253846</v>
          </cell>
          <cell r="P562">
            <v>0</v>
          </cell>
        </row>
        <row r="563">
          <cell r="A563">
            <v>548</v>
          </cell>
          <cell r="C563" t="str">
            <v>903</v>
          </cell>
          <cell r="E563">
            <v>3239745.9099999992</v>
          </cell>
          <cell r="F563">
            <v>0.62967321937372001</v>
          </cell>
          <cell r="P563">
            <v>0</v>
          </cell>
        </row>
        <row r="564">
          <cell r="A564">
            <v>549</v>
          </cell>
          <cell r="C564">
            <v>907</v>
          </cell>
          <cell r="E564">
            <v>0</v>
          </cell>
          <cell r="F564">
            <v>0</v>
          </cell>
          <cell r="P564">
            <v>0</v>
          </cell>
        </row>
        <row r="565">
          <cell r="A565">
            <v>550</v>
          </cell>
          <cell r="C565">
            <v>908</v>
          </cell>
          <cell r="E565">
            <v>0</v>
          </cell>
          <cell r="F565">
            <v>0</v>
          </cell>
          <cell r="P565">
            <v>0</v>
          </cell>
        </row>
        <row r="566">
          <cell r="A566">
            <v>551</v>
          </cell>
          <cell r="C566">
            <v>910</v>
          </cell>
          <cell r="E566">
            <v>0</v>
          </cell>
          <cell r="F566">
            <v>0</v>
          </cell>
          <cell r="P566">
            <v>0</v>
          </cell>
        </row>
        <row r="567">
          <cell r="A567">
            <v>552</v>
          </cell>
          <cell r="C567">
            <v>912</v>
          </cell>
          <cell r="E567">
            <v>0</v>
          </cell>
          <cell r="F567">
            <v>0</v>
          </cell>
          <cell r="P567">
            <v>0</v>
          </cell>
        </row>
        <row r="568">
          <cell r="A568">
            <v>553</v>
          </cell>
          <cell r="C568">
            <v>916</v>
          </cell>
          <cell r="E568">
            <v>0</v>
          </cell>
          <cell r="F568">
            <v>0</v>
          </cell>
          <cell r="P568">
            <v>0</v>
          </cell>
        </row>
        <row r="569">
          <cell r="A569">
            <v>554</v>
          </cell>
          <cell r="B569" t="str">
            <v>Sub Distribution</v>
          </cell>
          <cell r="E569">
            <v>14722376.229999997</v>
          </cell>
          <cell r="F569">
            <v>0.61769965890884682</v>
          </cell>
          <cell r="P569">
            <v>0</v>
          </cell>
        </row>
        <row r="570">
          <cell r="A570">
            <v>555</v>
          </cell>
          <cell r="P570">
            <v>0</v>
          </cell>
        </row>
        <row r="571">
          <cell r="A571">
            <v>556</v>
          </cell>
          <cell r="B571" t="str">
            <v xml:space="preserve">  5. TOTAL:       LABOR allocator</v>
          </cell>
          <cell r="E571">
            <v>14722376.229999997</v>
          </cell>
          <cell r="F571">
            <v>0.61769965890884682</v>
          </cell>
          <cell r="P571">
            <v>0</v>
          </cell>
        </row>
        <row r="572">
          <cell r="P572">
            <v>0</v>
          </cell>
        </row>
        <row r="573">
          <cell r="E573">
            <v>14722376.229999997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7">
          <cell r="F7" t="str">
            <v>Res</v>
          </cell>
          <cell r="G7" t="str">
            <v>GSC</v>
          </cell>
          <cell r="H7" t="str">
            <v>GSI</v>
          </cell>
          <cell r="I7" t="str">
            <v>GSLV</v>
          </cell>
          <cell r="J7" t="str">
            <v>Interruptible</v>
          </cell>
          <cell r="K7" t="str">
            <v>Transport</v>
          </cell>
          <cell r="L7" t="str">
            <v>Spl Contracts</v>
          </cell>
          <cell r="M7">
            <v>0</v>
          </cell>
          <cell r="N7">
            <v>0</v>
          </cell>
          <cell r="O7">
            <v>0</v>
          </cell>
          <cell r="P7">
            <v>0</v>
          </cell>
          <cell r="Q7">
            <v>0</v>
          </cell>
          <cell r="R7">
            <v>0</v>
          </cell>
          <cell r="S7">
            <v>0</v>
          </cell>
          <cell r="T7">
            <v>0</v>
          </cell>
          <cell r="U7">
            <v>0</v>
          </cell>
          <cell r="V7">
            <v>0</v>
          </cell>
          <cell r="W7">
            <v>0</v>
          </cell>
          <cell r="X7">
            <v>0</v>
          </cell>
          <cell r="Y7">
            <v>0</v>
          </cell>
          <cell r="Z7">
            <v>0</v>
          </cell>
        </row>
        <row r="8">
          <cell r="F8" t="str">
            <v>502, 503</v>
          </cell>
          <cell r="G8" t="str">
            <v>504, 512</v>
          </cell>
          <cell r="H8" t="str">
            <v>505</v>
          </cell>
          <cell r="I8" t="str">
            <v>511</v>
          </cell>
          <cell r="J8" t="str">
            <v>570, 577</v>
          </cell>
          <cell r="K8" t="str">
            <v>663</v>
          </cell>
          <cell r="L8" t="str">
            <v>9xx</v>
          </cell>
        </row>
        <row r="9">
          <cell r="AB9" t="str">
            <v>check total</v>
          </cell>
        </row>
        <row r="10">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row>
        <row r="16">
          <cell r="AB16">
            <v>0</v>
          </cell>
        </row>
        <row r="17">
          <cell r="AB17">
            <v>0</v>
          </cell>
        </row>
        <row r="18">
          <cell r="AB18">
            <v>0</v>
          </cell>
        </row>
        <row r="19">
          <cell r="AB19">
            <v>0</v>
          </cell>
        </row>
        <row r="20">
          <cell r="AB20">
            <v>0</v>
          </cell>
        </row>
        <row r="21">
          <cell r="AB21">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40">
          <cell r="AB40">
            <v>0</v>
          </cell>
        </row>
        <row r="41">
          <cell r="AB41">
            <v>0</v>
          </cell>
        </row>
        <row r="42">
          <cell r="AB42">
            <v>0</v>
          </cell>
        </row>
        <row r="43">
          <cell r="AB43">
            <v>0</v>
          </cell>
        </row>
        <row r="44">
          <cell r="AB44">
            <v>0</v>
          </cell>
        </row>
        <row r="45">
          <cell r="AB45">
            <v>0</v>
          </cell>
        </row>
        <row r="46">
          <cell r="AB46">
            <v>0</v>
          </cell>
        </row>
        <row r="47">
          <cell r="AB47">
            <v>0</v>
          </cell>
        </row>
        <row r="51">
          <cell r="AB51">
            <v>0</v>
          </cell>
        </row>
        <row r="52">
          <cell r="AB52">
            <v>0</v>
          </cell>
        </row>
        <row r="53">
          <cell r="AB53">
            <v>0</v>
          </cell>
        </row>
        <row r="54">
          <cell r="AB54">
            <v>0</v>
          </cell>
        </row>
        <row r="55">
          <cell r="AB55">
            <v>0</v>
          </cell>
        </row>
        <row r="56">
          <cell r="AB56">
            <v>0</v>
          </cell>
        </row>
        <row r="57">
          <cell r="AB57">
            <v>0</v>
          </cell>
        </row>
        <row r="58">
          <cell r="AB58">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90">
          <cell r="AB90">
            <v>0</v>
          </cell>
        </row>
        <row r="91">
          <cell r="AB91">
            <v>0</v>
          </cell>
        </row>
        <row r="92">
          <cell r="AB92">
            <v>0</v>
          </cell>
        </row>
        <row r="93">
          <cell r="AB93">
            <v>0</v>
          </cell>
        </row>
        <row r="94">
          <cell r="AB94">
            <v>0</v>
          </cell>
        </row>
        <row r="95">
          <cell r="AB95">
            <v>0</v>
          </cell>
        </row>
        <row r="96">
          <cell r="AB96">
            <v>0</v>
          </cell>
        </row>
        <row r="97">
          <cell r="AB97">
            <v>0</v>
          </cell>
        </row>
        <row r="98">
          <cell r="AB98">
            <v>0</v>
          </cell>
        </row>
        <row r="99">
          <cell r="AB99">
            <v>0</v>
          </cell>
        </row>
        <row r="100">
          <cell r="AB100">
            <v>0</v>
          </cell>
        </row>
        <row r="101">
          <cell r="AB101">
            <v>0</v>
          </cell>
        </row>
        <row r="102">
          <cell r="AB102">
            <v>0</v>
          </cell>
        </row>
        <row r="104">
          <cell r="AB104">
            <v>0</v>
          </cell>
        </row>
        <row r="106">
          <cell r="AB106">
            <v>0</v>
          </cell>
        </row>
        <row r="108">
          <cell r="AB108">
            <v>0</v>
          </cell>
        </row>
        <row r="111">
          <cell r="AB111">
            <v>0</v>
          </cell>
        </row>
        <row r="112">
          <cell r="AB112">
            <v>0</v>
          </cell>
        </row>
        <row r="113">
          <cell r="AB113">
            <v>0</v>
          </cell>
        </row>
        <row r="114">
          <cell r="AB114">
            <v>0</v>
          </cell>
        </row>
        <row r="115">
          <cell r="AB115">
            <v>0</v>
          </cell>
        </row>
        <row r="116">
          <cell r="AB116">
            <v>0</v>
          </cell>
        </row>
        <row r="117">
          <cell r="AB117">
            <v>0</v>
          </cell>
        </row>
        <row r="118">
          <cell r="AB118">
            <v>0</v>
          </cell>
        </row>
        <row r="119">
          <cell r="AB119">
            <v>0</v>
          </cell>
        </row>
        <row r="120">
          <cell r="AB120">
            <v>0</v>
          </cell>
        </row>
        <row r="121">
          <cell r="AB121">
            <v>0</v>
          </cell>
        </row>
        <row r="122">
          <cell r="AB122">
            <v>0</v>
          </cell>
        </row>
        <row r="123">
          <cell r="AB123">
            <v>0</v>
          </cell>
        </row>
        <row r="124">
          <cell r="AB124">
            <v>0</v>
          </cell>
        </row>
        <row r="125">
          <cell r="AB125">
            <v>0</v>
          </cell>
        </row>
        <row r="126">
          <cell r="AB126">
            <v>0</v>
          </cell>
        </row>
        <row r="127">
          <cell r="AB127">
            <v>0</v>
          </cell>
        </row>
        <row r="129">
          <cell r="AB129">
            <v>0</v>
          </cell>
        </row>
        <row r="131">
          <cell r="AB131">
            <v>0</v>
          </cell>
        </row>
        <row r="134">
          <cell r="AB134">
            <v>0</v>
          </cell>
        </row>
        <row r="135">
          <cell r="AB135">
            <v>0</v>
          </cell>
        </row>
        <row r="136">
          <cell r="AB136">
            <v>0</v>
          </cell>
        </row>
        <row r="137">
          <cell r="AB137">
            <v>0</v>
          </cell>
        </row>
        <row r="140">
          <cell r="AB140">
            <v>0</v>
          </cell>
        </row>
        <row r="142">
          <cell r="AB142">
            <v>0</v>
          </cell>
        </row>
        <row r="144">
          <cell r="AB144">
            <v>0</v>
          </cell>
        </row>
        <row r="152">
          <cell r="AB152">
            <v>0</v>
          </cell>
        </row>
        <row r="153">
          <cell r="AB153">
            <v>0</v>
          </cell>
        </row>
        <row r="154">
          <cell r="AB154">
            <v>0</v>
          </cell>
        </row>
        <row r="155">
          <cell r="AB155">
            <v>0</v>
          </cell>
        </row>
        <row r="156">
          <cell r="AB156">
            <v>0</v>
          </cell>
        </row>
        <row r="157">
          <cell r="AB157">
            <v>0</v>
          </cell>
        </row>
        <row r="158">
          <cell r="AB158">
            <v>0</v>
          </cell>
        </row>
        <row r="159">
          <cell r="AB159">
            <v>0</v>
          </cell>
        </row>
        <row r="160">
          <cell r="AB160">
            <v>0</v>
          </cell>
        </row>
        <row r="161">
          <cell r="AB161">
            <v>0</v>
          </cell>
        </row>
        <row r="162">
          <cell r="AB162">
            <v>0</v>
          </cell>
        </row>
        <row r="164">
          <cell r="AB164">
            <v>0</v>
          </cell>
        </row>
        <row r="168">
          <cell r="AB168">
            <v>0</v>
          </cell>
        </row>
        <row r="169">
          <cell r="AB169">
            <v>0</v>
          </cell>
        </row>
        <row r="170">
          <cell r="AB170">
            <v>0</v>
          </cell>
        </row>
        <row r="171">
          <cell r="AB171">
            <v>0</v>
          </cell>
        </row>
        <row r="172">
          <cell r="AB172">
            <v>0</v>
          </cell>
        </row>
        <row r="173">
          <cell r="AB173">
            <v>0</v>
          </cell>
        </row>
        <row r="174">
          <cell r="AB174">
            <v>0</v>
          </cell>
        </row>
        <row r="175">
          <cell r="AB175">
            <v>0</v>
          </cell>
        </row>
        <row r="176">
          <cell r="AB176">
            <v>0</v>
          </cell>
        </row>
        <row r="177">
          <cell r="AB177">
            <v>0</v>
          </cell>
        </row>
        <row r="178">
          <cell r="AB178">
            <v>0</v>
          </cell>
        </row>
        <row r="179">
          <cell r="AB179">
            <v>0</v>
          </cell>
        </row>
        <row r="180">
          <cell r="AB180">
            <v>0</v>
          </cell>
        </row>
        <row r="181">
          <cell r="AB181">
            <v>0</v>
          </cell>
        </row>
        <row r="182">
          <cell r="AB182">
            <v>0</v>
          </cell>
        </row>
        <row r="187">
          <cell r="AB187">
            <v>0</v>
          </cell>
        </row>
        <row r="188">
          <cell r="AB188">
            <v>0</v>
          </cell>
        </row>
        <row r="189">
          <cell r="AB189">
            <v>0</v>
          </cell>
        </row>
        <row r="190">
          <cell r="AB190">
            <v>0</v>
          </cell>
        </row>
        <row r="191">
          <cell r="AB191">
            <v>0</v>
          </cell>
        </row>
        <row r="192">
          <cell r="AB192">
            <v>0</v>
          </cell>
        </row>
        <row r="193">
          <cell r="AB193">
            <v>0</v>
          </cell>
        </row>
        <row r="194">
          <cell r="AB194">
            <v>0</v>
          </cell>
        </row>
        <row r="195">
          <cell r="AB195">
            <v>0</v>
          </cell>
        </row>
        <row r="196">
          <cell r="AB196">
            <v>0</v>
          </cell>
        </row>
        <row r="197">
          <cell r="AB197">
            <v>0</v>
          </cell>
        </row>
        <row r="198">
          <cell r="AB198">
            <v>0</v>
          </cell>
        </row>
        <row r="199">
          <cell r="AB199">
            <v>0</v>
          </cell>
        </row>
        <row r="200">
          <cell r="AB200">
            <v>0</v>
          </cell>
        </row>
        <row r="201">
          <cell r="AB201">
            <v>0</v>
          </cell>
        </row>
        <row r="202">
          <cell r="AB202">
            <v>0</v>
          </cell>
        </row>
        <row r="203">
          <cell r="AB203">
            <v>0</v>
          </cell>
        </row>
        <row r="205">
          <cell r="AB205">
            <v>0</v>
          </cell>
        </row>
        <row r="209">
          <cell r="AB209">
            <v>0</v>
          </cell>
        </row>
        <row r="210">
          <cell r="AB210">
            <v>0</v>
          </cell>
        </row>
        <row r="211">
          <cell r="AB211">
            <v>0</v>
          </cell>
        </row>
        <row r="212">
          <cell r="AB212">
            <v>0</v>
          </cell>
        </row>
        <row r="213">
          <cell r="AB213">
            <v>0</v>
          </cell>
        </row>
        <row r="214">
          <cell r="AB214">
            <v>0</v>
          </cell>
        </row>
        <row r="215">
          <cell r="AB215">
            <v>0</v>
          </cell>
        </row>
        <row r="216">
          <cell r="AB216">
            <v>0</v>
          </cell>
        </row>
        <row r="217">
          <cell r="AB217">
            <v>0</v>
          </cell>
        </row>
        <row r="218">
          <cell r="AB218">
            <v>0</v>
          </cell>
        </row>
        <row r="219">
          <cell r="AB219">
            <v>0</v>
          </cell>
        </row>
        <row r="220">
          <cell r="AB220">
            <v>0</v>
          </cell>
        </row>
        <row r="221">
          <cell r="AB221">
            <v>0</v>
          </cell>
        </row>
        <row r="223">
          <cell r="AB223">
            <v>0</v>
          </cell>
        </row>
        <row r="227">
          <cell r="AB227">
            <v>0</v>
          </cell>
        </row>
        <row r="228">
          <cell r="AB228">
            <v>0</v>
          </cell>
        </row>
        <row r="229">
          <cell r="AB229">
            <v>0</v>
          </cell>
        </row>
        <row r="230">
          <cell r="AB230">
            <v>0</v>
          </cell>
        </row>
        <row r="231">
          <cell r="AB231">
            <v>0</v>
          </cell>
        </row>
        <row r="232">
          <cell r="AB232">
            <v>0</v>
          </cell>
        </row>
        <row r="233">
          <cell r="AB233">
            <v>0</v>
          </cell>
        </row>
        <row r="234">
          <cell r="AB234">
            <v>0</v>
          </cell>
        </row>
        <row r="235">
          <cell r="AB235">
            <v>0</v>
          </cell>
        </row>
        <row r="236">
          <cell r="AB236">
            <v>0</v>
          </cell>
        </row>
        <row r="237">
          <cell r="AB237">
            <v>0</v>
          </cell>
        </row>
        <row r="238">
          <cell r="AB238">
            <v>0</v>
          </cell>
        </row>
        <row r="239">
          <cell r="AB239">
            <v>0</v>
          </cell>
        </row>
        <row r="240">
          <cell r="AB240">
            <v>0</v>
          </cell>
        </row>
        <row r="241">
          <cell r="AB241">
            <v>0</v>
          </cell>
        </row>
        <row r="242">
          <cell r="AB242">
            <v>0</v>
          </cell>
        </row>
        <row r="243">
          <cell r="AB243">
            <v>0</v>
          </cell>
        </row>
        <row r="244">
          <cell r="AB244">
            <v>0</v>
          </cell>
        </row>
        <row r="245">
          <cell r="AB245">
            <v>0</v>
          </cell>
        </row>
        <row r="247">
          <cell r="AB247">
            <v>0</v>
          </cell>
        </row>
        <row r="249">
          <cell r="AB249">
            <v>0</v>
          </cell>
        </row>
        <row r="253">
          <cell r="AB253">
            <v>0</v>
          </cell>
        </row>
        <row r="254">
          <cell r="AB254">
            <v>0</v>
          </cell>
        </row>
        <row r="255">
          <cell r="AB255">
            <v>0</v>
          </cell>
        </row>
        <row r="256">
          <cell r="AB256">
            <v>0</v>
          </cell>
        </row>
        <row r="257">
          <cell r="AB257">
            <v>0</v>
          </cell>
        </row>
        <row r="259">
          <cell r="AB259">
            <v>0</v>
          </cell>
        </row>
        <row r="263">
          <cell r="AB263">
            <v>0</v>
          </cell>
        </row>
        <row r="264">
          <cell r="AB264">
            <v>0</v>
          </cell>
        </row>
        <row r="265">
          <cell r="AB265">
            <v>0</v>
          </cell>
        </row>
        <row r="267">
          <cell r="AB267">
            <v>0</v>
          </cell>
        </row>
        <row r="271">
          <cell r="AB271">
            <v>0</v>
          </cell>
        </row>
        <row r="272">
          <cell r="AB272">
            <v>0</v>
          </cell>
        </row>
        <row r="273">
          <cell r="AB273">
            <v>0</v>
          </cell>
        </row>
        <row r="274">
          <cell r="AB274">
            <v>0</v>
          </cell>
        </row>
        <row r="276">
          <cell r="AB276">
            <v>0</v>
          </cell>
        </row>
        <row r="278">
          <cell r="AB278">
            <v>0</v>
          </cell>
        </row>
        <row r="284">
          <cell r="AB284">
            <v>0</v>
          </cell>
        </row>
        <row r="285">
          <cell r="AB285">
            <v>0</v>
          </cell>
        </row>
        <row r="286">
          <cell r="AB286">
            <v>0</v>
          </cell>
        </row>
        <row r="287">
          <cell r="AB287">
            <v>0</v>
          </cell>
        </row>
        <row r="288">
          <cell r="AB288">
            <v>0</v>
          </cell>
        </row>
        <row r="289">
          <cell r="AB289">
            <v>0</v>
          </cell>
        </row>
        <row r="291">
          <cell r="AB291">
            <v>0</v>
          </cell>
        </row>
        <row r="295">
          <cell r="AB295">
            <v>0</v>
          </cell>
        </row>
        <row r="296">
          <cell r="AB296">
            <v>0</v>
          </cell>
        </row>
        <row r="297">
          <cell r="AB297">
            <v>0</v>
          </cell>
        </row>
        <row r="299">
          <cell r="AB299">
            <v>0</v>
          </cell>
        </row>
        <row r="303">
          <cell r="AB303">
            <v>0</v>
          </cell>
        </row>
        <row r="304">
          <cell r="AB304">
            <v>0</v>
          </cell>
        </row>
        <row r="305">
          <cell r="AB305">
            <v>0</v>
          </cell>
        </row>
        <row r="306">
          <cell r="AB306">
            <v>0</v>
          </cell>
        </row>
        <row r="307">
          <cell r="AB307">
            <v>0</v>
          </cell>
        </row>
        <row r="309">
          <cell r="AB309">
            <v>0</v>
          </cell>
        </row>
        <row r="311">
          <cell r="AB311">
            <v>0</v>
          </cell>
        </row>
        <row r="315">
          <cell r="AB315">
            <v>0</v>
          </cell>
        </row>
        <row r="316">
          <cell r="AB316">
            <v>0</v>
          </cell>
        </row>
        <row r="317">
          <cell r="AB317">
            <v>0</v>
          </cell>
        </row>
        <row r="318">
          <cell r="AB318">
            <v>0</v>
          </cell>
        </row>
        <row r="319">
          <cell r="AB319">
            <v>0</v>
          </cell>
        </row>
        <row r="320">
          <cell r="AB320">
            <v>0</v>
          </cell>
        </row>
        <row r="321">
          <cell r="AB321">
            <v>0</v>
          </cell>
        </row>
        <row r="322">
          <cell r="AB322">
            <v>0</v>
          </cell>
        </row>
        <row r="323">
          <cell r="AB323">
            <v>0</v>
          </cell>
        </row>
        <row r="324">
          <cell r="AB324">
            <v>0</v>
          </cell>
        </row>
        <row r="325">
          <cell r="AB325">
            <v>0</v>
          </cell>
        </row>
        <row r="326">
          <cell r="AB326">
            <v>0</v>
          </cell>
        </row>
        <row r="328">
          <cell r="AB328">
            <v>0</v>
          </cell>
        </row>
        <row r="334">
          <cell r="AB334">
            <v>0</v>
          </cell>
        </row>
        <row r="335">
          <cell r="AB335">
            <v>0</v>
          </cell>
        </row>
        <row r="336">
          <cell r="AB336">
            <v>0</v>
          </cell>
        </row>
        <row r="337">
          <cell r="AB337">
            <v>0</v>
          </cell>
        </row>
        <row r="338">
          <cell r="AB338">
            <v>0</v>
          </cell>
        </row>
        <row r="340">
          <cell r="AB340">
            <v>0</v>
          </cell>
        </row>
        <row r="345">
          <cell r="AB345">
            <v>0</v>
          </cell>
        </row>
        <row r="346">
          <cell r="AB346">
            <v>0</v>
          </cell>
        </row>
        <row r="347">
          <cell r="AB347">
            <v>0</v>
          </cell>
        </row>
        <row r="351">
          <cell r="AB351">
            <v>0</v>
          </cell>
        </row>
        <row r="352">
          <cell r="AB352">
            <v>0</v>
          </cell>
        </row>
        <row r="353">
          <cell r="AB353">
            <v>0</v>
          </cell>
        </row>
        <row r="354">
          <cell r="AB354">
            <v>0</v>
          </cell>
        </row>
        <row r="355">
          <cell r="AB355">
            <v>0</v>
          </cell>
        </row>
        <row r="356">
          <cell r="AB356">
            <v>0</v>
          </cell>
        </row>
        <row r="358">
          <cell r="AB358">
            <v>0</v>
          </cell>
        </row>
        <row r="360">
          <cell r="AB360">
            <v>0</v>
          </cell>
        </row>
        <row r="365">
          <cell r="AB365">
            <v>0</v>
          </cell>
        </row>
        <row r="366">
          <cell r="AB366">
            <v>0</v>
          </cell>
        </row>
        <row r="367">
          <cell r="AB367">
            <v>0</v>
          </cell>
        </row>
        <row r="368">
          <cell r="AB368">
            <v>0</v>
          </cell>
        </row>
        <row r="369">
          <cell r="AB369">
            <v>0</v>
          </cell>
        </row>
        <row r="370">
          <cell r="AB370">
            <v>0</v>
          </cell>
        </row>
        <row r="371">
          <cell r="AB371">
            <v>0</v>
          </cell>
        </row>
        <row r="372">
          <cell r="AB372">
            <v>0</v>
          </cell>
        </row>
        <row r="373">
          <cell r="AB373">
            <v>0</v>
          </cell>
        </row>
        <row r="374">
          <cell r="AB374">
            <v>0</v>
          </cell>
        </row>
        <row r="375">
          <cell r="AB375">
            <v>0</v>
          </cell>
        </row>
        <row r="377">
          <cell r="AB377">
            <v>0</v>
          </cell>
        </row>
        <row r="379">
          <cell r="AB379">
            <v>0</v>
          </cell>
        </row>
        <row r="390">
          <cell r="AB390">
            <v>0</v>
          </cell>
        </row>
        <row r="391">
          <cell r="AB391">
            <v>0</v>
          </cell>
        </row>
        <row r="392">
          <cell r="AB392">
            <v>0</v>
          </cell>
        </row>
        <row r="393">
          <cell r="AB393">
            <v>0</v>
          </cell>
        </row>
        <row r="394">
          <cell r="AB394">
            <v>0</v>
          </cell>
        </row>
        <row r="395">
          <cell r="AB395">
            <v>0</v>
          </cell>
        </row>
        <row r="396">
          <cell r="AB396">
            <v>0</v>
          </cell>
        </row>
        <row r="397">
          <cell r="AB397">
            <v>0</v>
          </cell>
        </row>
        <row r="398">
          <cell r="AB398">
            <v>0</v>
          </cell>
        </row>
        <row r="399">
          <cell r="AB399">
            <v>0</v>
          </cell>
        </row>
        <row r="403">
          <cell r="AB403">
            <v>0</v>
          </cell>
        </row>
        <row r="406">
          <cell r="AB406">
            <v>0</v>
          </cell>
        </row>
        <row r="407">
          <cell r="AB407">
            <v>0</v>
          </cell>
        </row>
        <row r="408">
          <cell r="AB408">
            <v>0</v>
          </cell>
        </row>
        <row r="409">
          <cell r="AB409">
            <v>0</v>
          </cell>
        </row>
        <row r="410">
          <cell r="AB410">
            <v>0</v>
          </cell>
        </row>
        <row r="412">
          <cell r="AB412">
            <v>0</v>
          </cell>
        </row>
        <row r="414">
          <cell r="AB414">
            <v>0</v>
          </cell>
        </row>
        <row r="416">
          <cell r="AB416">
            <v>0</v>
          </cell>
        </row>
        <row r="418">
          <cell r="AB418">
            <v>0</v>
          </cell>
        </row>
        <row r="419">
          <cell r="AB419">
            <v>0</v>
          </cell>
        </row>
        <row r="420">
          <cell r="AB420">
            <v>0</v>
          </cell>
        </row>
        <row r="423">
          <cell r="AB423">
            <v>0</v>
          </cell>
        </row>
        <row r="424">
          <cell r="AB424">
            <v>0</v>
          </cell>
        </row>
        <row r="425">
          <cell r="AB425">
            <v>0</v>
          </cell>
        </row>
        <row r="426">
          <cell r="AB426">
            <v>0</v>
          </cell>
        </row>
        <row r="427">
          <cell r="AB427">
            <v>0</v>
          </cell>
        </row>
        <row r="429">
          <cell r="AB429">
            <v>0</v>
          </cell>
        </row>
        <row r="431">
          <cell r="AB431">
            <v>0</v>
          </cell>
        </row>
        <row r="446">
          <cell r="AB446">
            <v>0</v>
          </cell>
        </row>
        <row r="448">
          <cell r="AB448">
            <v>0</v>
          </cell>
        </row>
        <row r="449">
          <cell r="AB449">
            <v>0</v>
          </cell>
        </row>
        <row r="450">
          <cell r="AB450">
            <v>0</v>
          </cell>
        </row>
        <row r="451">
          <cell r="AB451">
            <v>0</v>
          </cell>
        </row>
        <row r="452">
          <cell r="AB452">
            <v>0</v>
          </cell>
        </row>
        <row r="454">
          <cell r="AB454">
            <v>0</v>
          </cell>
        </row>
        <row r="456">
          <cell r="AB456">
            <v>0</v>
          </cell>
        </row>
        <row r="458">
          <cell r="AB458">
            <v>0</v>
          </cell>
        </row>
        <row r="459">
          <cell r="AB459">
            <v>0</v>
          </cell>
        </row>
        <row r="460">
          <cell r="AB460">
            <v>0</v>
          </cell>
        </row>
        <row r="462">
          <cell r="AB462">
            <v>0</v>
          </cell>
        </row>
        <row r="472">
          <cell r="AB472">
            <v>0</v>
          </cell>
        </row>
        <row r="473">
          <cell r="AB473">
            <v>0</v>
          </cell>
        </row>
        <row r="474">
          <cell r="AB474">
            <v>0</v>
          </cell>
        </row>
        <row r="475">
          <cell r="AB475">
            <v>0</v>
          </cell>
        </row>
        <row r="476">
          <cell r="AB476">
            <v>0</v>
          </cell>
        </row>
        <row r="477">
          <cell r="AB477">
            <v>0</v>
          </cell>
        </row>
        <row r="480">
          <cell r="AB480">
            <v>0</v>
          </cell>
        </row>
        <row r="481">
          <cell r="AB481">
            <v>0</v>
          </cell>
        </row>
        <row r="482">
          <cell r="AB482">
            <v>0</v>
          </cell>
        </row>
        <row r="486">
          <cell r="AB486">
            <v>0</v>
          </cell>
        </row>
        <row r="487">
          <cell r="AB487">
            <v>0</v>
          </cell>
        </row>
        <row r="488">
          <cell r="AB488">
            <v>0</v>
          </cell>
        </row>
        <row r="490">
          <cell r="AB490">
            <v>0</v>
          </cell>
        </row>
        <row r="492">
          <cell r="AB492">
            <v>0</v>
          </cell>
        </row>
        <row r="494">
          <cell r="AB494">
            <v>0</v>
          </cell>
        </row>
        <row r="497">
          <cell r="AB497">
            <v>0</v>
          </cell>
        </row>
        <row r="498">
          <cell r="AB498">
            <v>0</v>
          </cell>
        </row>
        <row r="499">
          <cell r="AB499">
            <v>0</v>
          </cell>
        </row>
        <row r="500">
          <cell r="AB500">
            <v>0</v>
          </cell>
        </row>
        <row r="501">
          <cell r="AB501">
            <v>0</v>
          </cell>
        </row>
        <row r="503">
          <cell r="AB503">
            <v>0</v>
          </cell>
        </row>
        <row r="506">
          <cell r="AB506">
            <v>0</v>
          </cell>
        </row>
        <row r="507">
          <cell r="AB507">
            <v>0</v>
          </cell>
        </row>
        <row r="508">
          <cell r="AB508">
            <v>0</v>
          </cell>
        </row>
        <row r="509">
          <cell r="AB509">
            <v>0</v>
          </cell>
        </row>
        <row r="510">
          <cell r="AB510">
            <v>0</v>
          </cell>
        </row>
        <row r="511">
          <cell r="AB511">
            <v>0</v>
          </cell>
        </row>
        <row r="512">
          <cell r="AB512">
            <v>0</v>
          </cell>
        </row>
        <row r="513">
          <cell r="AB513">
            <v>0</v>
          </cell>
        </row>
        <row r="514">
          <cell r="AB514">
            <v>0</v>
          </cell>
        </row>
        <row r="515">
          <cell r="AB515">
            <v>0</v>
          </cell>
        </row>
        <row r="516">
          <cell r="AB516">
            <v>0</v>
          </cell>
        </row>
        <row r="517">
          <cell r="AB517">
            <v>0</v>
          </cell>
        </row>
        <row r="518">
          <cell r="AB518">
            <v>0</v>
          </cell>
        </row>
        <row r="520">
          <cell r="AB520">
            <v>0</v>
          </cell>
        </row>
        <row r="768">
          <cell r="F768">
            <v>9.5000000000000001E-2</v>
          </cell>
          <cell r="G768">
            <v>9.5000000000000001E-2</v>
          </cell>
          <cell r="H768">
            <v>9.5000000000000001E-2</v>
          </cell>
          <cell r="I768">
            <v>9.5000000000000001E-2</v>
          </cell>
          <cell r="J768">
            <v>9.5000000000000001E-2</v>
          </cell>
          <cell r="K768">
            <v>9.5000000000000001E-2</v>
          </cell>
          <cell r="L768">
            <v>9.5000000000000001E-2</v>
          </cell>
          <cell r="M768">
            <v>9.5000000000000001E-2</v>
          </cell>
          <cell r="N768">
            <v>9.5000000000000001E-2</v>
          </cell>
          <cell r="O768">
            <v>9.5000000000000001E-2</v>
          </cell>
          <cell r="P768">
            <v>9.5000000000000001E-2</v>
          </cell>
          <cell r="Q768">
            <v>9.5000000000000001E-2</v>
          </cell>
          <cell r="R768">
            <v>9.5000000000000001E-2</v>
          </cell>
          <cell r="S768">
            <v>9.5000000000000001E-2</v>
          </cell>
          <cell r="T768">
            <v>9.5000000000000001E-2</v>
          </cell>
          <cell r="U768">
            <v>9.5000000000000001E-2</v>
          </cell>
          <cell r="V768">
            <v>9.5000000000000001E-2</v>
          </cell>
          <cell r="W768">
            <v>9.5000000000000001E-2</v>
          </cell>
          <cell r="X768">
            <v>9.5000000000000001E-2</v>
          </cell>
          <cell r="Y768">
            <v>9.5000000000000001E-2</v>
          </cell>
          <cell r="Z768">
            <v>9.5000000000000001E-2</v>
          </cell>
        </row>
      </sheetData>
      <sheetData sheetId="93" refreshError="1"/>
      <sheetData sheetId="94">
        <row r="12">
          <cell r="D12" t="str">
            <v>None</v>
          </cell>
          <cell r="E12" t="str">
            <v>EXT</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C12" t="str">
            <v>None</v>
          </cell>
          <cell r="AD12" t="str">
            <v>EXT</v>
          </cell>
          <cell r="AE12">
            <v>0</v>
          </cell>
          <cell r="AF12">
            <v>0</v>
          </cell>
          <cell r="AG12">
            <v>0</v>
          </cell>
          <cell r="AH12">
            <v>0</v>
          </cell>
          <cell r="AI12">
            <v>0</v>
          </cell>
          <cell r="AJ12">
            <v>0</v>
          </cell>
          <cell r="AK12">
            <v>0</v>
          </cell>
          <cell r="AL12">
            <v>0</v>
          </cell>
          <cell r="AN12" t="str">
            <v>None</v>
          </cell>
          <cell r="AO12" t="str">
            <v>EXT</v>
          </cell>
          <cell r="AP12">
            <v>0</v>
          </cell>
          <cell r="AQ12">
            <v>0</v>
          </cell>
          <cell r="AR12">
            <v>0</v>
          </cell>
        </row>
        <row r="13">
          <cell r="D13" t="str">
            <v>None%</v>
          </cell>
          <cell r="E13">
            <v>1</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C13" t="str">
            <v>None%</v>
          </cell>
          <cell r="AD13">
            <v>0</v>
          </cell>
          <cell r="AE13">
            <v>0</v>
          </cell>
          <cell r="AF13">
            <v>0</v>
          </cell>
          <cell r="AG13">
            <v>0</v>
          </cell>
          <cell r="AH13">
            <v>0</v>
          </cell>
          <cell r="AI13">
            <v>0</v>
          </cell>
          <cell r="AJ13">
            <v>0</v>
          </cell>
          <cell r="AK13">
            <v>0</v>
          </cell>
          <cell r="AL13">
            <v>0</v>
          </cell>
          <cell r="AN13" t="str">
            <v>None%</v>
          </cell>
          <cell r="AO13">
            <v>0</v>
          </cell>
          <cell r="AP13">
            <v>0</v>
          </cell>
          <cell r="AQ13">
            <v>0</v>
          </cell>
          <cell r="AR13">
            <v>0</v>
          </cell>
        </row>
        <row r="15">
          <cell r="D15" t="str">
            <v>Temp</v>
          </cell>
          <cell r="E15" t="str">
            <v>EXT</v>
          </cell>
          <cell r="F15">
            <v>1</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C15" t="str">
            <v>TBD</v>
          </cell>
          <cell r="AD15" t="str">
            <v>EXT</v>
          </cell>
          <cell r="AE15">
            <v>1</v>
          </cell>
          <cell r="AF15">
            <v>1</v>
          </cell>
          <cell r="AG15">
            <v>0</v>
          </cell>
          <cell r="AH15">
            <v>1</v>
          </cell>
          <cell r="AI15">
            <v>0</v>
          </cell>
          <cell r="AJ15">
            <v>0</v>
          </cell>
          <cell r="AK15">
            <v>0</v>
          </cell>
          <cell r="AL15">
            <v>0</v>
          </cell>
          <cell r="AN15" t="str">
            <v>TBD</v>
          </cell>
          <cell r="AO15" t="str">
            <v>EXT</v>
          </cell>
          <cell r="AP15">
            <v>1</v>
          </cell>
          <cell r="AQ15">
            <v>1</v>
          </cell>
          <cell r="AR15">
            <v>1</v>
          </cell>
        </row>
        <row r="16">
          <cell r="D16" t="str">
            <v>Temp%</v>
          </cell>
          <cell r="E16">
            <v>1</v>
          </cell>
          <cell r="F16">
            <v>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C16" t="str">
            <v>TBD%</v>
          </cell>
          <cell r="AD16">
            <v>3</v>
          </cell>
          <cell r="AE16">
            <v>0.33333333333333331</v>
          </cell>
          <cell r="AF16">
            <v>0.33333333333333331</v>
          </cell>
          <cell r="AG16">
            <v>0</v>
          </cell>
          <cell r="AH16">
            <v>0.33333333333333331</v>
          </cell>
          <cell r="AI16">
            <v>0</v>
          </cell>
          <cell r="AJ16">
            <v>0</v>
          </cell>
          <cell r="AK16">
            <v>0</v>
          </cell>
          <cell r="AL16">
            <v>0</v>
          </cell>
          <cell r="AN16" t="str">
            <v>TBD%</v>
          </cell>
          <cell r="AO16">
            <v>3</v>
          </cell>
          <cell r="AP16">
            <v>0.33333333333333331</v>
          </cell>
          <cell r="AQ16">
            <v>0.33333333333333331</v>
          </cell>
          <cell r="AR16">
            <v>0.33333333333333331</v>
          </cell>
        </row>
        <row r="18">
          <cell r="D18" t="str">
            <v>Sales_Rev</v>
          </cell>
          <cell r="E18" t="str">
            <v>EXT</v>
          </cell>
          <cell r="F18">
            <v>109247922.01915</v>
          </cell>
          <cell r="G18">
            <v>66969194.382099994</v>
          </cell>
          <cell r="H18">
            <v>7820969.71483</v>
          </cell>
          <cell r="I18">
            <v>7152646.4782490907</v>
          </cell>
          <cell r="J18">
            <v>2087539.2325518094</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C18" t="str">
            <v>SUPP</v>
          </cell>
          <cell r="AD18" t="str">
            <v>EXT</v>
          </cell>
          <cell r="AE18">
            <v>1</v>
          </cell>
          <cell r="AF18">
            <v>0</v>
          </cell>
          <cell r="AG18">
            <v>0</v>
          </cell>
          <cell r="AH18">
            <v>0</v>
          </cell>
          <cell r="AI18">
            <v>0</v>
          </cell>
          <cell r="AJ18">
            <v>0</v>
          </cell>
          <cell r="AK18">
            <v>0</v>
          </cell>
          <cell r="AL18">
            <v>0</v>
          </cell>
          <cell r="AN18" t="str">
            <v>DEMAND</v>
          </cell>
          <cell r="AO18" t="str">
            <v>EXT</v>
          </cell>
          <cell r="AP18">
            <v>1</v>
          </cell>
          <cell r="AQ18" t="str">
            <v xml:space="preserve"> </v>
          </cell>
          <cell r="AR18">
            <v>0</v>
          </cell>
        </row>
        <row r="19">
          <cell r="D19" t="str">
            <v>Sales_Rev%</v>
          </cell>
          <cell r="E19">
            <v>193278271.82688093</v>
          </cell>
          <cell r="F19">
            <v>0.56523643856358152</v>
          </cell>
          <cell r="G19">
            <v>0.3464910657007747</v>
          </cell>
          <cell r="H19">
            <v>4.0464816044274397E-2</v>
          </cell>
          <cell r="I19">
            <v>3.7006986924302106E-2</v>
          </cell>
          <cell r="J19">
            <v>1.0800692767067036E-2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C19" t="str">
            <v>SUPP%</v>
          </cell>
          <cell r="AD19">
            <v>1</v>
          </cell>
          <cell r="AE19">
            <v>1</v>
          </cell>
          <cell r="AF19">
            <v>0</v>
          </cell>
          <cell r="AG19">
            <v>0</v>
          </cell>
          <cell r="AH19">
            <v>0</v>
          </cell>
          <cell r="AI19">
            <v>0</v>
          </cell>
          <cell r="AJ19">
            <v>0</v>
          </cell>
          <cell r="AK19">
            <v>0</v>
          </cell>
          <cell r="AL19">
            <v>0</v>
          </cell>
          <cell r="AN19" t="str">
            <v>DEMAND%</v>
          </cell>
          <cell r="AO19">
            <v>1</v>
          </cell>
          <cell r="AP19">
            <v>1</v>
          </cell>
          <cell r="AQ19">
            <v>0</v>
          </cell>
          <cell r="AR19">
            <v>0</v>
          </cell>
        </row>
        <row r="21">
          <cell r="D21" t="str">
            <v>Transport_Rev</v>
          </cell>
          <cell r="E21" t="str">
            <v>EXT</v>
          </cell>
          <cell r="F21">
            <v>0</v>
          </cell>
          <cell r="G21">
            <v>0</v>
          </cell>
          <cell r="H21">
            <v>0</v>
          </cell>
          <cell r="I21">
            <v>0</v>
          </cell>
          <cell r="J21">
            <v>0</v>
          </cell>
          <cell r="K21">
            <v>16899197.012163844</v>
          </cell>
          <cell r="L21">
            <v>6104709.8136834996</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C21" t="str">
            <v>STOR</v>
          </cell>
          <cell r="AD21" t="str">
            <v>EXT</v>
          </cell>
          <cell r="AE21">
            <v>0</v>
          </cell>
          <cell r="AF21">
            <v>1</v>
          </cell>
          <cell r="AG21">
            <v>0</v>
          </cell>
          <cell r="AH21">
            <v>0</v>
          </cell>
          <cell r="AI21">
            <v>0</v>
          </cell>
          <cell r="AJ21">
            <v>0</v>
          </cell>
          <cell r="AK21">
            <v>0</v>
          </cell>
          <cell r="AL21">
            <v>0</v>
          </cell>
          <cell r="AN21" t="str">
            <v>CUST</v>
          </cell>
          <cell r="AO21" t="str">
            <v>EXT</v>
          </cell>
          <cell r="AP21">
            <v>0</v>
          </cell>
          <cell r="AQ21">
            <v>0</v>
          </cell>
          <cell r="AR21">
            <v>1</v>
          </cell>
        </row>
        <row r="22">
          <cell r="D22" t="str">
            <v>Transport_Rev%</v>
          </cell>
          <cell r="E22">
            <v>23003906.825847343</v>
          </cell>
          <cell r="F22">
            <v>0</v>
          </cell>
          <cell r="G22">
            <v>0</v>
          </cell>
          <cell r="H22">
            <v>0</v>
          </cell>
          <cell r="I22">
            <v>0</v>
          </cell>
          <cell r="J22">
            <v>0</v>
          </cell>
          <cell r="K22">
            <v>0.73462291166889071</v>
          </cell>
          <cell r="L22">
            <v>0.26537708833110935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C22" t="str">
            <v>STOR%</v>
          </cell>
          <cell r="AD22">
            <v>1</v>
          </cell>
          <cell r="AE22">
            <v>0</v>
          </cell>
          <cell r="AF22">
            <v>1</v>
          </cell>
          <cell r="AG22">
            <v>0</v>
          </cell>
          <cell r="AH22">
            <v>0</v>
          </cell>
          <cell r="AI22">
            <v>0</v>
          </cell>
          <cell r="AJ22">
            <v>0</v>
          </cell>
          <cell r="AK22">
            <v>0</v>
          </cell>
          <cell r="AL22">
            <v>0</v>
          </cell>
          <cell r="AN22" t="str">
            <v>CUST%</v>
          </cell>
          <cell r="AO22">
            <v>1</v>
          </cell>
          <cell r="AP22">
            <v>0</v>
          </cell>
          <cell r="AQ22">
            <v>0</v>
          </cell>
          <cell r="AR22">
            <v>1</v>
          </cell>
        </row>
        <row r="24">
          <cell r="D24" t="str">
            <v>GASDEMAND-DIRECT</v>
          </cell>
          <cell r="E24" t="str">
            <v>EXT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C24" t="str">
            <v>TRANS</v>
          </cell>
          <cell r="AD24" t="str">
            <v>EXT</v>
          </cell>
          <cell r="AE24">
            <v>0</v>
          </cell>
          <cell r="AF24">
            <v>0</v>
          </cell>
          <cell r="AG24">
            <v>1</v>
          </cell>
          <cell r="AH24">
            <v>0</v>
          </cell>
          <cell r="AI24">
            <v>0</v>
          </cell>
          <cell r="AJ24">
            <v>0</v>
          </cell>
          <cell r="AK24">
            <v>0</v>
          </cell>
          <cell r="AL24">
            <v>0</v>
          </cell>
          <cell r="AN24" t="str">
            <v>COMMODITY</v>
          </cell>
          <cell r="AO24" t="str">
            <v>EXT</v>
          </cell>
          <cell r="AP24">
            <v>0</v>
          </cell>
          <cell r="AQ24">
            <v>1</v>
          </cell>
          <cell r="AR24">
            <v>0</v>
          </cell>
        </row>
        <row r="25">
          <cell r="D25" t="str">
            <v>GASDEMAND-DIRECT%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C25" t="str">
            <v>TRANS%</v>
          </cell>
          <cell r="AD25">
            <v>1</v>
          </cell>
          <cell r="AE25">
            <v>0</v>
          </cell>
          <cell r="AF25">
            <v>0</v>
          </cell>
          <cell r="AG25">
            <v>1</v>
          </cell>
          <cell r="AH25">
            <v>0</v>
          </cell>
          <cell r="AI25">
            <v>0</v>
          </cell>
          <cell r="AJ25">
            <v>0</v>
          </cell>
          <cell r="AK25">
            <v>0</v>
          </cell>
          <cell r="AL25">
            <v>0</v>
          </cell>
          <cell r="AN25" t="str">
            <v>COMMODITY%</v>
          </cell>
          <cell r="AO25">
            <v>1</v>
          </cell>
          <cell r="AP25">
            <v>0</v>
          </cell>
          <cell r="AQ25">
            <v>1</v>
          </cell>
          <cell r="AR25">
            <v>0</v>
          </cell>
        </row>
        <row r="27">
          <cell r="D27" t="str">
            <v>GASCOMM-DIRECT</v>
          </cell>
          <cell r="E27" t="str">
            <v>EXT</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C27" t="str">
            <v>DIST</v>
          </cell>
          <cell r="AD27" t="str">
            <v>EXT</v>
          </cell>
          <cell r="AE27">
            <v>0</v>
          </cell>
          <cell r="AF27">
            <v>0</v>
          </cell>
          <cell r="AG27">
            <v>0</v>
          </cell>
          <cell r="AH27">
            <v>1</v>
          </cell>
          <cell r="AI27">
            <v>0</v>
          </cell>
          <cell r="AJ27">
            <v>0</v>
          </cell>
          <cell r="AK27">
            <v>0</v>
          </cell>
          <cell r="AL27">
            <v>0</v>
          </cell>
          <cell r="AN27" t="str">
            <v>ACCT-813</v>
          </cell>
          <cell r="AO27" t="str">
            <v>EXT</v>
          </cell>
          <cell r="AP27">
            <v>0.20823529807438873</v>
          </cell>
          <cell r="AQ27">
            <v>0.79176470192561132</v>
          </cell>
          <cell r="AR27">
            <v>0</v>
          </cell>
        </row>
        <row r="28">
          <cell r="D28" t="str">
            <v>GASCOMM-DIRECT%</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C28" t="str">
            <v>DIST%</v>
          </cell>
          <cell r="AD28">
            <v>1</v>
          </cell>
          <cell r="AE28">
            <v>0</v>
          </cell>
          <cell r="AF28">
            <v>0</v>
          </cell>
          <cell r="AG28">
            <v>0</v>
          </cell>
          <cell r="AH28">
            <v>1</v>
          </cell>
          <cell r="AI28">
            <v>0</v>
          </cell>
          <cell r="AJ28">
            <v>0</v>
          </cell>
          <cell r="AK28">
            <v>0</v>
          </cell>
          <cell r="AL28">
            <v>0</v>
          </cell>
          <cell r="AN28" t="str">
            <v>ACCT-813%</v>
          </cell>
          <cell r="AO28">
            <v>1</v>
          </cell>
          <cell r="AP28">
            <v>0.20823529807438873</v>
          </cell>
          <cell r="AQ28">
            <v>0.79176470192561132</v>
          </cell>
          <cell r="AR28">
            <v>0</v>
          </cell>
        </row>
        <row r="30">
          <cell r="D30" t="str">
            <v>DesignDay(Low Pressure)</v>
          </cell>
          <cell r="E30" t="str">
            <v>EXT</v>
          </cell>
          <cell r="F30">
            <v>1405191.9453319171</v>
          </cell>
          <cell r="G30">
            <v>915538.11314643966</v>
          </cell>
          <cell r="H30">
            <v>113558.11957853253</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C30" t="str">
            <v>BB&amp;H</v>
          </cell>
          <cell r="AD30" t="str">
            <v>EXT</v>
          </cell>
          <cell r="AE30">
            <v>0</v>
          </cell>
          <cell r="AF30">
            <v>0</v>
          </cell>
          <cell r="AG30">
            <v>0</v>
          </cell>
          <cell r="AH30">
            <v>0</v>
          </cell>
          <cell r="AI30">
            <v>1</v>
          </cell>
          <cell r="AJ30">
            <v>0</v>
          </cell>
          <cell r="AK30">
            <v>0</v>
          </cell>
          <cell r="AN30" t="str">
            <v>Peak_Avg</v>
          </cell>
          <cell r="AO30" t="str">
            <v>EXT</v>
          </cell>
          <cell r="AP30">
            <v>0.50081259974842618</v>
          </cell>
          <cell r="AQ30">
            <v>0.49918740025157382</v>
          </cell>
          <cell r="AR30">
            <v>0</v>
          </cell>
        </row>
        <row r="31">
          <cell r="D31" t="str">
            <v>DesignDay(Low Pressure)%</v>
          </cell>
          <cell r="E31">
            <v>2434288.1780568892</v>
          </cell>
          <cell r="F31">
            <v>0.57724962804263258</v>
          </cell>
          <cell r="G31">
            <v>0.37610095690365036</v>
          </cell>
          <cell r="H31">
            <v>4.6649415053717058E-2</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C31" t="str">
            <v>BB&amp;H%</v>
          </cell>
          <cell r="AD31">
            <v>1</v>
          </cell>
          <cell r="AE31">
            <v>0</v>
          </cell>
          <cell r="AF31">
            <v>0</v>
          </cell>
          <cell r="AG31">
            <v>0</v>
          </cell>
          <cell r="AH31">
            <v>0</v>
          </cell>
          <cell r="AI31">
            <v>1</v>
          </cell>
          <cell r="AJ31">
            <v>0</v>
          </cell>
          <cell r="AK31">
            <v>0</v>
          </cell>
          <cell r="AL31">
            <v>0</v>
          </cell>
          <cell r="AN31" t="str">
            <v>Peak_Avg%</v>
          </cell>
          <cell r="AO31">
            <v>1</v>
          </cell>
          <cell r="AP31">
            <v>0.50081259974842618</v>
          </cell>
          <cell r="AQ31">
            <v>0.49918740025157382</v>
          </cell>
          <cell r="AR31">
            <v>0</v>
          </cell>
        </row>
        <row r="33">
          <cell r="D33" t="str">
            <v>DesignDay</v>
          </cell>
          <cell r="E33" t="str">
            <v>EXT</v>
          </cell>
          <cell r="F33">
            <v>1405191.9453319171</v>
          </cell>
          <cell r="G33">
            <v>915538.11314643966</v>
          </cell>
          <cell r="H33">
            <v>113558.11957853253</v>
          </cell>
          <cell r="I33">
            <v>78708.639086339521</v>
          </cell>
          <cell r="J33">
            <v>20797.666666666668</v>
          </cell>
          <cell r="K33">
            <v>1493270</v>
          </cell>
          <cell r="L33">
            <v>1203970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C33" t="str">
            <v>Gathering</v>
          </cell>
          <cell r="AD33" t="str">
            <v>EXT</v>
          </cell>
          <cell r="AE33">
            <v>0</v>
          </cell>
          <cell r="AF33">
            <v>0</v>
          </cell>
          <cell r="AG33">
            <v>0</v>
          </cell>
          <cell r="AH33">
            <v>0</v>
          </cell>
          <cell r="AI33">
            <v>0</v>
          </cell>
          <cell r="AJ33">
            <v>1</v>
          </cell>
          <cell r="AK33">
            <v>0</v>
          </cell>
          <cell r="AL33">
            <v>0</v>
          </cell>
          <cell r="AN33" t="str">
            <v>SUPPLABOR</v>
          </cell>
          <cell r="AO33" t="str">
            <v>INT</v>
          </cell>
          <cell r="AP33">
            <v>0</v>
          </cell>
          <cell r="AQ33">
            <v>0</v>
          </cell>
          <cell r="AR33">
            <v>0</v>
          </cell>
        </row>
        <row r="34">
          <cell r="D34" t="str">
            <v>DesignDay%</v>
          </cell>
          <cell r="E34">
            <v>5231034.4838098958</v>
          </cell>
          <cell r="F34">
            <v>0.26862601454473306</v>
          </cell>
          <cell r="G34">
            <v>0.17502046984779765</v>
          </cell>
          <cell r="H34">
            <v>2.1708539664572285E-2</v>
          </cell>
          <cell r="I34">
            <v>1.5046476816381835E-2</v>
          </cell>
          <cell r="J34">
            <v>3.9758228952677822E-3</v>
          </cell>
          <cell r="K34">
            <v>0.28546361233551137</v>
          </cell>
          <cell r="L34">
            <v>0.23015906389573595</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C34" t="str">
            <v>Gathering%</v>
          </cell>
          <cell r="AD34">
            <v>1</v>
          </cell>
          <cell r="AE34">
            <v>0</v>
          </cell>
          <cell r="AF34">
            <v>0</v>
          </cell>
          <cell r="AG34">
            <v>0</v>
          </cell>
          <cell r="AH34">
            <v>0</v>
          </cell>
          <cell r="AI34">
            <v>0</v>
          </cell>
          <cell r="AJ34">
            <v>1</v>
          </cell>
          <cell r="AK34">
            <v>0</v>
          </cell>
          <cell r="AL34">
            <v>0</v>
          </cell>
          <cell r="AN34" t="str">
            <v>SUPPLABOR%</v>
          </cell>
          <cell r="AO34">
            <v>0</v>
          </cell>
          <cell r="AP34">
            <v>0</v>
          </cell>
          <cell r="AQ34">
            <v>0</v>
          </cell>
          <cell r="AR34">
            <v>0</v>
          </cell>
        </row>
        <row r="36">
          <cell r="D36" t="str">
            <v>DesignDayxSPL</v>
          </cell>
          <cell r="E36" t="str">
            <v>EXT</v>
          </cell>
          <cell r="F36">
            <v>1405191.9453319171</v>
          </cell>
          <cell r="G36">
            <v>915538.11314643966</v>
          </cell>
          <cell r="H36">
            <v>113558.11957853253</v>
          </cell>
          <cell r="I36">
            <v>78708.639086339521</v>
          </cell>
          <cell r="J36">
            <v>20797.666666666668</v>
          </cell>
          <cell r="K36">
            <v>1493270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C36" t="str">
            <v>STOR-TRANS</v>
          </cell>
          <cell r="AD36" t="str">
            <v>EXT</v>
          </cell>
          <cell r="AE36">
            <v>0</v>
          </cell>
          <cell r="AF36">
            <v>0</v>
          </cell>
          <cell r="AG36">
            <v>0</v>
          </cell>
          <cell r="AH36">
            <v>0</v>
          </cell>
          <cell r="AI36">
            <v>0</v>
          </cell>
          <cell r="AJ36">
            <v>0</v>
          </cell>
          <cell r="AK36">
            <v>0</v>
          </cell>
          <cell r="AL36">
            <v>0</v>
          </cell>
          <cell r="AN36" t="str">
            <v>STORLABOR</v>
          </cell>
          <cell r="AO36" t="str">
            <v>INT</v>
          </cell>
          <cell r="AP36">
            <v>0</v>
          </cell>
          <cell r="AQ36">
            <v>0</v>
          </cell>
          <cell r="AR36">
            <v>0</v>
          </cell>
        </row>
        <row r="37">
          <cell r="D37" t="str">
            <v>DesignDayxSPL%</v>
          </cell>
          <cell r="E37">
            <v>4027064.4838098953</v>
          </cell>
          <cell r="F37">
            <v>0.34893703614164717</v>
          </cell>
          <cell r="G37">
            <v>0.22734627588587161</v>
          </cell>
          <cell r="H37">
            <v>2.8198733850692725E-2</v>
          </cell>
          <cell r="I37">
            <v>1.9544916502522811E-2</v>
          </cell>
          <cell r="J37">
            <v>5.1644732162298441E-3</v>
          </cell>
          <cell r="K37">
            <v>0.37080856440303589</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C37" t="str">
            <v>STOR-TRANS%</v>
          </cell>
          <cell r="AD37">
            <v>0</v>
          </cell>
          <cell r="AE37">
            <v>0</v>
          </cell>
          <cell r="AF37">
            <v>0</v>
          </cell>
          <cell r="AG37">
            <v>0</v>
          </cell>
          <cell r="AH37">
            <v>0</v>
          </cell>
          <cell r="AI37">
            <v>0</v>
          </cell>
          <cell r="AJ37">
            <v>0</v>
          </cell>
          <cell r="AK37">
            <v>0</v>
          </cell>
          <cell r="AL37">
            <v>0</v>
          </cell>
          <cell r="AN37" t="str">
            <v>STORLABOR%</v>
          </cell>
          <cell r="AO37">
            <v>0</v>
          </cell>
          <cell r="AP37">
            <v>0</v>
          </cell>
          <cell r="AQ37">
            <v>0</v>
          </cell>
          <cell r="AR37">
            <v>0</v>
          </cell>
        </row>
        <row r="39">
          <cell r="D39" t="str">
            <v>Dday/Peak_ST&gt;6"</v>
          </cell>
          <cell r="E39" t="str">
            <v>EXT</v>
          </cell>
          <cell r="F39">
            <v>1405191.9453319171</v>
          </cell>
          <cell r="G39">
            <v>915538.11314643966</v>
          </cell>
          <cell r="H39">
            <v>113558.11957853253</v>
          </cell>
          <cell r="I39">
            <v>78708.639086339521</v>
          </cell>
          <cell r="J39">
            <v>20797.666666666668</v>
          </cell>
          <cell r="K39">
            <v>1493270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C39" t="str">
            <v>CWIP</v>
          </cell>
          <cell r="AD39" t="str">
            <v>EXT</v>
          </cell>
          <cell r="AE39">
            <v>0</v>
          </cell>
          <cell r="AF39">
            <v>0</v>
          </cell>
          <cell r="AG39">
            <v>0</v>
          </cell>
          <cell r="AH39">
            <v>0</v>
          </cell>
          <cell r="AI39">
            <v>0</v>
          </cell>
          <cell r="AJ39">
            <v>0</v>
          </cell>
          <cell r="AK39">
            <v>0</v>
          </cell>
          <cell r="AL39">
            <v>0</v>
          </cell>
          <cell r="AN39" t="str">
            <v>TRANLABOR</v>
          </cell>
          <cell r="AO39" t="str">
            <v>INT</v>
          </cell>
          <cell r="AP39">
            <v>0</v>
          </cell>
          <cell r="AQ39">
            <v>0</v>
          </cell>
          <cell r="AR39">
            <v>0</v>
          </cell>
        </row>
        <row r="40">
          <cell r="D40" t="str">
            <v>Dday/Peak_ST&gt;6"%</v>
          </cell>
          <cell r="E40">
            <v>4027064.4838098953</v>
          </cell>
          <cell r="F40">
            <v>0.34893703614164717</v>
          </cell>
          <cell r="G40">
            <v>0.22734627588587161</v>
          </cell>
          <cell r="H40">
            <v>2.8198733850692725E-2</v>
          </cell>
          <cell r="I40">
            <v>1.9544916502522811E-2</v>
          </cell>
          <cell r="J40">
            <v>5.1644732162298441E-3</v>
          </cell>
          <cell r="K40">
            <v>0.37080856440303589</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C40" t="str">
            <v>CWIP%</v>
          </cell>
          <cell r="AD40">
            <v>0</v>
          </cell>
          <cell r="AE40">
            <v>0</v>
          </cell>
          <cell r="AF40">
            <v>0</v>
          </cell>
          <cell r="AG40">
            <v>0</v>
          </cell>
          <cell r="AH40">
            <v>0</v>
          </cell>
          <cell r="AI40">
            <v>0</v>
          </cell>
          <cell r="AJ40">
            <v>0</v>
          </cell>
          <cell r="AK40">
            <v>0</v>
          </cell>
          <cell r="AL40">
            <v>0</v>
          </cell>
          <cell r="AN40" t="str">
            <v>TRANLABOR%</v>
          </cell>
          <cell r="AO40">
            <v>0</v>
          </cell>
          <cell r="AP40">
            <v>0</v>
          </cell>
          <cell r="AQ40">
            <v>0</v>
          </cell>
          <cell r="AR40">
            <v>0</v>
          </cell>
        </row>
        <row r="42">
          <cell r="D42" t="str">
            <v>Dday/Peak_ST&gt;4-6"</v>
          </cell>
          <cell r="E42" t="str">
            <v>EXT</v>
          </cell>
          <cell r="F42">
            <v>1405191.9453319171</v>
          </cell>
          <cell r="G42">
            <v>915538.11314643966</v>
          </cell>
          <cell r="H42">
            <v>113558.11957853253</v>
          </cell>
          <cell r="I42">
            <v>78708.639086339521</v>
          </cell>
          <cell r="J42">
            <v>20797.666666666668</v>
          </cell>
          <cell r="K42">
            <v>913025.66666666663</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C42" t="str">
            <v>LABOR-DELXBILLCC</v>
          </cell>
          <cell r="AD42" t="str">
            <v>INT</v>
          </cell>
          <cell r="AE42">
            <v>0</v>
          </cell>
          <cell r="AF42">
            <v>0</v>
          </cell>
          <cell r="AG42">
            <v>0</v>
          </cell>
          <cell r="AH42">
            <v>14722376.229999997</v>
          </cell>
          <cell r="AI42">
            <v>0</v>
          </cell>
          <cell r="AJ42">
            <v>0</v>
          </cell>
          <cell r="AK42">
            <v>0</v>
          </cell>
          <cell r="AL42">
            <v>0</v>
          </cell>
          <cell r="AN42" t="str">
            <v>DISTLABOR</v>
          </cell>
          <cell r="AO42" t="str">
            <v>INT</v>
          </cell>
          <cell r="AP42">
            <v>1707332.6490860668</v>
          </cell>
          <cell r="AQ42">
            <v>2200281.0225217952</v>
          </cell>
          <cell r="AR42">
            <v>10814762.558392137</v>
          </cell>
        </row>
        <row r="43">
          <cell r="D43" t="str">
            <v>Dday/Peak_ST&gt;4-6"%</v>
          </cell>
          <cell r="E43">
            <v>3446820.1504765619</v>
          </cell>
          <cell r="F43">
            <v>0.40767776790954219</v>
          </cell>
          <cell r="G43">
            <v>0.26561818521916675</v>
          </cell>
          <cell r="H43">
            <v>3.2945762941194313E-2</v>
          </cell>
          <cell r="I43">
            <v>2.2835145336915001E-2</v>
          </cell>
          <cell r="J43">
            <v>6.0338705701807951E-3</v>
          </cell>
          <cell r="K43">
            <v>0.264889268023001</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C43" t="str">
            <v>LABOR-DELXBILLCC%</v>
          </cell>
          <cell r="AD43">
            <v>14722376.229999997</v>
          </cell>
          <cell r="AE43">
            <v>0</v>
          </cell>
          <cell r="AF43">
            <v>0</v>
          </cell>
          <cell r="AG43">
            <v>0</v>
          </cell>
          <cell r="AH43">
            <v>1</v>
          </cell>
          <cell r="AI43">
            <v>0</v>
          </cell>
          <cell r="AJ43">
            <v>0</v>
          </cell>
          <cell r="AK43">
            <v>0</v>
          </cell>
          <cell r="AL43">
            <v>0</v>
          </cell>
          <cell r="AN43" t="str">
            <v>DISTLABOR%</v>
          </cell>
          <cell r="AO43">
            <v>14722376.23</v>
          </cell>
          <cell r="AP43">
            <v>0.11596855170750291</v>
          </cell>
          <cell r="AQ43">
            <v>0.14945148718847781</v>
          </cell>
          <cell r="AR43">
            <v>0.73457996110401924</v>
          </cell>
        </row>
        <row r="45">
          <cell r="D45" t="str">
            <v>Dday/Peak_ST&gt;4"x663</v>
          </cell>
          <cell r="E45" t="str">
            <v>EXT</v>
          </cell>
          <cell r="F45">
            <v>1405191.9453319171</v>
          </cell>
          <cell r="G45">
            <v>915538.11314643966</v>
          </cell>
          <cell r="H45">
            <v>113558.11957853253</v>
          </cell>
          <cell r="I45">
            <v>78708.639086339521</v>
          </cell>
          <cell r="J45">
            <v>20797.666666666668</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C45" t="str">
            <v>LABOR-DELIVERY</v>
          </cell>
          <cell r="AD45" t="str">
            <v>INT</v>
          </cell>
          <cell r="AE45">
            <v>0</v>
          </cell>
          <cell r="AF45">
            <v>0</v>
          </cell>
          <cell r="AG45">
            <v>0</v>
          </cell>
          <cell r="AH45">
            <v>14722376.229999997</v>
          </cell>
          <cell r="AI45">
            <v>0</v>
          </cell>
          <cell r="AJ45">
            <v>0</v>
          </cell>
          <cell r="AK45">
            <v>0</v>
          </cell>
          <cell r="AL45">
            <v>0</v>
          </cell>
          <cell r="AN45" t="str">
            <v>BBA_PPLABOR</v>
          </cell>
          <cell r="AO45" t="str">
            <v>INT</v>
          </cell>
          <cell r="AP45">
            <v>0</v>
          </cell>
          <cell r="AQ45">
            <v>0</v>
          </cell>
          <cell r="AR45">
            <v>0</v>
          </cell>
        </row>
        <row r="46">
          <cell r="D46" t="str">
            <v>Dday/Peak_ST&gt;4"x663%</v>
          </cell>
          <cell r="E46">
            <v>2533794.4838098953</v>
          </cell>
          <cell r="F46">
            <v>0.55458007913057927</v>
          </cell>
          <cell r="G46">
            <v>0.36133084944198274</v>
          </cell>
          <cell r="H46">
            <v>4.4817415265575471E-2</v>
          </cell>
          <cell r="I46">
            <v>3.1063545046475381E-2</v>
          </cell>
          <cell r="J46">
            <v>8.208111115387157E-3</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C46" t="str">
            <v>LABOR-DELIVERY%</v>
          </cell>
          <cell r="AD46">
            <v>14722376.229999997</v>
          </cell>
          <cell r="AE46">
            <v>0</v>
          </cell>
          <cell r="AF46">
            <v>0</v>
          </cell>
          <cell r="AG46">
            <v>0</v>
          </cell>
          <cell r="AH46">
            <v>1</v>
          </cell>
          <cell r="AI46">
            <v>0</v>
          </cell>
          <cell r="AJ46">
            <v>0</v>
          </cell>
          <cell r="AK46">
            <v>0</v>
          </cell>
          <cell r="AL46">
            <v>0</v>
          </cell>
          <cell r="AN46" t="str">
            <v>BBA_PPLABOR%</v>
          </cell>
          <cell r="AO46">
            <v>0</v>
          </cell>
          <cell r="AP46">
            <v>0</v>
          </cell>
          <cell r="AQ46">
            <v>0</v>
          </cell>
          <cell r="AR46">
            <v>0</v>
          </cell>
        </row>
        <row r="48">
          <cell r="D48" t="str">
            <v>Dday/Peak_ST2-4"</v>
          </cell>
          <cell r="E48" t="str">
            <v>EXT</v>
          </cell>
          <cell r="F48">
            <v>1405191.9453319171</v>
          </cell>
          <cell r="G48">
            <v>915538.11314643966</v>
          </cell>
          <cell r="H48">
            <v>113558.11957853253</v>
          </cell>
          <cell r="I48">
            <v>78708.639086339521</v>
          </cell>
          <cell r="J48">
            <v>10961</v>
          </cell>
          <cell r="K48">
            <v>813566</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C48" t="str">
            <v>LABOR</v>
          </cell>
          <cell r="AD48" t="str">
            <v>INT</v>
          </cell>
          <cell r="AE48">
            <v>0</v>
          </cell>
          <cell r="AF48">
            <v>0</v>
          </cell>
          <cell r="AG48">
            <v>0</v>
          </cell>
          <cell r="AH48">
            <v>14722376.229999997</v>
          </cell>
          <cell r="AI48">
            <v>0</v>
          </cell>
          <cell r="AJ48">
            <v>0</v>
          </cell>
          <cell r="AK48">
            <v>0</v>
          </cell>
          <cell r="AL48">
            <v>0</v>
          </cell>
          <cell r="AN48" t="str">
            <v>C_COLLPLABOR</v>
          </cell>
          <cell r="AO48" t="str">
            <v>INT</v>
          </cell>
          <cell r="AP48">
            <v>0</v>
          </cell>
          <cell r="AQ48">
            <v>0</v>
          </cell>
          <cell r="AR48">
            <v>0</v>
          </cell>
        </row>
        <row r="49">
          <cell r="D49" t="str">
            <v>Dday/Peak_ST2-4"%</v>
          </cell>
          <cell r="E49">
            <v>3337523.8171432288</v>
          </cell>
          <cell r="F49">
            <v>0.42102828992983743</v>
          </cell>
          <cell r="G49">
            <v>0.27431657819002453</v>
          </cell>
          <cell r="H49">
            <v>3.4024661935066938E-2</v>
          </cell>
          <cell r="I49">
            <v>2.3582944541714342E-2</v>
          </cell>
          <cell r="J49">
            <v>3.2841713199764145E-3</v>
          </cell>
          <cell r="K49">
            <v>0.24376335408338032</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C49" t="str">
            <v>LABOR%</v>
          </cell>
          <cell r="AD49">
            <v>14722376.229999997</v>
          </cell>
          <cell r="AE49">
            <v>0</v>
          </cell>
          <cell r="AF49">
            <v>0</v>
          </cell>
          <cell r="AG49">
            <v>0</v>
          </cell>
          <cell r="AH49">
            <v>1</v>
          </cell>
          <cell r="AI49">
            <v>0</v>
          </cell>
          <cell r="AJ49">
            <v>0</v>
          </cell>
          <cell r="AK49">
            <v>0</v>
          </cell>
          <cell r="AL49">
            <v>0</v>
          </cell>
          <cell r="AN49" t="str">
            <v>C_COLLPLABOR%</v>
          </cell>
          <cell r="AO49">
            <v>0</v>
          </cell>
          <cell r="AP49">
            <v>0</v>
          </cell>
          <cell r="AQ49">
            <v>0</v>
          </cell>
          <cell r="AR49">
            <v>0</v>
          </cell>
        </row>
        <row r="51">
          <cell r="D51" t="str">
            <v>Dday/Peak_ST&lt;=2"</v>
          </cell>
          <cell r="E51" t="str">
            <v>EXT</v>
          </cell>
          <cell r="F51">
            <v>1405191.9453319171</v>
          </cell>
          <cell r="G51">
            <v>915538.11314643966</v>
          </cell>
          <cell r="H51">
            <v>113558.11957853253</v>
          </cell>
          <cell r="I51">
            <v>78708.639086339521</v>
          </cell>
          <cell r="J51">
            <v>4722.666666666667</v>
          </cell>
          <cell r="K51">
            <v>325396</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C51" t="str">
            <v>REVENUE</v>
          </cell>
          <cell r="AD51" t="str">
            <v>INT</v>
          </cell>
          <cell r="AE51">
            <v>112888065.77502857</v>
          </cell>
          <cell r="AF51">
            <v>0</v>
          </cell>
          <cell r="AG51">
            <v>1457236.523448522</v>
          </cell>
          <cell r="AH51">
            <v>102846606.30425115</v>
          </cell>
          <cell r="AI51">
            <v>0</v>
          </cell>
          <cell r="AJ51">
            <v>0</v>
          </cell>
          <cell r="AK51">
            <v>0</v>
          </cell>
          <cell r="AL51">
            <v>0</v>
          </cell>
          <cell r="AN51" t="str">
            <v>MAIN&amp;SERVICE</v>
          </cell>
          <cell r="AO51" t="str">
            <v>INT</v>
          </cell>
          <cell r="AP51">
            <v>47011501.905487344</v>
          </cell>
          <cell r="AQ51">
            <v>46858943.704512671</v>
          </cell>
          <cell r="AR51">
            <v>163002131.05500001</v>
          </cell>
        </row>
        <row r="52">
          <cell r="D52" t="str">
            <v>Dday/Peak_ST&lt;=2"%</v>
          </cell>
          <cell r="E52">
            <v>2843115.4838098953</v>
          </cell>
          <cell r="F52">
            <v>0.49424371023047586</v>
          </cell>
          <cell r="G52">
            <v>0.32201931942615986</v>
          </cell>
          <cell r="H52">
            <v>3.9941437562135119E-2</v>
          </cell>
          <cell r="I52">
            <v>2.7683940217886123E-2</v>
          </cell>
          <cell r="J52">
            <v>1.6610885817195484E-3</v>
          </cell>
          <cell r="K52">
            <v>0.11445050398162356</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C52" t="str">
            <v>REVENUE%</v>
          </cell>
          <cell r="AD52">
            <v>217191908.60272825</v>
          </cell>
          <cell r="AE52">
            <v>0.51976183874103365</v>
          </cell>
          <cell r="AF52">
            <v>0</v>
          </cell>
          <cell r="AG52">
            <v>6.7094420451638175E-3</v>
          </cell>
          <cell r="AH52">
            <v>0.47352871921380246</v>
          </cell>
          <cell r="AI52">
            <v>0</v>
          </cell>
          <cell r="AJ52">
            <v>0</v>
          </cell>
          <cell r="AK52">
            <v>0</v>
          </cell>
          <cell r="AL52">
            <v>0</v>
          </cell>
          <cell r="AN52" t="str">
            <v>MAIN&amp;SERVICE%</v>
          </cell>
          <cell r="AO52">
            <v>256872576.66500002</v>
          </cell>
          <cell r="AP52">
            <v>0.18301487264947447</v>
          </cell>
          <cell r="AQ52">
            <v>0.18242096650754466</v>
          </cell>
          <cell r="AR52">
            <v>0.63456416084298084</v>
          </cell>
        </row>
        <row r="54">
          <cell r="D54" t="str">
            <v>Dday/Peak_PL6"</v>
          </cell>
          <cell r="E54" t="str">
            <v>EXT</v>
          </cell>
          <cell r="F54">
            <v>1405191.9453319171</v>
          </cell>
          <cell r="G54">
            <v>915538.11314643966</v>
          </cell>
          <cell r="H54">
            <v>113558.11957853253</v>
          </cell>
          <cell r="I54">
            <v>78708.639086339521</v>
          </cell>
          <cell r="J54">
            <v>1094</v>
          </cell>
          <cell r="K54">
            <v>220809</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C54" t="str">
            <v>PSTDGP</v>
          </cell>
          <cell r="AD54" t="str">
            <v>INT</v>
          </cell>
          <cell r="AE54">
            <v>0</v>
          </cell>
          <cell r="AF54">
            <v>0</v>
          </cell>
          <cell r="AG54">
            <v>22122688.880637836</v>
          </cell>
          <cell r="AH54">
            <v>676287473.88059092</v>
          </cell>
          <cell r="AI54">
            <v>0</v>
          </cell>
          <cell r="AJ54">
            <v>0</v>
          </cell>
          <cell r="AK54">
            <v>0</v>
          </cell>
          <cell r="AL54">
            <v>0</v>
          </cell>
          <cell r="AN54" t="str">
            <v>SUPPL/P</v>
          </cell>
          <cell r="AO54" t="str">
            <v>INT</v>
          </cell>
          <cell r="AP54">
            <v>0</v>
          </cell>
          <cell r="AQ54">
            <v>0</v>
          </cell>
          <cell r="AR54">
            <v>0</v>
          </cell>
        </row>
        <row r="55">
          <cell r="D55" t="str">
            <v>Dday/Peak_PL6"%</v>
          </cell>
          <cell r="E55">
            <v>2734899.8171432288</v>
          </cell>
          <cell r="F55">
            <v>0.51380015330862339</v>
          </cell>
          <cell r="G55">
            <v>0.33476111534600034</v>
          </cell>
          <cell r="H55">
            <v>4.1521857168849048E-2</v>
          </cell>
          <cell r="I55">
            <v>2.8779350012372862E-2</v>
          </cell>
          <cell r="J55">
            <v>4.0001465250846021E-4</v>
          </cell>
          <cell r="K55">
            <v>8.0737509511645877E-2</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C55" t="str">
            <v>PSTDGP%</v>
          </cell>
          <cell r="AD55">
            <v>698410162.7612288</v>
          </cell>
          <cell r="AE55">
            <v>0</v>
          </cell>
          <cell r="AF55">
            <v>0</v>
          </cell>
          <cell r="AG55">
            <v>3.1675783171845252E-2</v>
          </cell>
          <cell r="AH55">
            <v>0.96832421682815473</v>
          </cell>
          <cell r="AI55">
            <v>0</v>
          </cell>
          <cell r="AJ55">
            <v>0</v>
          </cell>
          <cell r="AK55">
            <v>0</v>
          </cell>
          <cell r="AL55">
            <v>0</v>
          </cell>
          <cell r="AN55" t="str">
            <v>SUPPL/P%</v>
          </cell>
          <cell r="AO55">
            <v>0</v>
          </cell>
          <cell r="AP55">
            <v>0</v>
          </cell>
          <cell r="AQ55">
            <v>0</v>
          </cell>
          <cell r="AR55">
            <v>0</v>
          </cell>
        </row>
        <row r="57">
          <cell r="D57" t="str">
            <v>Dday/Peak_PL4"</v>
          </cell>
          <cell r="E57" t="str">
            <v>EXT</v>
          </cell>
          <cell r="F57">
            <v>1405191.9453319171</v>
          </cell>
          <cell r="G57">
            <v>915538.11314643966</v>
          </cell>
          <cell r="H57">
            <v>113558.11957853253</v>
          </cell>
          <cell r="I57">
            <v>78708.639086339521</v>
          </cell>
          <cell r="J57">
            <v>1094</v>
          </cell>
          <cell r="K57">
            <v>206907.33333333334</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C57" t="str">
            <v>PRETAX</v>
          </cell>
          <cell r="AD57" t="str">
            <v>INT</v>
          </cell>
          <cell r="AE57">
            <v>-103507325.68100233</v>
          </cell>
          <cell r="AF57">
            <v>0</v>
          </cell>
          <cell r="AG57">
            <v>562885.59990626213</v>
          </cell>
          <cell r="AH57">
            <v>19977199.780415997</v>
          </cell>
          <cell r="AI57">
            <v>0</v>
          </cell>
          <cell r="AJ57">
            <v>0</v>
          </cell>
          <cell r="AK57">
            <v>0</v>
          </cell>
          <cell r="AL57">
            <v>0</v>
          </cell>
          <cell r="AN57" t="str">
            <v>STORL/P</v>
          </cell>
          <cell r="AO57" t="str">
            <v>INT</v>
          </cell>
          <cell r="AP57">
            <v>0</v>
          </cell>
          <cell r="AQ57">
            <v>0</v>
          </cell>
          <cell r="AR57">
            <v>0</v>
          </cell>
        </row>
        <row r="58">
          <cell r="D58" t="str">
            <v>Dday/Peak_PL4"%</v>
          </cell>
          <cell r="E58">
            <v>2720998.1504765623</v>
          </cell>
          <cell r="F58">
            <v>0.5164251747417794</v>
          </cell>
          <cell r="G58">
            <v>0.33647142060206475</v>
          </cell>
          <cell r="H58">
            <v>4.1733993666494655E-2</v>
          </cell>
          <cell r="I58">
            <v>2.8926384632990028E-2</v>
          </cell>
          <cell r="J58">
            <v>4.0205834017505458E-4</v>
          </cell>
          <cell r="K58">
            <v>7.604096801649611E-2</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C58" t="str">
            <v>PRETAX%</v>
          </cell>
          <cell r="AD58">
            <v>-82967240.300680071</v>
          </cell>
          <cell r="AE58">
            <v>1.2475686223367599</v>
          </cell>
          <cell r="AF58">
            <v>0</v>
          </cell>
          <cell r="AG58">
            <v>-6.7844319982961789E-3</v>
          </cell>
          <cell r="AH58">
            <v>-0.24078419033846357</v>
          </cell>
          <cell r="AI58">
            <v>0</v>
          </cell>
          <cell r="AJ58">
            <v>0</v>
          </cell>
          <cell r="AK58">
            <v>0</v>
          </cell>
          <cell r="AL58">
            <v>0</v>
          </cell>
          <cell r="AN58" t="str">
            <v>STORL/P%</v>
          </cell>
          <cell r="AO58">
            <v>0</v>
          </cell>
          <cell r="AP58">
            <v>0</v>
          </cell>
          <cell r="AQ58">
            <v>0</v>
          </cell>
          <cell r="AR58">
            <v>0</v>
          </cell>
        </row>
        <row r="60">
          <cell r="D60" t="str">
            <v>Dday/Peak_PL&lt;=2"</v>
          </cell>
          <cell r="E60" t="str">
            <v>EXT</v>
          </cell>
          <cell r="F60">
            <v>1405191.9453319171</v>
          </cell>
          <cell r="G60">
            <v>915538.11314643966</v>
          </cell>
          <cell r="H60">
            <v>113558.11957853253</v>
          </cell>
          <cell r="I60">
            <v>78708.639086339521</v>
          </cell>
          <cell r="J60">
            <v>1094</v>
          </cell>
          <cell r="K60">
            <v>163673</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C60" t="str">
            <v>PSTDP</v>
          </cell>
          <cell r="AD60" t="str">
            <v>INT</v>
          </cell>
          <cell r="AE60">
            <v>0</v>
          </cell>
          <cell r="AF60">
            <v>0</v>
          </cell>
          <cell r="AG60">
            <v>17427054.769166667</v>
          </cell>
          <cell r="AH60">
            <v>607131300.09913862</v>
          </cell>
          <cell r="AI60">
            <v>0</v>
          </cell>
          <cell r="AJ60">
            <v>0</v>
          </cell>
          <cell r="AK60">
            <v>0</v>
          </cell>
          <cell r="AL60">
            <v>0</v>
          </cell>
          <cell r="AN60" t="str">
            <v>TRANL/P</v>
          </cell>
          <cell r="AO60" t="str">
            <v>INT</v>
          </cell>
          <cell r="AP60">
            <v>1105.1823260042438</v>
          </cell>
          <cell r="AQ60">
            <v>1503.1257070505999</v>
          </cell>
          <cell r="AR60">
            <v>0</v>
          </cell>
        </row>
        <row r="61">
          <cell r="D61" t="str">
            <v>Dday/Peak_PL&lt;=2"%</v>
          </cell>
          <cell r="E61">
            <v>2677763.8171432288</v>
          </cell>
          <cell r="F61">
            <v>0.52476321337071674</v>
          </cell>
          <cell r="G61">
            <v>0.34190398245173881</v>
          </cell>
          <cell r="H61">
            <v>4.2407817616895709E-2</v>
          </cell>
          <cell r="I61">
            <v>2.9393420951631874E-2</v>
          </cell>
          <cell r="J61">
            <v>4.0854984782307403E-4</v>
          </cell>
          <cell r="K61">
            <v>6.1123015761193784E-2</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C61" t="str">
            <v>PSTDP%</v>
          </cell>
          <cell r="AD61">
            <v>624558354.86830533</v>
          </cell>
          <cell r="AE61">
            <v>0</v>
          </cell>
          <cell r="AF61">
            <v>0</v>
          </cell>
          <cell r="AG61">
            <v>2.7903004792628777E-2</v>
          </cell>
          <cell r="AH61">
            <v>0.97209699520737114</v>
          </cell>
          <cell r="AI61">
            <v>0</v>
          </cell>
          <cell r="AJ61">
            <v>0</v>
          </cell>
          <cell r="AK61">
            <v>0</v>
          </cell>
          <cell r="AL61">
            <v>0</v>
          </cell>
          <cell r="AN61" t="str">
            <v>TRANL/P%</v>
          </cell>
          <cell r="AO61">
            <v>2608.3080330548437</v>
          </cell>
          <cell r="AP61">
            <v>0.42371618382429205</v>
          </cell>
          <cell r="AQ61">
            <v>0.5762838161757079</v>
          </cell>
          <cell r="AR61">
            <v>0</v>
          </cell>
        </row>
        <row r="63">
          <cell r="D63" t="str">
            <v>Dday-Non-Ind</v>
          </cell>
          <cell r="E63" t="str">
            <v>EXT</v>
          </cell>
          <cell r="F63">
            <v>1405191.9453319171</v>
          </cell>
          <cell r="G63">
            <v>915538.11314643966</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C63" t="str">
            <v>TPISXL</v>
          </cell>
          <cell r="AD63" t="str">
            <v>INT</v>
          </cell>
          <cell r="AE63">
            <v>0</v>
          </cell>
          <cell r="AF63">
            <v>0</v>
          </cell>
          <cell r="AG63">
            <v>19583606.425541334</v>
          </cell>
          <cell r="AH63">
            <v>628325517.14145172</v>
          </cell>
          <cell r="AI63">
            <v>0</v>
          </cell>
          <cell r="AJ63">
            <v>0</v>
          </cell>
          <cell r="AK63">
            <v>0</v>
          </cell>
          <cell r="AL63">
            <v>0</v>
          </cell>
          <cell r="AN63" t="str">
            <v>DISTL/P</v>
          </cell>
          <cell r="AO63" t="str">
            <v>INT</v>
          </cell>
          <cell r="AP63">
            <v>1781644.2634545038</v>
          </cell>
          <cell r="AQ63">
            <v>2288321.614848244</v>
          </cell>
          <cell r="AR63">
            <v>11155873.649807213</v>
          </cell>
        </row>
        <row r="64">
          <cell r="D64" t="str">
            <v>Dday-Non-Ind%</v>
          </cell>
          <cell r="E64">
            <v>2320730.0584783568</v>
          </cell>
          <cell r="F64">
            <v>0.60549564573368153</v>
          </cell>
          <cell r="G64">
            <v>0.39450435426631847</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C64" t="str">
            <v>TPISXL%</v>
          </cell>
          <cell r="AD64">
            <v>647909123.566993</v>
          </cell>
          <cell r="AE64">
            <v>0</v>
          </cell>
          <cell r="AF64">
            <v>0</v>
          </cell>
          <cell r="AG64">
            <v>3.0225853770550298E-2</v>
          </cell>
          <cell r="AH64">
            <v>0.9697741462294498</v>
          </cell>
          <cell r="AI64">
            <v>0</v>
          </cell>
          <cell r="AJ64">
            <v>0</v>
          </cell>
          <cell r="AK64">
            <v>0</v>
          </cell>
          <cell r="AL64">
            <v>0</v>
          </cell>
          <cell r="AN64" t="str">
            <v>DISTL/P%</v>
          </cell>
          <cell r="AO64">
            <v>15225839.52810996</v>
          </cell>
          <cell r="AP64">
            <v>0.11701451733845154</v>
          </cell>
          <cell r="AQ64">
            <v>0.15029198295591795</v>
          </cell>
          <cell r="AR64">
            <v>0.73269349970563058</v>
          </cell>
        </row>
        <row r="66">
          <cell r="D66" t="str">
            <v>Dday-Ind</v>
          </cell>
          <cell r="E66" t="str">
            <v>EXT</v>
          </cell>
          <cell r="F66">
            <v>0</v>
          </cell>
          <cell r="G66">
            <v>0</v>
          </cell>
          <cell r="H66">
            <v>113558.11957853253</v>
          </cell>
          <cell r="I66">
            <v>78708.639086339521</v>
          </cell>
          <cell r="J66">
            <v>20797.666666666668</v>
          </cell>
          <cell r="K66">
            <v>1493270</v>
          </cell>
          <cell r="L66">
            <v>1203970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C66" t="str">
            <v>DISTXOTHER</v>
          </cell>
          <cell r="AD66" t="str">
            <v>INT</v>
          </cell>
          <cell r="AE66">
            <v>0</v>
          </cell>
          <cell r="AF66">
            <v>0</v>
          </cell>
          <cell r="AG66">
            <v>0</v>
          </cell>
          <cell r="AH66">
            <v>14873761.677292876</v>
          </cell>
          <cell r="AI66">
            <v>0</v>
          </cell>
          <cell r="AJ66">
            <v>0</v>
          </cell>
          <cell r="AK66">
            <v>0</v>
          </cell>
          <cell r="AL66">
            <v>0</v>
          </cell>
          <cell r="AN66" t="str">
            <v>Comm_PassL/P</v>
          </cell>
          <cell r="AO66" t="str">
            <v>INT</v>
          </cell>
          <cell r="AP66">
            <v>0</v>
          </cell>
          <cell r="AQ66">
            <v>0</v>
          </cell>
          <cell r="AR66">
            <v>0</v>
          </cell>
        </row>
        <row r="67">
          <cell r="D67" t="str">
            <v>Dday-Ind%</v>
          </cell>
          <cell r="E67">
            <v>2910304.4253315385</v>
          </cell>
          <cell r="F67">
            <v>0</v>
          </cell>
          <cell r="G67">
            <v>0</v>
          </cell>
          <cell r="H67">
            <v>3.9019326840901231E-2</v>
          </cell>
          <cell r="I67">
            <v>2.7044813044729204E-2</v>
          </cell>
          <cell r="J67">
            <v>7.1462168993875691E-3</v>
          </cell>
          <cell r="K67">
            <v>0.51309752581291845</v>
          </cell>
          <cell r="L67">
            <v>0.41369211740206357</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C67" t="str">
            <v>DISTXOTHER%</v>
          </cell>
          <cell r="AD67">
            <v>14873761.677292876</v>
          </cell>
          <cell r="AE67">
            <v>0</v>
          </cell>
          <cell r="AF67">
            <v>0</v>
          </cell>
          <cell r="AG67">
            <v>0</v>
          </cell>
          <cell r="AH67">
            <v>1</v>
          </cell>
          <cell r="AI67">
            <v>0</v>
          </cell>
          <cell r="AJ67">
            <v>0</v>
          </cell>
          <cell r="AK67">
            <v>0</v>
          </cell>
          <cell r="AL67">
            <v>0</v>
          </cell>
          <cell r="AN67" t="str">
            <v>Comm_PassL/P%</v>
          </cell>
          <cell r="AO67">
            <v>0</v>
          </cell>
          <cell r="AP67">
            <v>0</v>
          </cell>
          <cell r="AQ67">
            <v>0</v>
          </cell>
          <cell r="AR67">
            <v>0</v>
          </cell>
        </row>
        <row r="69">
          <cell r="D69" t="str">
            <v xml:space="preserve">Sale for Resale-Gas </v>
          </cell>
          <cell r="E69" t="str">
            <v>EXT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C69" t="str">
            <v>MAIN-SERVICE</v>
          </cell>
          <cell r="AD69" t="str">
            <v>INT</v>
          </cell>
          <cell r="AE69">
            <v>0</v>
          </cell>
          <cell r="AF69">
            <v>0</v>
          </cell>
          <cell r="AG69">
            <v>0</v>
          </cell>
          <cell r="AH69">
            <v>256872576.66500002</v>
          </cell>
          <cell r="AI69">
            <v>0</v>
          </cell>
          <cell r="AJ69">
            <v>0</v>
          </cell>
          <cell r="AK69">
            <v>0</v>
          </cell>
          <cell r="AL69">
            <v>0</v>
          </cell>
          <cell r="AN69" t="str">
            <v>TRANPXL</v>
          </cell>
          <cell r="AO69" t="str">
            <v>INT</v>
          </cell>
          <cell r="AP69">
            <v>8111788.4083362818</v>
          </cell>
          <cell r="AQ69">
            <v>8085464.6408303855</v>
          </cell>
          <cell r="AR69">
            <v>0</v>
          </cell>
        </row>
        <row r="70">
          <cell r="D70" t="str">
            <v>Sale for Resale-Gas %</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C70" t="str">
            <v>MAIN-SERVICE%</v>
          </cell>
          <cell r="AD70">
            <v>256872576.66500002</v>
          </cell>
          <cell r="AE70">
            <v>0</v>
          </cell>
          <cell r="AF70">
            <v>0</v>
          </cell>
          <cell r="AG70">
            <v>0</v>
          </cell>
          <cell r="AH70">
            <v>1</v>
          </cell>
          <cell r="AI70">
            <v>0</v>
          </cell>
          <cell r="AJ70">
            <v>0</v>
          </cell>
          <cell r="AK70">
            <v>0</v>
          </cell>
          <cell r="AL70">
            <v>0</v>
          </cell>
          <cell r="AN70" t="str">
            <v>TRANPXL%</v>
          </cell>
          <cell r="AO70">
            <v>16197253.049166668</v>
          </cell>
          <cell r="AP70">
            <v>0.50081259974842618</v>
          </cell>
          <cell r="AQ70">
            <v>0.49918740025157377</v>
          </cell>
          <cell r="AR70">
            <v>0</v>
          </cell>
        </row>
        <row r="72">
          <cell r="D72" t="str">
            <v>GSR</v>
          </cell>
          <cell r="E72" t="str">
            <v>EXT</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C72" t="str">
            <v>DIST-MAINS</v>
          </cell>
          <cell r="AD72" t="str">
            <v>INT</v>
          </cell>
          <cell r="AE72">
            <v>0</v>
          </cell>
          <cell r="AF72">
            <v>0</v>
          </cell>
          <cell r="AG72">
            <v>0</v>
          </cell>
          <cell r="AH72">
            <v>93870445.610000014</v>
          </cell>
          <cell r="AI72">
            <v>0</v>
          </cell>
          <cell r="AJ72">
            <v>0</v>
          </cell>
          <cell r="AK72">
            <v>0</v>
          </cell>
          <cell r="AL72">
            <v>0</v>
          </cell>
          <cell r="AN72" t="str">
            <v>DISTPXL</v>
          </cell>
          <cell r="AO72" t="str">
            <v>INT</v>
          </cell>
          <cell r="AP72">
            <v>180799981.82213497</v>
          </cell>
          <cell r="AQ72">
            <v>180213263.27784142</v>
          </cell>
          <cell r="AR72">
            <v>243875888.94068959</v>
          </cell>
        </row>
        <row r="73">
          <cell r="D73" t="str">
            <v>GSR%</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C73" t="str">
            <v>DIST-MAINS%</v>
          </cell>
          <cell r="AD73">
            <v>93870445.610000014</v>
          </cell>
          <cell r="AE73">
            <v>0</v>
          </cell>
          <cell r="AF73">
            <v>0</v>
          </cell>
          <cell r="AG73">
            <v>0</v>
          </cell>
          <cell r="AH73">
            <v>1</v>
          </cell>
          <cell r="AI73">
            <v>0</v>
          </cell>
          <cell r="AJ73">
            <v>0</v>
          </cell>
          <cell r="AK73">
            <v>0</v>
          </cell>
          <cell r="AL73">
            <v>0</v>
          </cell>
          <cell r="AN73" t="str">
            <v>DISTPXL%</v>
          </cell>
          <cell r="AO73">
            <v>604889134.04066598</v>
          </cell>
          <cell r="AP73">
            <v>0.29889771802377924</v>
          </cell>
          <cell r="AQ73">
            <v>0.29792775756114986</v>
          </cell>
          <cell r="AR73">
            <v>0.4031745244150709</v>
          </cell>
        </row>
        <row r="75">
          <cell r="D75" t="str">
            <v>Sales</v>
          </cell>
          <cell r="E75" t="str">
            <v>EXT</v>
          </cell>
          <cell r="F75">
            <v>106836539</v>
          </cell>
          <cell r="G75">
            <v>75664947</v>
          </cell>
          <cell r="H75">
            <v>10823803</v>
          </cell>
          <cell r="I75">
            <v>10315598</v>
          </cell>
          <cell r="J75">
            <v>3848935</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C75" t="str">
            <v>PSTD/LP</v>
          </cell>
          <cell r="AD75" t="str">
            <v>INT</v>
          </cell>
          <cell r="AE75">
            <v>0</v>
          </cell>
          <cell r="AF75">
            <v>0</v>
          </cell>
          <cell r="AG75">
            <v>2608.3080330548437</v>
          </cell>
          <cell r="AH75">
            <v>15225839.528109962</v>
          </cell>
          <cell r="AI75">
            <v>0</v>
          </cell>
          <cell r="AJ75">
            <v>0</v>
          </cell>
          <cell r="AK75">
            <v>0</v>
          </cell>
          <cell r="AL75">
            <v>0</v>
          </cell>
          <cell r="AN75" t="str">
            <v>DISTPT_xMSM</v>
          </cell>
          <cell r="AO75" t="str">
            <v>INT</v>
          </cell>
          <cell r="AP75">
            <v>6761098.0606799852</v>
          </cell>
          <cell r="AQ75">
            <v>6739157.4522130527</v>
          </cell>
          <cell r="AR75">
            <v>416670.78850446432</v>
          </cell>
        </row>
        <row r="76">
          <cell r="D76" t="str">
            <v>Sales%</v>
          </cell>
          <cell r="E76">
            <v>207489822</v>
          </cell>
          <cell r="F76">
            <v>0.5149001429091784</v>
          </cell>
          <cell r="G76">
            <v>0.36466823418451821</v>
          </cell>
          <cell r="H76">
            <v>5.2165464771568408E-2</v>
          </cell>
          <cell r="I76">
            <v>4.9716163908994054E-2</v>
          </cell>
          <cell r="J76">
            <v>1.8549994225740867E-2</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C76" t="str">
            <v>PSTD/LP%</v>
          </cell>
          <cell r="AD76">
            <v>15228447.836143017</v>
          </cell>
          <cell r="AE76">
            <v>0</v>
          </cell>
          <cell r="AF76">
            <v>0</v>
          </cell>
          <cell r="AG76">
            <v>1.7127865302623399E-4</v>
          </cell>
          <cell r="AH76">
            <v>0.99982872134697376</v>
          </cell>
          <cell r="AI76">
            <v>0</v>
          </cell>
          <cell r="AJ76">
            <v>0</v>
          </cell>
          <cell r="AK76">
            <v>0</v>
          </cell>
          <cell r="AL76">
            <v>0</v>
          </cell>
          <cell r="AN76" t="str">
            <v>DISTPT_xMSM%</v>
          </cell>
          <cell r="AO76">
            <v>13916926.301397502</v>
          </cell>
          <cell r="AP76">
            <v>0.48581834194243401</v>
          </cell>
          <cell r="AQ76">
            <v>0.48424180068671657</v>
          </cell>
          <cell r="AR76">
            <v>2.9939857370849431E-2</v>
          </cell>
        </row>
        <row r="78">
          <cell r="D78" t="str">
            <v>Sales_Firm</v>
          </cell>
          <cell r="E78" t="str">
            <v>EXT</v>
          </cell>
          <cell r="F78">
            <v>106836539</v>
          </cell>
          <cell r="G78">
            <v>75664947</v>
          </cell>
          <cell r="H78">
            <v>10823803</v>
          </cell>
          <cell r="I78">
            <v>10315598</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C78" t="str">
            <v>SUPPPT</v>
          </cell>
          <cell r="AD78" t="str">
            <v>INT</v>
          </cell>
          <cell r="AE78">
            <v>0</v>
          </cell>
          <cell r="AF78">
            <v>0</v>
          </cell>
          <cell r="AG78">
            <v>0</v>
          </cell>
          <cell r="AH78">
            <v>0</v>
          </cell>
          <cell r="AI78">
            <v>0</v>
          </cell>
          <cell r="AJ78">
            <v>0</v>
          </cell>
          <cell r="AK78">
            <v>0</v>
          </cell>
          <cell r="AL78">
            <v>0</v>
          </cell>
          <cell r="AN78" t="str">
            <v>SUPP_PreTax</v>
          </cell>
          <cell r="AO78" t="str">
            <v>INT</v>
          </cell>
          <cell r="AP78">
            <v>-222363.17510824633</v>
          </cell>
          <cell r="AQ78">
            <v>-103284962.50589409</v>
          </cell>
          <cell r="AR78">
            <v>0</v>
          </cell>
        </row>
        <row r="79">
          <cell r="D79" t="str">
            <v>Sales_Firm%</v>
          </cell>
          <cell r="E79">
            <v>203640887</v>
          </cell>
          <cell r="F79">
            <v>0.52463206467962398</v>
          </cell>
          <cell r="G79">
            <v>0.37156068270317444</v>
          </cell>
          <cell r="H79">
            <v>5.3151423368137267E-2</v>
          </cell>
          <cell r="I79">
            <v>5.065582924906431E-2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C79" t="str">
            <v>SUPPPT%</v>
          </cell>
          <cell r="AD79">
            <v>0</v>
          </cell>
          <cell r="AE79">
            <v>0</v>
          </cell>
          <cell r="AF79">
            <v>0</v>
          </cell>
          <cell r="AG79">
            <v>0</v>
          </cell>
          <cell r="AH79">
            <v>0</v>
          </cell>
          <cell r="AI79">
            <v>0</v>
          </cell>
          <cell r="AJ79">
            <v>0</v>
          </cell>
          <cell r="AK79">
            <v>0</v>
          </cell>
          <cell r="AL79">
            <v>0</v>
          </cell>
          <cell r="AN79" t="str">
            <v>SUPP_PreTax%</v>
          </cell>
          <cell r="AO79">
            <v>-103507325.68100233</v>
          </cell>
          <cell r="AP79">
            <v>2.1482844199215818E-3</v>
          </cell>
          <cell r="AQ79">
            <v>0.99785171558007846</v>
          </cell>
          <cell r="AR79">
            <v>0</v>
          </cell>
        </row>
        <row r="81">
          <cell r="D81" t="str">
            <v>Winter5</v>
          </cell>
          <cell r="E81" t="str">
            <v>EXT</v>
          </cell>
          <cell r="F81">
            <v>52728281.857142858</v>
          </cell>
          <cell r="G81">
            <v>32040716.142857142</v>
          </cell>
          <cell r="H81">
            <v>2794243</v>
          </cell>
          <cell r="I81">
            <v>3237761.4285714282</v>
          </cell>
          <cell r="J81">
            <v>826791.57142857136</v>
          </cell>
          <cell r="K81">
            <v>16212179</v>
          </cell>
          <cell r="L81">
            <v>1917844.5714285672</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C81" t="str">
            <v>STORPT</v>
          </cell>
          <cell r="AD81" t="str">
            <v>INT</v>
          </cell>
          <cell r="AE81">
            <v>0</v>
          </cell>
          <cell r="AF81">
            <v>0</v>
          </cell>
          <cell r="AG81">
            <v>0</v>
          </cell>
          <cell r="AH81">
            <v>0</v>
          </cell>
          <cell r="AI81">
            <v>0</v>
          </cell>
          <cell r="AJ81">
            <v>0</v>
          </cell>
          <cell r="AK81">
            <v>0</v>
          </cell>
          <cell r="AL81">
            <v>0</v>
          </cell>
          <cell r="AN81" t="str">
            <v>STOR_PreTax</v>
          </cell>
          <cell r="AO81" t="str">
            <v>INT</v>
          </cell>
          <cell r="AP81">
            <v>0</v>
          </cell>
          <cell r="AQ81">
            <v>0</v>
          </cell>
          <cell r="AR81">
            <v>0</v>
          </cell>
        </row>
        <row r="82">
          <cell r="D82" t="str">
            <v>Winter5%</v>
          </cell>
          <cell r="E82">
            <v>109757817.57142857</v>
          </cell>
          <cell r="F82">
            <v>0.48040570616146011</v>
          </cell>
          <cell r="G82">
            <v>0.29192195008802518</v>
          </cell>
          <cell r="H82">
            <v>2.5458259482806798E-2</v>
          </cell>
          <cell r="I82">
            <v>2.9499141839845228E-2</v>
          </cell>
          <cell r="J82">
            <v>7.5328718238271194E-3</v>
          </cell>
          <cell r="K82">
            <v>0.14770864944949713</v>
          </cell>
          <cell r="L82">
            <v>1.7473421154538406E-2</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C82" t="str">
            <v>STORPT%</v>
          </cell>
          <cell r="AD82">
            <v>0</v>
          </cell>
          <cell r="AE82">
            <v>0</v>
          </cell>
          <cell r="AF82">
            <v>0</v>
          </cell>
          <cell r="AG82">
            <v>0</v>
          </cell>
          <cell r="AH82">
            <v>0</v>
          </cell>
          <cell r="AI82">
            <v>0</v>
          </cell>
          <cell r="AJ82">
            <v>0</v>
          </cell>
          <cell r="AK82">
            <v>0</v>
          </cell>
          <cell r="AL82">
            <v>0</v>
          </cell>
          <cell r="AN82" t="str">
            <v>STOR_PreTax%</v>
          </cell>
          <cell r="AO82">
            <v>0</v>
          </cell>
          <cell r="AP82">
            <v>0</v>
          </cell>
          <cell r="AQ82">
            <v>0</v>
          </cell>
          <cell r="AR82">
            <v>0</v>
          </cell>
        </row>
        <row r="84">
          <cell r="D84" t="str">
            <v>WinterSales</v>
          </cell>
          <cell r="E84" t="str">
            <v>EXT</v>
          </cell>
          <cell r="F84">
            <v>75273389</v>
          </cell>
          <cell r="G84">
            <v>50217479</v>
          </cell>
          <cell r="H84">
            <v>6139893</v>
          </cell>
          <cell r="I84">
            <v>6186860</v>
          </cell>
          <cell r="J84">
            <v>2086018</v>
          </cell>
          <cell r="K84">
            <v>192208744</v>
          </cell>
          <cell r="L84">
            <v>120535821</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C84" t="str">
            <v>TRANSPT</v>
          </cell>
          <cell r="AD84" t="str">
            <v>INT</v>
          </cell>
          <cell r="AE84">
            <v>0</v>
          </cell>
          <cell r="AF84">
            <v>0</v>
          </cell>
          <cell r="AG84">
            <v>17427054.769166667</v>
          </cell>
          <cell r="AH84">
            <v>0</v>
          </cell>
          <cell r="AI84">
            <v>0</v>
          </cell>
          <cell r="AJ84">
            <v>0</v>
          </cell>
          <cell r="AK84">
            <v>0</v>
          </cell>
          <cell r="AL84">
            <v>0</v>
          </cell>
          <cell r="AN84" t="str">
            <v>TRAN_PreTax</v>
          </cell>
          <cell r="AO84" t="str">
            <v>INT</v>
          </cell>
          <cell r="AP84">
            <v>270064.17653198412</v>
          </cell>
          <cell r="AQ84">
            <v>292821.42337427812</v>
          </cell>
          <cell r="AR84">
            <v>0</v>
          </cell>
        </row>
        <row r="85">
          <cell r="D85" t="str">
            <v>WinterSales%</v>
          </cell>
          <cell r="E85">
            <v>452648204</v>
          </cell>
          <cell r="F85">
            <v>0.16629556537465021</v>
          </cell>
          <cell r="G85">
            <v>0.11094151828336869</v>
          </cell>
          <cell r="H85">
            <v>1.3564381667136804E-2</v>
          </cell>
          <cell r="I85">
            <v>1.3668142158363672E-2</v>
          </cell>
          <cell r="J85">
            <v>4.6084751503841156E-3</v>
          </cell>
          <cell r="K85">
            <v>0.42463162849531599</v>
          </cell>
          <cell r="L85">
            <v>0.26629028887078054</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C85" t="str">
            <v>TRANSPT%</v>
          </cell>
          <cell r="AD85">
            <v>17427054.769166667</v>
          </cell>
          <cell r="AE85">
            <v>0</v>
          </cell>
          <cell r="AF85">
            <v>0</v>
          </cell>
          <cell r="AG85">
            <v>1</v>
          </cell>
          <cell r="AH85">
            <v>0</v>
          </cell>
          <cell r="AI85">
            <v>0</v>
          </cell>
          <cell r="AJ85">
            <v>0</v>
          </cell>
          <cell r="AK85">
            <v>0</v>
          </cell>
          <cell r="AL85">
            <v>0</v>
          </cell>
          <cell r="AN85" t="str">
            <v>TRAN_PreTax%</v>
          </cell>
          <cell r="AO85">
            <v>562885.59990626224</v>
          </cell>
          <cell r="AP85">
            <v>0.47978519361120292</v>
          </cell>
          <cell r="AQ85">
            <v>0.52021480638879714</v>
          </cell>
          <cell r="AR85">
            <v>0</v>
          </cell>
        </row>
        <row r="87">
          <cell r="D87" t="str">
            <v>Meter_Install</v>
          </cell>
          <cell r="E87" t="str">
            <v>EXT</v>
          </cell>
          <cell r="F87">
            <v>38178556.40973182</v>
          </cell>
          <cell r="G87">
            <v>3320718.2594306623</v>
          </cell>
          <cell r="H87">
            <v>8496.5027807839706</v>
          </cell>
          <cell r="I87">
            <v>1145.9206820964841</v>
          </cell>
          <cell r="J87">
            <v>22.829509198910046</v>
          </cell>
          <cell r="K87">
            <v>7784.177450333651</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C87" t="str">
            <v>DISTPT</v>
          </cell>
          <cell r="AD87" t="str">
            <v>INT</v>
          </cell>
          <cell r="AE87">
            <v>0</v>
          </cell>
          <cell r="AF87">
            <v>0</v>
          </cell>
          <cell r="AG87">
            <v>0</v>
          </cell>
          <cell r="AH87">
            <v>607131300.09913862</v>
          </cell>
          <cell r="AI87">
            <v>0</v>
          </cell>
          <cell r="AJ87">
            <v>0</v>
          </cell>
          <cell r="AK87">
            <v>0</v>
          </cell>
          <cell r="AL87">
            <v>0</v>
          </cell>
          <cell r="AN87" t="str">
            <v>DIST_PreTax</v>
          </cell>
          <cell r="AO87" t="str">
            <v>INT</v>
          </cell>
          <cell r="AP87">
            <v>7047447.7756485082</v>
          </cell>
          <cell r="AQ87">
            <v>7371421.1961781718</v>
          </cell>
          <cell r="AR87">
            <v>5558330.8085893244</v>
          </cell>
        </row>
        <row r="88">
          <cell r="D88" t="str">
            <v>Meter_Install%</v>
          </cell>
          <cell r="E88">
            <v>41516724.0995849</v>
          </cell>
          <cell r="F88">
            <v>0.91959462693044092</v>
          </cell>
          <cell r="G88">
            <v>7.9985074242981138E-2</v>
          </cell>
          <cell r="H88">
            <v>2.046525337693713E-4</v>
          </cell>
          <cell r="I88">
            <v>2.7601423449205654E-5</v>
          </cell>
          <cell r="J88">
            <v>5.4988705621738357E-7</v>
          </cell>
          <cell r="K88">
            <v>1.8749498230308302E-4</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C88" t="str">
            <v>DISTPT%</v>
          </cell>
          <cell r="AD88">
            <v>607131300.09913862</v>
          </cell>
          <cell r="AE88">
            <v>0</v>
          </cell>
          <cell r="AF88">
            <v>0</v>
          </cell>
          <cell r="AG88">
            <v>0</v>
          </cell>
          <cell r="AH88">
            <v>1</v>
          </cell>
          <cell r="AI88">
            <v>0</v>
          </cell>
          <cell r="AJ88">
            <v>0</v>
          </cell>
          <cell r="AK88">
            <v>0</v>
          </cell>
          <cell r="AL88">
            <v>0</v>
          </cell>
          <cell r="AN88" t="str">
            <v>DIST_PreTax%</v>
          </cell>
          <cell r="AO88">
            <v>19977199.780416004</v>
          </cell>
          <cell r="AP88">
            <v>0.35277455564904764</v>
          </cell>
          <cell r="AQ88">
            <v>0.36899171441457496</v>
          </cell>
          <cell r="AR88">
            <v>0.27823372993637741</v>
          </cell>
        </row>
        <row r="90">
          <cell r="D90" t="str">
            <v>Meter_Invest</v>
          </cell>
          <cell r="E90" t="str">
            <v>EXT</v>
          </cell>
          <cell r="F90">
            <v>30606861.529999994</v>
          </cell>
          <cell r="G90">
            <v>10164612.055714285</v>
          </cell>
          <cell r="H90">
            <v>706226.74357142858</v>
          </cell>
          <cell r="I90">
            <v>380988.96499999997</v>
          </cell>
          <cell r="J90">
            <v>53807.228571428568</v>
          </cell>
          <cell r="K90">
            <v>996881.83</v>
          </cell>
          <cell r="L90">
            <v>18675.085714285713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C90" t="str">
            <v>GENPT</v>
          </cell>
          <cell r="AD90" t="str">
            <v>INT</v>
          </cell>
          <cell r="AE90">
            <v>0</v>
          </cell>
          <cell r="AF90">
            <v>0</v>
          </cell>
          <cell r="AG90">
            <v>1309280.7350965044</v>
          </cell>
          <cell r="AH90">
            <v>45719790.680666618</v>
          </cell>
          <cell r="AI90">
            <v>0</v>
          </cell>
          <cell r="AJ90">
            <v>0</v>
          </cell>
          <cell r="AK90">
            <v>0</v>
          </cell>
          <cell r="AL90">
            <v>0</v>
          </cell>
          <cell r="AN90" t="str">
            <v>BBA_PP_PreTax</v>
          </cell>
          <cell r="AO90" t="str">
            <v>INT</v>
          </cell>
          <cell r="AP90">
            <v>0</v>
          </cell>
          <cell r="AQ90">
            <v>0</v>
          </cell>
          <cell r="AR90">
            <v>0</v>
          </cell>
        </row>
        <row r="91">
          <cell r="D91" t="str">
            <v>Meter_Invest%</v>
          </cell>
          <cell r="E91">
            <v>42928053.438571431</v>
          </cell>
          <cell r="F91">
            <v>0.71298041905853848</v>
          </cell>
          <cell r="G91">
            <v>0.23678250564655803</v>
          </cell>
          <cell r="H91">
            <v>1.6451403849047447E-2</v>
          </cell>
          <cell r="I91">
            <v>8.8750580210952747E-3</v>
          </cell>
          <cell r="J91">
            <v>1.2534281026374714E-3</v>
          </cell>
          <cell r="K91">
            <v>2.3222153117809164E-2</v>
          </cell>
          <cell r="L91">
            <v>4.3503220431387877E-4</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C91" t="str">
            <v>GENPT%</v>
          </cell>
          <cell r="AD91">
            <v>47029071.415763125</v>
          </cell>
          <cell r="AE91">
            <v>0</v>
          </cell>
          <cell r="AF91">
            <v>0</v>
          </cell>
          <cell r="AG91">
            <v>2.7839816855445329E-2</v>
          </cell>
          <cell r="AH91">
            <v>0.97216018314455466</v>
          </cell>
          <cell r="AI91">
            <v>0</v>
          </cell>
          <cell r="AJ91">
            <v>0</v>
          </cell>
          <cell r="AK91">
            <v>0</v>
          </cell>
          <cell r="AL91">
            <v>0</v>
          </cell>
          <cell r="AN91" t="str">
            <v>BBA_PP_PreTax%</v>
          </cell>
          <cell r="AO91">
            <v>0</v>
          </cell>
          <cell r="AP91">
            <v>0</v>
          </cell>
          <cell r="AQ91">
            <v>0</v>
          </cell>
          <cell r="AR91">
            <v>0</v>
          </cell>
        </row>
        <row r="93">
          <cell r="D93" t="str">
            <v>Service_Invest</v>
          </cell>
          <cell r="E93" t="str">
            <v>EXT</v>
          </cell>
          <cell r="F93">
            <v>340088745.63415772</v>
          </cell>
          <cell r="G93">
            <v>75406712.623927683</v>
          </cell>
          <cell r="H93">
            <v>2158521.354789272</v>
          </cell>
          <cell r="I93">
            <v>17044.366853466167</v>
          </cell>
          <cell r="J93">
            <v>753576.85000000009</v>
          </cell>
          <cell r="K93">
            <v>7540764.2400000002</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C93" t="str">
            <v>TRANSPXL</v>
          </cell>
          <cell r="AD93" t="str">
            <v>INT</v>
          </cell>
          <cell r="AE93">
            <v>0</v>
          </cell>
          <cell r="AF93">
            <v>0</v>
          </cell>
          <cell r="AG93">
            <v>16197253.049166666</v>
          </cell>
          <cell r="AH93">
            <v>0</v>
          </cell>
          <cell r="AI93">
            <v>0</v>
          </cell>
          <cell r="AJ93">
            <v>0</v>
          </cell>
          <cell r="AK93">
            <v>0</v>
          </cell>
          <cell r="AL93">
            <v>0</v>
          </cell>
          <cell r="AN93" t="str">
            <v>Comm_Pass_PreTax</v>
          </cell>
          <cell r="AO93" t="str">
            <v>INT</v>
          </cell>
          <cell r="AP93">
            <v>0</v>
          </cell>
          <cell r="AQ93">
            <v>0</v>
          </cell>
          <cell r="AR93">
            <v>0</v>
          </cell>
        </row>
        <row r="94">
          <cell r="D94" t="str">
            <v>Service_Invest%</v>
          </cell>
          <cell r="E94">
            <v>425965365.06972814</v>
          </cell>
          <cell r="F94">
            <v>0.79839530046882357</v>
          </cell>
          <cell r="G94">
            <v>0.17702545513667298</v>
          </cell>
          <cell r="H94">
            <v>5.0673635271636088E-3</v>
          </cell>
          <cell r="I94">
            <v>4.0013504033775374E-5</v>
          </cell>
          <cell r="J94">
            <v>1.7691035745984742E-3</v>
          </cell>
          <cell r="K94">
            <v>1.7702763788707609E-2</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C94" t="str">
            <v>TRANSPXL%</v>
          </cell>
          <cell r="AD94">
            <v>16197253.049166666</v>
          </cell>
          <cell r="AE94">
            <v>0</v>
          </cell>
          <cell r="AF94">
            <v>0</v>
          </cell>
          <cell r="AG94">
            <v>1</v>
          </cell>
          <cell r="AH94">
            <v>0</v>
          </cell>
          <cell r="AI94">
            <v>0</v>
          </cell>
          <cell r="AJ94">
            <v>0</v>
          </cell>
          <cell r="AK94">
            <v>0</v>
          </cell>
          <cell r="AL94">
            <v>0</v>
          </cell>
          <cell r="AN94" t="str">
            <v>Comm_Pass_PreTax%</v>
          </cell>
          <cell r="AO94">
            <v>0</v>
          </cell>
          <cell r="AP94">
            <v>0</v>
          </cell>
          <cell r="AQ94">
            <v>0</v>
          </cell>
          <cell r="AR94">
            <v>0</v>
          </cell>
        </row>
        <row r="96">
          <cell r="D96" t="str">
            <v>Cust_Avg(Low Pressure)</v>
          </cell>
          <cell r="E96" t="str">
            <v>EXT</v>
          </cell>
          <cell r="F96">
            <v>181657.33333333334</v>
          </cell>
          <cell r="G96">
            <v>25460.583333333332</v>
          </cell>
          <cell r="H96">
            <v>450.66666666666669</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C96" t="str">
            <v>DISTPXL</v>
          </cell>
          <cell r="AD96" t="str">
            <v>INT</v>
          </cell>
          <cell r="AE96">
            <v>0</v>
          </cell>
          <cell r="AF96">
            <v>0</v>
          </cell>
          <cell r="AG96">
            <v>0</v>
          </cell>
          <cell r="AH96">
            <v>604889134.04066598</v>
          </cell>
          <cell r="AI96">
            <v>0</v>
          </cell>
          <cell r="AJ96">
            <v>0</v>
          </cell>
          <cell r="AK96">
            <v>0</v>
          </cell>
          <cell r="AL96">
            <v>0</v>
          </cell>
          <cell r="AN96" t="str">
            <v>SUPPTOTPT</v>
          </cell>
          <cell r="AO96" t="str">
            <v>INT</v>
          </cell>
          <cell r="AP96">
            <v>0</v>
          </cell>
          <cell r="AQ96">
            <v>0</v>
          </cell>
          <cell r="AR96">
            <v>0</v>
          </cell>
        </row>
        <row r="97">
          <cell r="D97" t="str">
            <v>Cust_Avg(Low Pressure)%</v>
          </cell>
          <cell r="E97">
            <v>207568.58333333334</v>
          </cell>
          <cell r="F97">
            <v>0.87516776583482647</v>
          </cell>
          <cell r="G97">
            <v>0.12266106423459233</v>
          </cell>
          <cell r="H97">
            <v>2.1711699305811774E-3</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C97" t="str">
            <v>DISTPXL%</v>
          </cell>
          <cell r="AD97">
            <v>604889134.04066598</v>
          </cell>
          <cell r="AE97">
            <v>0</v>
          </cell>
          <cell r="AF97">
            <v>0</v>
          </cell>
          <cell r="AG97">
            <v>0</v>
          </cell>
          <cell r="AH97">
            <v>1</v>
          </cell>
          <cell r="AI97">
            <v>0</v>
          </cell>
          <cell r="AJ97">
            <v>0</v>
          </cell>
          <cell r="AK97">
            <v>0</v>
          </cell>
          <cell r="AL97">
            <v>0</v>
          </cell>
          <cell r="AN97" t="str">
            <v>SUPPTOTPT%</v>
          </cell>
          <cell r="AO97">
            <v>0</v>
          </cell>
          <cell r="AP97">
            <v>0</v>
          </cell>
          <cell r="AQ97">
            <v>0</v>
          </cell>
          <cell r="AR97">
            <v>0</v>
          </cell>
        </row>
        <row r="99">
          <cell r="D99" t="str">
            <v>Res</v>
          </cell>
          <cell r="E99" t="str">
            <v>EXT</v>
          </cell>
          <cell r="F99">
            <v>1</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C99" t="str">
            <v>GENPTXL</v>
          </cell>
          <cell r="AD99" t="str">
            <v>INT</v>
          </cell>
          <cell r="AE99">
            <v>0</v>
          </cell>
          <cell r="AF99">
            <v>0</v>
          </cell>
          <cell r="AG99">
            <v>1232858.1840247675</v>
          </cell>
          <cell r="AH99">
            <v>43057348.667161942</v>
          </cell>
          <cell r="AI99">
            <v>0</v>
          </cell>
          <cell r="AJ99">
            <v>0</v>
          </cell>
          <cell r="AK99">
            <v>0</v>
          </cell>
          <cell r="AL99">
            <v>0</v>
          </cell>
          <cell r="AN99" t="str">
            <v>STORTOTPT</v>
          </cell>
          <cell r="AO99" t="str">
            <v>INT</v>
          </cell>
          <cell r="AP99">
            <v>0</v>
          </cell>
          <cell r="AQ99">
            <v>0</v>
          </cell>
          <cell r="AR99">
            <v>0</v>
          </cell>
        </row>
        <row r="100">
          <cell r="D100" t="str">
            <v>Res%</v>
          </cell>
          <cell r="E100">
            <v>1</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C100" t="str">
            <v>GENPTXL%</v>
          </cell>
          <cell r="AD100">
            <v>44290206.851186708</v>
          </cell>
          <cell r="AE100">
            <v>0</v>
          </cell>
          <cell r="AF100">
            <v>0</v>
          </cell>
          <cell r="AG100">
            <v>2.7835909373083778E-2</v>
          </cell>
          <cell r="AH100">
            <v>0.97216409062691622</v>
          </cell>
          <cell r="AI100">
            <v>0</v>
          </cell>
          <cell r="AJ100">
            <v>0</v>
          </cell>
          <cell r="AK100">
            <v>0</v>
          </cell>
          <cell r="AL100">
            <v>0</v>
          </cell>
          <cell r="AN100" t="str">
            <v>STORTOTPT%</v>
          </cell>
          <cell r="AO100">
            <v>0</v>
          </cell>
          <cell r="AP100">
            <v>0</v>
          </cell>
          <cell r="AQ100">
            <v>0</v>
          </cell>
          <cell r="AR100">
            <v>0</v>
          </cell>
        </row>
        <row r="102">
          <cell r="D102" t="str">
            <v>Cust_Avg</v>
          </cell>
          <cell r="E102" t="str">
            <v>EXT</v>
          </cell>
          <cell r="F102">
            <v>181657.33333333334</v>
          </cell>
          <cell r="G102">
            <v>25460.583333333332</v>
          </cell>
          <cell r="H102">
            <v>450.66666666666669</v>
          </cell>
          <cell r="I102">
            <v>86.833333333333329</v>
          </cell>
          <cell r="J102">
            <v>10</v>
          </cell>
          <cell r="K102">
            <v>191.83333333333334</v>
          </cell>
          <cell r="L102">
            <v>11.166666666666666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C102" t="str">
            <v>GASDEMCOST</v>
          </cell>
          <cell r="AD102" t="str">
            <v>INT</v>
          </cell>
          <cell r="AE102">
            <v>0</v>
          </cell>
          <cell r="AF102">
            <v>0</v>
          </cell>
          <cell r="AG102">
            <v>0</v>
          </cell>
          <cell r="AH102">
            <v>0</v>
          </cell>
          <cell r="AI102">
            <v>0</v>
          </cell>
          <cell r="AJ102">
            <v>0</v>
          </cell>
          <cell r="AK102">
            <v>0</v>
          </cell>
          <cell r="AL102">
            <v>0</v>
          </cell>
          <cell r="AN102" t="str">
            <v>SUPPPT</v>
          </cell>
          <cell r="AO102" t="str">
            <v>INT</v>
          </cell>
          <cell r="AP102">
            <v>0</v>
          </cell>
          <cell r="AQ102">
            <v>0</v>
          </cell>
          <cell r="AR102">
            <v>0</v>
          </cell>
        </row>
        <row r="103">
          <cell r="D103" t="str">
            <v>Cust_Avg%</v>
          </cell>
          <cell r="E103">
            <v>207868.41666666669</v>
          </cell>
          <cell r="F103">
            <v>0.8739054073069461</v>
          </cell>
          <cell r="G103">
            <v>0.12248413559699825</v>
          </cell>
          <cell r="H103">
            <v>2.1680381940338057E-3</v>
          </cell>
          <cell r="I103">
            <v>4.1773221120251948E-4</v>
          </cell>
          <cell r="J103">
            <v>4.8107356376489773E-5</v>
          </cell>
          <cell r="K103">
            <v>9.2285945315566213E-4</v>
          </cell>
          <cell r="L103">
            <v>5.3719881287080244E-5</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C103" t="str">
            <v>GASDEMCOST%</v>
          </cell>
          <cell r="AD103">
            <v>0</v>
          </cell>
          <cell r="AE103">
            <v>0</v>
          </cell>
          <cell r="AF103">
            <v>0</v>
          </cell>
          <cell r="AG103">
            <v>0</v>
          </cell>
          <cell r="AH103">
            <v>0</v>
          </cell>
          <cell r="AI103">
            <v>0</v>
          </cell>
          <cell r="AJ103">
            <v>0</v>
          </cell>
          <cell r="AK103">
            <v>0</v>
          </cell>
          <cell r="AL103">
            <v>0</v>
          </cell>
          <cell r="AN103" t="str">
            <v>SUPPPT%</v>
          </cell>
          <cell r="AO103">
            <v>0</v>
          </cell>
          <cell r="AP103">
            <v>0</v>
          </cell>
          <cell r="AQ103">
            <v>0</v>
          </cell>
          <cell r="AR103">
            <v>0</v>
          </cell>
        </row>
        <row r="105">
          <cell r="D105" t="str">
            <v>SmCust_Avg</v>
          </cell>
          <cell r="E105" t="str">
            <v>EXT</v>
          </cell>
          <cell r="F105">
            <v>181657.33333333334</v>
          </cell>
          <cell r="G105">
            <v>25460.583333333332</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C105" t="str">
            <v>RATEBASE</v>
          </cell>
          <cell r="AD105" t="str">
            <v>INT</v>
          </cell>
          <cell r="AE105">
            <v>0</v>
          </cell>
          <cell r="AF105">
            <v>0</v>
          </cell>
          <cell r="AG105">
            <v>7761705.0692334939</v>
          </cell>
          <cell r="AH105">
            <v>293099020.62840801</v>
          </cell>
          <cell r="AI105">
            <v>0</v>
          </cell>
          <cell r="AJ105">
            <v>0</v>
          </cell>
          <cell r="AK105">
            <v>0</v>
          </cell>
          <cell r="AL105">
            <v>0</v>
          </cell>
          <cell r="AN105" t="str">
            <v>STORPT</v>
          </cell>
          <cell r="AO105" t="str">
            <v>INT</v>
          </cell>
          <cell r="AP105">
            <v>0</v>
          </cell>
          <cell r="AQ105">
            <v>0</v>
          </cell>
          <cell r="AR105">
            <v>0</v>
          </cell>
        </row>
        <row r="106">
          <cell r="D106" t="str">
            <v>SmCust_Avg%</v>
          </cell>
          <cell r="E106">
            <v>207117.91666666669</v>
          </cell>
          <cell r="F106">
            <v>0.87707203827127456</v>
          </cell>
          <cell r="G106">
            <v>0.12292796172872536</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C106" t="str">
            <v>RATEBASE%</v>
          </cell>
          <cell r="AD106">
            <v>300860725.69764149</v>
          </cell>
          <cell r="AE106">
            <v>0</v>
          </cell>
          <cell r="AF106">
            <v>0</v>
          </cell>
          <cell r="AG106">
            <v>2.5798332604681142E-2</v>
          </cell>
          <cell r="AH106">
            <v>0.97420166739531888</v>
          </cell>
          <cell r="AI106">
            <v>0</v>
          </cell>
          <cell r="AJ106">
            <v>0</v>
          </cell>
          <cell r="AK106">
            <v>0</v>
          </cell>
          <cell r="AL106">
            <v>0</v>
          </cell>
          <cell r="AN106" t="str">
            <v>STORPT%</v>
          </cell>
          <cell r="AO106">
            <v>0</v>
          </cell>
          <cell r="AP106">
            <v>0</v>
          </cell>
          <cell r="AQ106">
            <v>0</v>
          </cell>
          <cell r="AR106">
            <v>0</v>
          </cell>
        </row>
        <row r="108">
          <cell r="D108" t="str">
            <v>LGCust</v>
          </cell>
          <cell r="E108" t="str">
            <v>EXT</v>
          </cell>
          <cell r="F108">
            <v>0</v>
          </cell>
          <cell r="G108">
            <v>0</v>
          </cell>
          <cell r="H108">
            <v>0</v>
          </cell>
          <cell r="I108">
            <v>0</v>
          </cell>
          <cell r="J108">
            <v>10</v>
          </cell>
          <cell r="K108">
            <v>191.83333333333334</v>
          </cell>
          <cell r="L108">
            <v>11.166666666666666</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C108" t="str">
            <v>DIR-CustDeposits</v>
          </cell>
          <cell r="AD108" t="str">
            <v>INT</v>
          </cell>
          <cell r="AE108">
            <v>0</v>
          </cell>
          <cell r="AF108">
            <v>0</v>
          </cell>
          <cell r="AG108">
            <v>0</v>
          </cell>
          <cell r="AH108">
            <v>-160300</v>
          </cell>
          <cell r="AI108">
            <v>0</v>
          </cell>
          <cell r="AJ108">
            <v>0</v>
          </cell>
          <cell r="AK108">
            <v>0</v>
          </cell>
          <cell r="AL108">
            <v>0</v>
          </cell>
          <cell r="AN108" t="str">
            <v>TRANPT</v>
          </cell>
          <cell r="AO108" t="str">
            <v>INT</v>
          </cell>
          <cell r="AP108">
            <v>8818977.871806208</v>
          </cell>
          <cell r="AQ108">
            <v>11994430.273735123</v>
          </cell>
          <cell r="AR108">
            <v>0</v>
          </cell>
        </row>
        <row r="109">
          <cell r="D109" t="str">
            <v>LGCust%</v>
          </cell>
          <cell r="E109">
            <v>213</v>
          </cell>
          <cell r="F109">
            <v>0</v>
          </cell>
          <cell r="G109">
            <v>0</v>
          </cell>
          <cell r="H109">
            <v>0</v>
          </cell>
          <cell r="I109">
            <v>0</v>
          </cell>
          <cell r="J109">
            <v>4.6948356807511735E-2</v>
          </cell>
          <cell r="K109">
            <v>0.90062597809076683</v>
          </cell>
          <cell r="L109">
            <v>5.242566510172144E-2</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C109" t="str">
            <v>DIR-CustDeposits%</v>
          </cell>
          <cell r="AD109">
            <v>-160300</v>
          </cell>
          <cell r="AE109">
            <v>0</v>
          </cell>
          <cell r="AF109">
            <v>0</v>
          </cell>
          <cell r="AG109">
            <v>0</v>
          </cell>
          <cell r="AH109">
            <v>1</v>
          </cell>
          <cell r="AI109">
            <v>0</v>
          </cell>
          <cell r="AJ109">
            <v>0</v>
          </cell>
          <cell r="AK109">
            <v>0</v>
          </cell>
          <cell r="AL109">
            <v>0</v>
          </cell>
          <cell r="AN109" t="str">
            <v>TRANPT%</v>
          </cell>
          <cell r="AO109">
            <v>20813408.145541333</v>
          </cell>
          <cell r="AP109">
            <v>0.42371618382429199</v>
          </cell>
          <cell r="AQ109">
            <v>0.5762838161757079</v>
          </cell>
          <cell r="AR109">
            <v>0</v>
          </cell>
        </row>
        <row r="111">
          <cell r="D111" t="str">
            <v>CUST-903</v>
          </cell>
          <cell r="E111" t="str">
            <v>EXT</v>
          </cell>
          <cell r="F111">
            <v>0.79925742494121499</v>
          </cell>
          <cell r="G111">
            <v>0.13742109775921327</v>
          </cell>
          <cell r="H111">
            <v>6.7342591202841978E-3</v>
          </cell>
          <cell r="I111">
            <v>4.8435770102307476E-3</v>
          </cell>
          <cell r="J111">
            <v>1.3831903567500924E-3</v>
          </cell>
          <cell r="K111">
            <v>3.2355921798070661E-2</v>
          </cell>
          <cell r="L111">
            <v>1.8004529014235895E-2</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C111" t="str">
            <v>TRAN-DIST-Mains</v>
          </cell>
          <cell r="AD111" t="str">
            <v>INT</v>
          </cell>
          <cell r="AE111">
            <v>0</v>
          </cell>
          <cell r="AF111">
            <v>0</v>
          </cell>
          <cell r="AG111">
            <v>15382525.939166667</v>
          </cell>
          <cell r="AH111">
            <v>106791717.33000001</v>
          </cell>
          <cell r="AI111">
            <v>0</v>
          </cell>
          <cell r="AJ111">
            <v>0</v>
          </cell>
          <cell r="AK111">
            <v>0</v>
          </cell>
          <cell r="AL111">
            <v>0</v>
          </cell>
          <cell r="AN111" t="str">
            <v>DISTPT</v>
          </cell>
          <cell r="AO111" t="str">
            <v>INT</v>
          </cell>
          <cell r="AP111">
            <v>183638893.10766301</v>
          </cell>
          <cell r="AQ111">
            <v>183042961.94133246</v>
          </cell>
          <cell r="AR111">
            <v>263885828.15092891</v>
          </cell>
        </row>
        <row r="112">
          <cell r="D112" t="str">
            <v>CUST-903%</v>
          </cell>
          <cell r="E112">
            <v>0.99999999999999989</v>
          </cell>
          <cell r="F112">
            <v>0.7992574249412151</v>
          </cell>
          <cell r="G112">
            <v>0.1374210977592133</v>
          </cell>
          <cell r="H112">
            <v>6.7342591202841987E-3</v>
          </cell>
          <cell r="I112">
            <v>4.8435770102307485E-3</v>
          </cell>
          <cell r="J112">
            <v>1.3831903567500926E-3</v>
          </cell>
          <cell r="K112">
            <v>3.2355921798070668E-2</v>
          </cell>
          <cell r="L112">
            <v>1.8004529014235899E-2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C112" t="str">
            <v>TRAN-DIST-Mains%</v>
          </cell>
          <cell r="AD112">
            <v>122174243.26916668</v>
          </cell>
          <cell r="AE112">
            <v>0</v>
          </cell>
          <cell r="AF112">
            <v>0</v>
          </cell>
          <cell r="AG112">
            <v>0.12590645562892372</v>
          </cell>
          <cell r="AH112">
            <v>0.87409354437107634</v>
          </cell>
          <cell r="AI112">
            <v>0</v>
          </cell>
          <cell r="AJ112">
            <v>0</v>
          </cell>
          <cell r="AK112">
            <v>0</v>
          </cell>
          <cell r="AL112">
            <v>0</v>
          </cell>
          <cell r="AN112" t="str">
            <v>DISTPT%</v>
          </cell>
          <cell r="AO112">
            <v>630567683.19992447</v>
          </cell>
          <cell r="AP112">
            <v>0.29122788560262997</v>
          </cell>
          <cell r="AQ112">
            <v>0.29028281470507555</v>
          </cell>
          <cell r="AR112">
            <v>0.41848929969229437</v>
          </cell>
        </row>
        <row r="114">
          <cell r="D114" t="str">
            <v>Cust_Deposit</v>
          </cell>
          <cell r="E114" t="str">
            <v>EXT</v>
          </cell>
          <cell r="F114">
            <v>5228577.8600000003</v>
          </cell>
          <cell r="G114">
            <v>2873106.6500000004</v>
          </cell>
          <cell r="H114">
            <v>1029</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C114" t="str">
            <v>Income_before_tax</v>
          </cell>
          <cell r="AD114" t="str">
            <v>INT</v>
          </cell>
          <cell r="AE114">
            <v>4640231.8123411313</v>
          </cell>
          <cell r="AF114">
            <v>0</v>
          </cell>
          <cell r="AG114">
            <v>562885.59990626224</v>
          </cell>
          <cell r="AH114">
            <v>19977199.780415997</v>
          </cell>
          <cell r="AI114">
            <v>0</v>
          </cell>
          <cell r="AJ114">
            <v>0</v>
          </cell>
          <cell r="AK114">
            <v>0</v>
          </cell>
          <cell r="AL114">
            <v>0</v>
          </cell>
          <cell r="AN114" t="str">
            <v>BBA_PPPT</v>
          </cell>
          <cell r="AO114" t="str">
            <v>INT</v>
          </cell>
          <cell r="AP114">
            <v>0</v>
          </cell>
          <cell r="AQ114">
            <v>0</v>
          </cell>
          <cell r="AR114">
            <v>0</v>
          </cell>
        </row>
        <row r="115">
          <cell r="D115" t="str">
            <v>Cust_Deposit%</v>
          </cell>
          <cell r="E115">
            <v>8102713.5100000007</v>
          </cell>
          <cell r="F115">
            <v>0.64528726747491783</v>
          </cell>
          <cell r="G115">
            <v>0.35458573803135734</v>
          </cell>
          <cell r="H115">
            <v>1.2699449372485588E-4</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C115" t="str">
            <v>Income_before_tax%</v>
          </cell>
          <cell r="AD115">
            <v>25180317.19266339</v>
          </cell>
          <cell r="AE115">
            <v>0.18428011755519597</v>
          </cell>
          <cell r="AF115">
            <v>0</v>
          </cell>
          <cell r="AG115">
            <v>2.2354190203381006E-2</v>
          </cell>
          <cell r="AH115">
            <v>0.79336569224142306</v>
          </cell>
          <cell r="AI115">
            <v>0</v>
          </cell>
          <cell r="AJ115">
            <v>0</v>
          </cell>
          <cell r="AK115">
            <v>0</v>
          </cell>
          <cell r="AL115">
            <v>0</v>
          </cell>
          <cell r="AN115" t="str">
            <v>BBA_PPPT%</v>
          </cell>
          <cell r="AO115">
            <v>0</v>
          </cell>
          <cell r="AP115">
            <v>0</v>
          </cell>
          <cell r="AQ115">
            <v>0</v>
          </cell>
          <cell r="AR115">
            <v>0</v>
          </cell>
        </row>
        <row r="117">
          <cell r="D117" t="str">
            <v>BILLDMND-Supply</v>
          </cell>
          <cell r="E117" t="str">
            <v>EXT</v>
          </cell>
          <cell r="F117">
            <v>106836539</v>
          </cell>
          <cell r="G117">
            <v>75664947</v>
          </cell>
          <cell r="H117">
            <v>10823803</v>
          </cell>
          <cell r="I117">
            <v>10315598</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C117" t="str">
            <v>REVREQ</v>
          </cell>
          <cell r="AD117" t="str">
            <v>INT</v>
          </cell>
          <cell r="AE117">
            <v>664085.44609677792</v>
          </cell>
          <cell r="AF117">
            <v>0</v>
          </cell>
          <cell r="AG117">
            <v>1615035.1681651459</v>
          </cell>
          <cell r="AH117">
            <v>113185365.81041802</v>
          </cell>
          <cell r="AI117">
            <v>0</v>
          </cell>
          <cell r="AJ117">
            <v>0</v>
          </cell>
          <cell r="AK117">
            <v>0</v>
          </cell>
          <cell r="AL117">
            <v>0</v>
          </cell>
          <cell r="AN117" t="str">
            <v>SUPPO&amp;M</v>
          </cell>
          <cell r="AO117" t="str">
            <v>INT</v>
          </cell>
          <cell r="AP117">
            <v>0</v>
          </cell>
          <cell r="AQ117">
            <v>0</v>
          </cell>
          <cell r="AR117">
            <v>0</v>
          </cell>
        </row>
        <row r="118">
          <cell r="D118" t="str">
            <v>BILLDMND-Supply%</v>
          </cell>
          <cell r="E118">
            <v>203640887</v>
          </cell>
          <cell r="F118">
            <v>0.52463206467962398</v>
          </cell>
          <cell r="G118">
            <v>0.37156068270317444</v>
          </cell>
          <cell r="H118">
            <v>5.3151423368137267E-2</v>
          </cell>
          <cell r="I118">
            <v>5.065582924906431E-2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C118" t="str">
            <v>REVREQ%</v>
          </cell>
          <cell r="AD118">
            <v>115464486.42467995</v>
          </cell>
          <cell r="AE118">
            <v>5.7514259722618311E-3</v>
          </cell>
          <cell r="AF118">
            <v>0</v>
          </cell>
          <cell r="AG118">
            <v>1.3987289236493242E-2</v>
          </cell>
          <cell r="AH118">
            <v>0.98026128479124497</v>
          </cell>
          <cell r="AI118">
            <v>0</v>
          </cell>
          <cell r="AJ118">
            <v>0</v>
          </cell>
          <cell r="AK118">
            <v>0</v>
          </cell>
          <cell r="AL118">
            <v>0</v>
          </cell>
          <cell r="AN118" t="str">
            <v>SUPPO&amp;M%</v>
          </cell>
          <cell r="AO118">
            <v>0</v>
          </cell>
          <cell r="AP118">
            <v>0</v>
          </cell>
          <cell r="AQ118">
            <v>0</v>
          </cell>
          <cell r="AR118">
            <v>0</v>
          </cell>
        </row>
        <row r="120">
          <cell r="D120" t="str">
            <v>BILLDMND-DELIVER</v>
          </cell>
          <cell r="E120" t="str">
            <v>EXT</v>
          </cell>
          <cell r="F120">
            <v>16862303.343983006</v>
          </cell>
          <cell r="G120">
            <v>10986457.357757276</v>
          </cell>
          <cell r="H120">
            <v>1362697.4349423903</v>
          </cell>
          <cell r="I120">
            <v>944503.66903607431</v>
          </cell>
          <cell r="J120">
            <v>249572</v>
          </cell>
          <cell r="K120">
            <v>17919240</v>
          </cell>
          <cell r="L120">
            <v>14447640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C120" t="str">
            <v>RevDeficiency</v>
          </cell>
          <cell r="AD120" t="str">
            <v>INT</v>
          </cell>
          <cell r="AE120">
            <v>0</v>
          </cell>
          <cell r="AF120">
            <v>0</v>
          </cell>
          <cell r="AG120">
            <v>157798.64471662394</v>
          </cell>
          <cell r="AH120">
            <v>10338759.506166875</v>
          </cell>
          <cell r="AI120">
            <v>0</v>
          </cell>
          <cell r="AJ120">
            <v>0</v>
          </cell>
          <cell r="AK120">
            <v>0</v>
          </cell>
          <cell r="AL120">
            <v>0</v>
          </cell>
          <cell r="AN120" t="str">
            <v>STORO&amp;M</v>
          </cell>
          <cell r="AO120" t="str">
            <v>INT</v>
          </cell>
          <cell r="AP120">
            <v>0</v>
          </cell>
          <cell r="AQ120">
            <v>0</v>
          </cell>
          <cell r="AR120">
            <v>0</v>
          </cell>
        </row>
        <row r="121">
          <cell r="D121" t="str">
            <v>BILLDMND-DELIVER%</v>
          </cell>
          <cell r="E121">
            <v>62772413.80571875</v>
          </cell>
          <cell r="F121">
            <v>0.26862601454473306</v>
          </cell>
          <cell r="G121">
            <v>0.17502046984779765</v>
          </cell>
          <cell r="H121">
            <v>2.1708539664572285E-2</v>
          </cell>
          <cell r="I121">
            <v>1.5046476816381837E-2</v>
          </cell>
          <cell r="J121">
            <v>3.9758228952677822E-3</v>
          </cell>
          <cell r="K121">
            <v>0.28546361233551137</v>
          </cell>
          <cell r="L121">
            <v>0.23015906389573595</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C121" t="str">
            <v>RevDeficiency%</v>
          </cell>
          <cell r="AD121">
            <v>10496558.1508835</v>
          </cell>
          <cell r="AE121">
            <v>0</v>
          </cell>
          <cell r="AF121">
            <v>0</v>
          </cell>
          <cell r="AG121">
            <v>1.5033370219869831E-2</v>
          </cell>
          <cell r="AH121">
            <v>0.98496662978013017</v>
          </cell>
          <cell r="AI121">
            <v>0</v>
          </cell>
          <cell r="AJ121">
            <v>0</v>
          </cell>
          <cell r="AK121">
            <v>0</v>
          </cell>
          <cell r="AL121">
            <v>0</v>
          </cell>
          <cell r="AN121" t="str">
            <v>STORO&amp;M%</v>
          </cell>
          <cell r="AO121">
            <v>0</v>
          </cell>
          <cell r="AP121">
            <v>0</v>
          </cell>
          <cell r="AQ121">
            <v>0</v>
          </cell>
          <cell r="AR121">
            <v>0</v>
          </cell>
        </row>
        <row r="123">
          <cell r="D123" t="str">
            <v>OFF SYS SALES</v>
          </cell>
          <cell r="E123" t="str">
            <v>EXT</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C123" t="str">
            <v>GASCOST</v>
          </cell>
          <cell r="AD123" t="str">
            <v>INT</v>
          </cell>
          <cell r="AE123">
            <v>0</v>
          </cell>
          <cell r="AF123">
            <v>0</v>
          </cell>
          <cell r="AG123">
            <v>0</v>
          </cell>
          <cell r="AH123">
            <v>0</v>
          </cell>
          <cell r="AI123">
            <v>0</v>
          </cell>
          <cell r="AJ123">
            <v>0</v>
          </cell>
          <cell r="AK123">
            <v>0</v>
          </cell>
          <cell r="AL123">
            <v>0</v>
          </cell>
          <cell r="AN123" t="str">
            <v>TRANO&amp;M</v>
          </cell>
          <cell r="AO123" t="str">
            <v>INT</v>
          </cell>
          <cell r="AP123">
            <v>16043.739300477091</v>
          </cell>
          <cell r="AQ123">
            <v>21820.614040178309</v>
          </cell>
          <cell r="AR123">
            <v>0</v>
          </cell>
        </row>
        <row r="124">
          <cell r="D124" t="str">
            <v>OFF SYS SALES%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C124" t="str">
            <v>GASCOST%</v>
          </cell>
          <cell r="AD124">
            <v>0</v>
          </cell>
          <cell r="AE124">
            <v>0</v>
          </cell>
          <cell r="AF124">
            <v>0</v>
          </cell>
          <cell r="AG124">
            <v>0</v>
          </cell>
          <cell r="AH124">
            <v>0</v>
          </cell>
          <cell r="AI124">
            <v>0</v>
          </cell>
          <cell r="AJ124">
            <v>0</v>
          </cell>
          <cell r="AK124">
            <v>0</v>
          </cell>
          <cell r="AL124">
            <v>0</v>
          </cell>
          <cell r="AN124" t="str">
            <v>TRANO&amp;M%</v>
          </cell>
          <cell r="AO124">
            <v>37864.353340655398</v>
          </cell>
          <cell r="AP124">
            <v>0.4237161838242921</v>
          </cell>
          <cell r="AQ124">
            <v>0.5762838161757079</v>
          </cell>
          <cell r="AR124">
            <v>0</v>
          </cell>
        </row>
        <row r="126">
          <cell r="D126" t="str">
            <v>THRUPUT(Low Pressure)</v>
          </cell>
          <cell r="E126" t="str">
            <v>EXT</v>
          </cell>
          <cell r="F126">
            <v>120189407</v>
          </cell>
          <cell r="G126">
            <v>81344242</v>
          </cell>
          <cell r="H126">
            <v>11417671</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C126" t="str">
            <v>INTANGPT</v>
          </cell>
          <cell r="AD126" t="str">
            <v>INT</v>
          </cell>
          <cell r="AE126">
            <v>0</v>
          </cell>
          <cell r="AF126">
            <v>0</v>
          </cell>
          <cell r="AG126">
            <v>3386353.3763746638</v>
          </cell>
          <cell r="AH126">
            <v>23436383.100785717</v>
          </cell>
          <cell r="AI126">
            <v>0</v>
          </cell>
          <cell r="AJ126">
            <v>0</v>
          </cell>
          <cell r="AK126">
            <v>0</v>
          </cell>
          <cell r="AL126">
            <v>0</v>
          </cell>
          <cell r="AN126" t="str">
            <v>DISTO&amp;M</v>
          </cell>
          <cell r="AO126" t="str">
            <v>INT</v>
          </cell>
          <cell r="AP126">
            <v>5621460.3093428025</v>
          </cell>
          <cell r="AQ126">
            <v>6751639.0743979122</v>
          </cell>
          <cell r="AR126">
            <v>29907890.974153504</v>
          </cell>
        </row>
        <row r="127">
          <cell r="D127" t="str">
            <v>THRUPUT(Low Pressure)%</v>
          </cell>
          <cell r="E127">
            <v>212951320</v>
          </cell>
          <cell r="F127">
            <v>0.56439850666340086</v>
          </cell>
          <cell r="G127">
            <v>0.38198515040902303</v>
          </cell>
          <cell r="H127">
            <v>5.3616342927576124E-2</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C127" t="str">
            <v>INTANGPT%</v>
          </cell>
          <cell r="AD127">
            <v>26822736.477160379</v>
          </cell>
          <cell r="AE127">
            <v>0</v>
          </cell>
          <cell r="AF127">
            <v>0</v>
          </cell>
          <cell r="AG127">
            <v>0.12624936233699166</v>
          </cell>
          <cell r="AH127">
            <v>0.87375063766300842</v>
          </cell>
          <cell r="AI127">
            <v>0</v>
          </cell>
          <cell r="AJ127">
            <v>0</v>
          </cell>
          <cell r="AK127">
            <v>0</v>
          </cell>
          <cell r="AL127">
            <v>0</v>
          </cell>
          <cell r="AN127" t="str">
            <v>DISTO&amp;M%</v>
          </cell>
          <cell r="AO127">
            <v>42280990.357894219</v>
          </cell>
          <cell r="AP127">
            <v>0.13295479272739477</v>
          </cell>
          <cell r="AQ127">
            <v>0.15968497940203341</v>
          </cell>
          <cell r="AR127">
            <v>0.70736022787057184</v>
          </cell>
        </row>
        <row r="129">
          <cell r="D129" t="str">
            <v>Transport-Thru</v>
          </cell>
          <cell r="E129" t="str">
            <v>EXT</v>
          </cell>
          <cell r="F129">
            <v>13352868</v>
          </cell>
          <cell r="G129">
            <v>5679295</v>
          </cell>
          <cell r="H129">
            <v>593868</v>
          </cell>
          <cell r="I129">
            <v>791498</v>
          </cell>
          <cell r="J129">
            <v>3848935.3459285335</v>
          </cell>
          <cell r="K129">
            <v>438603934.83285075</v>
          </cell>
          <cell r="L129">
            <v>286600988</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C129" t="str">
            <v>O&amp;MXGAS</v>
          </cell>
          <cell r="AD129" t="str">
            <v>INT</v>
          </cell>
          <cell r="AE129">
            <v>0</v>
          </cell>
          <cell r="AF129">
            <v>0</v>
          </cell>
          <cell r="AG129">
            <v>37864.353340655405</v>
          </cell>
          <cell r="AH129">
            <v>42280990.357894219</v>
          </cell>
          <cell r="AI129">
            <v>0</v>
          </cell>
          <cell r="AJ129">
            <v>0</v>
          </cell>
          <cell r="AK129">
            <v>0</v>
          </cell>
          <cell r="AL129">
            <v>0</v>
          </cell>
          <cell r="AN129" t="str">
            <v>BBA_PPO&amp;M</v>
          </cell>
          <cell r="AO129" t="str">
            <v>INT</v>
          </cell>
          <cell r="AP129">
            <v>0</v>
          </cell>
          <cell r="AQ129">
            <v>0</v>
          </cell>
          <cell r="AR129">
            <v>0</v>
          </cell>
        </row>
        <row r="130">
          <cell r="D130" t="str">
            <v>Transport-Thru%</v>
          </cell>
          <cell r="E130">
            <v>749471387.17877936</v>
          </cell>
          <cell r="F130">
            <v>1.7816381290103607E-2</v>
          </cell>
          <cell r="G130">
            <v>7.5777342499737848E-3</v>
          </cell>
          <cell r="H130">
            <v>7.9238248472097885E-4</v>
          </cell>
          <cell r="I130">
            <v>1.0560750063847275E-3</v>
          </cell>
          <cell r="J130">
            <v>5.1355334063078861E-3</v>
          </cell>
          <cell r="K130">
            <v>0.5852177178956478</v>
          </cell>
          <cell r="L130">
            <v>0.38240417566686108</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C130" t="str">
            <v>O&amp;MXGAS%</v>
          </cell>
          <cell r="AD130">
            <v>42318854.711234875</v>
          </cell>
          <cell r="AE130">
            <v>0</v>
          </cell>
          <cell r="AF130">
            <v>0</v>
          </cell>
          <cell r="AG130">
            <v>8.9473955755714528E-4</v>
          </cell>
          <cell r="AH130">
            <v>0.99910526044244286</v>
          </cell>
          <cell r="AI130">
            <v>0</v>
          </cell>
          <cell r="AJ130">
            <v>0</v>
          </cell>
          <cell r="AK130">
            <v>0</v>
          </cell>
          <cell r="AL130">
            <v>0</v>
          </cell>
          <cell r="AN130" t="str">
            <v>BBA_PPO&amp;M%</v>
          </cell>
          <cell r="AO130">
            <v>0</v>
          </cell>
          <cell r="AP130">
            <v>0</v>
          </cell>
          <cell r="AQ130">
            <v>0</v>
          </cell>
          <cell r="AR130">
            <v>0</v>
          </cell>
        </row>
        <row r="132">
          <cell r="D132" t="str">
            <v>THRUPUT_Non_Ind</v>
          </cell>
          <cell r="E132" t="str">
            <v>EXT</v>
          </cell>
          <cell r="F132">
            <v>120189407</v>
          </cell>
          <cell r="G132">
            <v>81344242</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N132" t="str">
            <v>Comm_PassO&amp;M</v>
          </cell>
          <cell r="AO132" t="str">
            <v>INT</v>
          </cell>
          <cell r="AP132">
            <v>0</v>
          </cell>
          <cell r="AQ132">
            <v>0</v>
          </cell>
          <cell r="AR132">
            <v>0</v>
          </cell>
        </row>
        <row r="133">
          <cell r="D133" t="str">
            <v>THRUPUT_Non_Ind%</v>
          </cell>
          <cell r="E133">
            <v>201533649</v>
          </cell>
          <cell r="F133">
            <v>0.59637389387019935</v>
          </cell>
          <cell r="G133">
            <v>0.40362610612980071</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N133" t="str">
            <v>Comm_PassO&amp;M%</v>
          </cell>
          <cell r="AO133">
            <v>0</v>
          </cell>
          <cell r="AP133">
            <v>0</v>
          </cell>
          <cell r="AQ133">
            <v>0</v>
          </cell>
          <cell r="AR133">
            <v>0</v>
          </cell>
        </row>
        <row r="135">
          <cell r="D135" t="str">
            <v>THRUPUT</v>
          </cell>
          <cell r="E135" t="str">
            <v>EXT</v>
          </cell>
          <cell r="F135">
            <v>120189407</v>
          </cell>
          <cell r="G135">
            <v>81344242</v>
          </cell>
          <cell r="H135">
            <v>11417671</v>
          </cell>
          <cell r="I135">
            <v>11107096</v>
          </cell>
          <cell r="J135">
            <v>3848935.3459285335</v>
          </cell>
          <cell r="K135">
            <v>438603934.83285075</v>
          </cell>
          <cell r="L135">
            <v>286600988</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N135" t="str">
            <v>Coll_ProcessO&amp;M</v>
          </cell>
          <cell r="AO135" t="str">
            <v>INT</v>
          </cell>
          <cell r="AP135">
            <v>0</v>
          </cell>
          <cell r="AQ135">
            <v>0</v>
          </cell>
          <cell r="AR135">
            <v>0</v>
          </cell>
        </row>
        <row r="136">
          <cell r="D136" t="str">
            <v>THRUPUT%</v>
          </cell>
          <cell r="E136">
            <v>953112274.17877924</v>
          </cell>
          <cell r="F136">
            <v>0.12610204511693821</v>
          </cell>
          <cell r="G136">
            <v>8.5345918003299076E-2</v>
          </cell>
          <cell r="H136">
            <v>1.1979355747818582E-2</v>
          </cell>
          <cell r="I136">
            <v>1.1653502216798223E-2</v>
          </cell>
          <cell r="J136">
            <v>4.0382811660303651E-3</v>
          </cell>
          <cell r="K136">
            <v>0.46018076433939614</v>
          </cell>
          <cell r="L136">
            <v>0.30070013340971941</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N136" t="str">
            <v>Coll_ProcessO&amp;M%</v>
          </cell>
          <cell r="AO136">
            <v>0</v>
          </cell>
          <cell r="AP136">
            <v>0</v>
          </cell>
          <cell r="AQ136">
            <v>0</v>
          </cell>
          <cell r="AR136">
            <v>0</v>
          </cell>
        </row>
        <row r="138">
          <cell r="D138" t="str">
            <v>THRUPUTxSPL</v>
          </cell>
          <cell r="E138" t="str">
            <v>EXT</v>
          </cell>
          <cell r="F138">
            <v>120189407</v>
          </cell>
          <cell r="G138">
            <v>81344242</v>
          </cell>
          <cell r="H138">
            <v>11417671</v>
          </cell>
          <cell r="I138">
            <v>11107096</v>
          </cell>
          <cell r="J138">
            <v>3848935.3459285335</v>
          </cell>
          <cell r="K138">
            <v>438603934.83285075</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N138" t="str">
            <v>Coll_ProcessGP</v>
          </cell>
          <cell r="AO138" t="str">
            <v>INT</v>
          </cell>
          <cell r="AP138">
            <v>0</v>
          </cell>
          <cell r="AQ138">
            <v>0</v>
          </cell>
          <cell r="AR138">
            <v>0</v>
          </cell>
        </row>
        <row r="139">
          <cell r="D139" t="str">
            <v>THRUPUTxSPL%</v>
          </cell>
          <cell r="E139">
            <v>666511286.17877924</v>
          </cell>
          <cell r="F139">
            <v>0.18032613924524218</v>
          </cell>
          <cell r="G139">
            <v>0.1220448080727337</v>
          </cell>
          <cell r="H139">
            <v>1.7130499117966057E-2</v>
          </cell>
          <cell r="I139">
            <v>1.6664528013739782E-2</v>
          </cell>
          <cell r="J139">
            <v>5.7747489438552853E-3</v>
          </cell>
          <cell r="K139">
            <v>0.65805927660646302</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N139" t="str">
            <v>Coll_ProcessGP%</v>
          </cell>
          <cell r="AO139">
            <v>0</v>
          </cell>
          <cell r="AP139">
            <v>0</v>
          </cell>
          <cell r="AQ139">
            <v>0</v>
          </cell>
          <cell r="AR139">
            <v>0</v>
          </cell>
        </row>
        <row r="141">
          <cell r="D141" t="str">
            <v>Thruput_ST&gt;6"</v>
          </cell>
          <cell r="E141" t="str">
            <v>EXT</v>
          </cell>
          <cell r="F141">
            <v>120189407</v>
          </cell>
          <cell r="G141">
            <v>81344242</v>
          </cell>
          <cell r="H141">
            <v>11417671</v>
          </cell>
          <cell r="I141">
            <v>11107096</v>
          </cell>
          <cell r="J141">
            <v>3848935.3459285339</v>
          </cell>
          <cell r="K141">
            <v>438603934.83285075</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N141" t="str">
            <v>SUPPGENPTXL</v>
          </cell>
          <cell r="AO141" t="str">
            <v>INT</v>
          </cell>
          <cell r="AP141">
            <v>0</v>
          </cell>
          <cell r="AQ141">
            <v>0</v>
          </cell>
          <cell r="AR141">
            <v>0</v>
          </cell>
        </row>
        <row r="142">
          <cell r="D142" t="str">
            <v>Thruput_ST&gt;6"%</v>
          </cell>
          <cell r="E142">
            <v>666511286.17877924</v>
          </cell>
          <cell r="F142">
            <v>0.18032613924524218</v>
          </cell>
          <cell r="G142">
            <v>0.1220448080727337</v>
          </cell>
          <cell r="H142">
            <v>1.7130499117966057E-2</v>
          </cell>
          <cell r="I142">
            <v>1.6664528013739782E-2</v>
          </cell>
          <cell r="J142">
            <v>5.7747489438552861E-3</v>
          </cell>
          <cell r="K142">
            <v>0.65805927660646302</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N142" t="str">
            <v>SUPPGENPTXL%</v>
          </cell>
          <cell r="AO142">
            <v>0</v>
          </cell>
          <cell r="AP142">
            <v>0</v>
          </cell>
          <cell r="AQ142">
            <v>0</v>
          </cell>
          <cell r="AR142">
            <v>0</v>
          </cell>
        </row>
        <row r="144">
          <cell r="D144" t="str">
            <v>Thruput_ST&gt;4-6"</v>
          </cell>
          <cell r="E144" t="str">
            <v>EXT</v>
          </cell>
          <cell r="F144">
            <v>120189407</v>
          </cell>
          <cell r="G144">
            <v>81344242</v>
          </cell>
          <cell r="H144">
            <v>11417671</v>
          </cell>
          <cell r="I144">
            <v>11107096</v>
          </cell>
          <cell r="J144">
            <v>3848935.3459285339</v>
          </cell>
          <cell r="K144">
            <v>280902644.25604391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N144" t="str">
            <v>STORGENPTXL</v>
          </cell>
          <cell r="AO144" t="str">
            <v>INT</v>
          </cell>
          <cell r="AP144">
            <v>0</v>
          </cell>
          <cell r="AQ144">
            <v>0</v>
          </cell>
          <cell r="AR144">
            <v>0</v>
          </cell>
        </row>
        <row r="145">
          <cell r="D145" t="str">
            <v>Thruput_ST&gt;4-6"%</v>
          </cell>
          <cell r="E145">
            <v>508809995.60197246</v>
          </cell>
          <cell r="F145">
            <v>0.23621667820775427</v>
          </cell>
          <cell r="G145">
            <v>0.15987154871783077</v>
          </cell>
          <cell r="H145">
            <v>2.243995027356286E-2</v>
          </cell>
          <cell r="I145">
            <v>2.1829555425418104E-2</v>
          </cell>
          <cell r="J145">
            <v>7.5645828092957635E-3</v>
          </cell>
          <cell r="K145">
            <v>0.55207768456613815</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N145" t="str">
            <v>STORGENPTXL%</v>
          </cell>
          <cell r="AO145">
            <v>0</v>
          </cell>
          <cell r="AP145">
            <v>0</v>
          </cell>
          <cell r="AQ145">
            <v>0</v>
          </cell>
          <cell r="AR145">
            <v>0</v>
          </cell>
        </row>
        <row r="147">
          <cell r="D147" t="str">
            <v>Thruput_ST&gt;4"x663</v>
          </cell>
          <cell r="E147" t="str">
            <v>EXT</v>
          </cell>
          <cell r="F147">
            <v>120189407</v>
          </cell>
          <cell r="G147">
            <v>81344242</v>
          </cell>
          <cell r="H147">
            <v>11417671</v>
          </cell>
          <cell r="I147">
            <v>11107096</v>
          </cell>
          <cell r="J147">
            <v>3848935.3459285339</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N147" t="str">
            <v>TRANGENPTXL</v>
          </cell>
          <cell r="AO147" t="str">
            <v>INT</v>
          </cell>
          <cell r="AP147">
            <v>522381.96493152122</v>
          </cell>
          <cell r="AQ147">
            <v>710476.21909324615</v>
          </cell>
          <cell r="AR147">
            <v>0</v>
          </cell>
        </row>
        <row r="148">
          <cell r="D148" t="str">
            <v>Thruput_ST&gt;4"x663%</v>
          </cell>
          <cell r="E148">
            <v>227907351.34592852</v>
          </cell>
          <cell r="F148">
            <v>0.5273608169732571</v>
          </cell>
          <cell r="G148">
            <v>0.35691802620500762</v>
          </cell>
          <cell r="H148">
            <v>5.009786183978647E-2</v>
          </cell>
          <cell r="I148">
            <v>4.8735137038827356E-2</v>
          </cell>
          <cell r="J148">
            <v>1.6888157943121537E-2</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N148" t="str">
            <v>TRANGENPTXL%</v>
          </cell>
          <cell r="AO148">
            <v>1232858.1840247675</v>
          </cell>
          <cell r="AP148">
            <v>0.42371618382429199</v>
          </cell>
          <cell r="AQ148">
            <v>0.5762838161757079</v>
          </cell>
          <cell r="AR148">
            <v>0</v>
          </cell>
        </row>
        <row r="150">
          <cell r="D150" t="str">
            <v>Thruput_ST2-4"</v>
          </cell>
          <cell r="E150" t="str">
            <v>EXT</v>
          </cell>
          <cell r="F150">
            <v>120189407</v>
          </cell>
          <cell r="G150">
            <v>81344242</v>
          </cell>
          <cell r="H150">
            <v>11417671</v>
          </cell>
          <cell r="I150">
            <v>11107096</v>
          </cell>
          <cell r="J150">
            <v>2190146.7000613231</v>
          </cell>
          <cell r="K150">
            <v>236394764.10733354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N150" t="str">
            <v>DISTGENPTXL</v>
          </cell>
          <cell r="AO150" t="str">
            <v>INT</v>
          </cell>
          <cell r="AP150">
            <v>12508484.842176106</v>
          </cell>
          <cell r="AQ150">
            <v>12467893.245075509</v>
          </cell>
          <cell r="AR150">
            <v>18080970.579910316</v>
          </cell>
        </row>
        <row r="151">
          <cell r="D151" t="str">
            <v>Thruput_ST2-4"%</v>
          </cell>
          <cell r="E151">
            <v>462643326.80739486</v>
          </cell>
          <cell r="F151">
            <v>0.25978848074909466</v>
          </cell>
          <cell r="G151">
            <v>0.17582495474719079</v>
          </cell>
          <cell r="H151">
            <v>2.467920823324302E-2</v>
          </cell>
          <cell r="I151">
            <v>2.4007902754477738E-2</v>
          </cell>
          <cell r="J151">
            <v>4.7339852823017441E-3</v>
          </cell>
          <cell r="K151">
            <v>0.51096546823369204</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N151" t="str">
            <v>DISTGENPTXL%</v>
          </cell>
          <cell r="AO151">
            <v>43057348.667161927</v>
          </cell>
          <cell r="AP151">
            <v>0.29050754933537776</v>
          </cell>
          <cell r="AQ151">
            <v>0.28956481601906575</v>
          </cell>
          <cell r="AR151">
            <v>0.41992763464555655</v>
          </cell>
        </row>
        <row r="153">
          <cell r="D153" t="str">
            <v>Thruput_ST&lt;=2"</v>
          </cell>
          <cell r="E153" t="str">
            <v>EXT</v>
          </cell>
          <cell r="F153">
            <v>120189407</v>
          </cell>
          <cell r="G153">
            <v>81344242</v>
          </cell>
          <cell r="H153">
            <v>11417671</v>
          </cell>
          <cell r="I153">
            <v>11107096</v>
          </cell>
          <cell r="J153">
            <v>870861.11394727172</v>
          </cell>
          <cell r="K153">
            <v>105630149.01877874</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N153" t="str">
            <v>BBA_PPGENPTXL</v>
          </cell>
          <cell r="AO153" t="str">
            <v>INT</v>
          </cell>
          <cell r="AP153">
            <v>0</v>
          </cell>
          <cell r="AQ153">
            <v>0</v>
          </cell>
          <cell r="AR153">
            <v>0</v>
          </cell>
        </row>
        <row r="154">
          <cell r="D154" t="str">
            <v>Thruput_ST&lt;=2"%</v>
          </cell>
          <cell r="E154">
            <v>330559426.13272601</v>
          </cell>
          <cell r="F154">
            <v>0.36359394861649363</v>
          </cell>
          <cell r="G154">
            <v>0.24608053974337041</v>
          </cell>
          <cell r="H154">
            <v>3.4540449000584797E-2</v>
          </cell>
          <cell r="I154">
            <v>3.3600905380142709E-2</v>
          </cell>
          <cell r="J154">
            <v>2.6345069754495644E-3</v>
          </cell>
          <cell r="K154">
            <v>0.31954965028395887</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N154" t="str">
            <v>BBA_PPGENPTXL%</v>
          </cell>
          <cell r="AO154">
            <v>0</v>
          </cell>
          <cell r="AP154">
            <v>0</v>
          </cell>
          <cell r="AQ154">
            <v>0</v>
          </cell>
          <cell r="AR154">
            <v>0</v>
          </cell>
        </row>
        <row r="156">
          <cell r="D156" t="str">
            <v>Thruput_PL6"</v>
          </cell>
          <cell r="E156" t="str">
            <v>EXT</v>
          </cell>
          <cell r="F156">
            <v>120189407</v>
          </cell>
          <cell r="G156">
            <v>81344242</v>
          </cell>
          <cell r="H156">
            <v>11417671</v>
          </cell>
          <cell r="I156">
            <v>11107096</v>
          </cell>
          <cell r="J156">
            <v>559283.32403241436</v>
          </cell>
          <cell r="K156">
            <v>50473066.345322646</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N156" t="str">
            <v>Comm_PassGENPTXL</v>
          </cell>
          <cell r="AO156" t="str">
            <v>INT</v>
          </cell>
          <cell r="AP156">
            <v>0</v>
          </cell>
          <cell r="AQ156">
            <v>0</v>
          </cell>
          <cell r="AR156">
            <v>0</v>
          </cell>
        </row>
        <row r="157">
          <cell r="D157" t="str">
            <v>Thruput_PL6"%</v>
          </cell>
          <cell r="E157">
            <v>275090765.66935509</v>
          </cell>
          <cell r="F157">
            <v>0.43690818449522756</v>
          </cell>
          <cell r="G157">
            <v>0.29569964590440517</v>
          </cell>
          <cell r="H157">
            <v>4.1505104586910965E-2</v>
          </cell>
          <cell r="I157">
            <v>4.0376113581908291E-2</v>
          </cell>
          <cell r="J157">
            <v>2.0330865075443645E-3</v>
          </cell>
          <cell r="K157">
            <v>0.18347786492400356</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N157" t="str">
            <v>Comm_PassGENPTXL%</v>
          </cell>
          <cell r="AO157">
            <v>0</v>
          </cell>
          <cell r="AP157">
            <v>0</v>
          </cell>
          <cell r="AQ157">
            <v>0</v>
          </cell>
          <cell r="AR157">
            <v>0</v>
          </cell>
        </row>
        <row r="159">
          <cell r="D159" t="str">
            <v>Thruput_PL4"</v>
          </cell>
          <cell r="E159" t="str">
            <v>EXT</v>
          </cell>
          <cell r="F159">
            <v>120189407</v>
          </cell>
          <cell r="G159">
            <v>81344242</v>
          </cell>
          <cell r="H159">
            <v>11417671</v>
          </cell>
          <cell r="I159">
            <v>11107096</v>
          </cell>
          <cell r="J159">
            <v>559283.32403241436</v>
          </cell>
          <cell r="K159">
            <v>49880983.159784302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N159" t="str">
            <v>COLLPGENPTXL</v>
          </cell>
          <cell r="AO159" t="str">
            <v>INT</v>
          </cell>
          <cell r="AP159">
            <v>0</v>
          </cell>
          <cell r="AQ159">
            <v>0</v>
          </cell>
          <cell r="AR159">
            <v>0</v>
          </cell>
        </row>
        <row r="160">
          <cell r="D160" t="str">
            <v>Thruput_PL4"%</v>
          </cell>
          <cell r="E160">
            <v>274498682.48381674</v>
          </cell>
          <cell r="F160">
            <v>0.43785057878041306</v>
          </cell>
          <cell r="G160">
            <v>0.29633745875918988</v>
          </cell>
          <cell r="H160">
            <v>4.1594629514016469E-2</v>
          </cell>
          <cell r="I160">
            <v>4.0463203318488884E-2</v>
          </cell>
          <cell r="J160">
            <v>2.0374717975755212E-3</v>
          </cell>
          <cell r="K160">
            <v>0.18171665783031607</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N160" t="str">
            <v>COLLPGENPTXL%</v>
          </cell>
          <cell r="AO160">
            <v>0</v>
          </cell>
          <cell r="AP160">
            <v>0</v>
          </cell>
          <cell r="AQ160">
            <v>0</v>
          </cell>
          <cell r="AR160">
            <v>0</v>
          </cell>
        </row>
        <row r="162">
          <cell r="D162" t="str">
            <v>Thruput_PL&lt;=2"</v>
          </cell>
          <cell r="E162" t="str">
            <v>EXT</v>
          </cell>
          <cell r="F162">
            <v>120189407</v>
          </cell>
          <cell r="G162">
            <v>81344242</v>
          </cell>
          <cell r="H162">
            <v>11417671</v>
          </cell>
          <cell r="I162">
            <v>11107096</v>
          </cell>
          <cell r="J162">
            <v>559283.32403241436</v>
          </cell>
          <cell r="K162">
            <v>40157461.267831214</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N162" t="str">
            <v>SUPPOPERREV</v>
          </cell>
          <cell r="AO162" t="str">
            <v>INT</v>
          </cell>
          <cell r="AP162">
            <v>550.54996161149381</v>
          </cell>
          <cell r="AQ162">
            <v>533742.78850186756</v>
          </cell>
          <cell r="AR162">
            <v>0</v>
          </cell>
        </row>
        <row r="163">
          <cell r="D163" t="str">
            <v>Thruput_PL&lt;=2"%</v>
          </cell>
          <cell r="E163">
            <v>264775160.59186363</v>
          </cell>
          <cell r="F163">
            <v>0.45393006931365953</v>
          </cell>
          <cell r="G163">
            <v>0.30722006482091302</v>
          </cell>
          <cell r="H163">
            <v>4.3122137947070163E-2</v>
          </cell>
          <cell r="I163">
            <v>4.1949161602515196E-2</v>
          </cell>
          <cell r="J163">
            <v>2.1122952877536683E-3</v>
          </cell>
          <cell r="K163">
            <v>0.15166627102808838</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N163" t="str">
            <v>SUPPOPERREV%</v>
          </cell>
          <cell r="AO163">
            <v>534293.33846347907</v>
          </cell>
          <cell r="AP163">
            <v>1.0304264005887955E-3</v>
          </cell>
          <cell r="AQ163">
            <v>0.99896957359941119</v>
          </cell>
          <cell r="AR163">
            <v>0</v>
          </cell>
        </row>
        <row r="165">
          <cell r="D165" t="str">
            <v>HP_Mains-Direct</v>
          </cell>
          <cell r="E165" t="str">
            <v>EXT</v>
          </cell>
          <cell r="F165">
            <v>0</v>
          </cell>
          <cell r="G165">
            <v>0</v>
          </cell>
          <cell r="H165">
            <v>0</v>
          </cell>
          <cell r="I165">
            <v>0</v>
          </cell>
          <cell r="J165">
            <v>0</v>
          </cell>
          <cell r="K165">
            <v>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N165" t="str">
            <v>SUPPREVREQ</v>
          </cell>
          <cell r="AO165" t="str">
            <v>INT</v>
          </cell>
          <cell r="AP165">
            <v>111570.95204530822</v>
          </cell>
          <cell r="AQ165">
            <v>108164917.28773145</v>
          </cell>
          <cell r="AR165">
            <v>0</v>
          </cell>
        </row>
        <row r="166">
          <cell r="D166" t="str">
            <v>HP_Mains-Direct%</v>
          </cell>
          <cell r="E166">
            <v>1</v>
          </cell>
          <cell r="F166">
            <v>0</v>
          </cell>
          <cell r="G166">
            <v>0</v>
          </cell>
          <cell r="H166">
            <v>0</v>
          </cell>
          <cell r="I166">
            <v>0</v>
          </cell>
          <cell r="J166">
            <v>0</v>
          </cell>
          <cell r="K166">
            <v>1</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N166" t="str">
            <v>SUPPREVREQ%</v>
          </cell>
          <cell r="AO166">
            <v>108276488.23977676</v>
          </cell>
          <cell r="AP166">
            <v>1.0304264005887955E-3</v>
          </cell>
          <cell r="AQ166">
            <v>0.99896957359941119</v>
          </cell>
          <cell r="AR166">
            <v>0</v>
          </cell>
        </row>
        <row r="168">
          <cell r="D168" t="str">
            <v>Mains-Direct</v>
          </cell>
          <cell r="E168" t="str">
            <v>EXT</v>
          </cell>
          <cell r="F168">
            <v>0</v>
          </cell>
          <cell r="G168">
            <v>0</v>
          </cell>
          <cell r="H168">
            <v>0</v>
          </cell>
          <cell r="I168">
            <v>0</v>
          </cell>
          <cell r="J168">
            <v>0</v>
          </cell>
          <cell r="K168">
            <v>0</v>
          </cell>
          <cell r="L168">
            <v>1</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N168" t="str">
            <v>STORREVREQ</v>
          </cell>
          <cell r="AO168" t="str">
            <v>INT</v>
          </cell>
          <cell r="AP168">
            <v>0</v>
          </cell>
          <cell r="AQ168">
            <v>0</v>
          </cell>
          <cell r="AR168">
            <v>0</v>
          </cell>
        </row>
        <row r="169">
          <cell r="D169" t="str">
            <v>Mains-Direct%</v>
          </cell>
          <cell r="E169">
            <v>1</v>
          </cell>
          <cell r="F169">
            <v>0</v>
          </cell>
          <cell r="G169">
            <v>0</v>
          </cell>
          <cell r="H169">
            <v>0</v>
          </cell>
          <cell r="I169">
            <v>0</v>
          </cell>
          <cell r="J169">
            <v>0</v>
          </cell>
          <cell r="K169">
            <v>0</v>
          </cell>
          <cell r="L169">
            <v>1</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N169" t="str">
            <v>STORREVREQ%</v>
          </cell>
          <cell r="AO169">
            <v>0</v>
          </cell>
          <cell r="AP169">
            <v>0</v>
          </cell>
          <cell r="AQ169">
            <v>0</v>
          </cell>
          <cell r="AR169">
            <v>0</v>
          </cell>
        </row>
        <row r="171">
          <cell r="D171" t="str">
            <v>BILLCOM-THRUPUT</v>
          </cell>
          <cell r="E171" t="str">
            <v>EXT</v>
          </cell>
          <cell r="F171">
            <v>120189407</v>
          </cell>
          <cell r="G171">
            <v>81344242</v>
          </cell>
          <cell r="H171">
            <v>11417671</v>
          </cell>
          <cell r="I171">
            <v>11107096</v>
          </cell>
          <cell r="J171">
            <v>3848935.3459285335</v>
          </cell>
          <cell r="K171">
            <v>438603934.83285075</v>
          </cell>
          <cell r="L171">
            <v>286600988</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N171" t="str">
            <v>TRANREVREQ</v>
          </cell>
          <cell r="AO171" t="str">
            <v>INT</v>
          </cell>
          <cell r="AP171">
            <v>579699.69417049515</v>
          </cell>
          <cell r="AQ171">
            <v>1035335.4739946506</v>
          </cell>
          <cell r="AR171">
            <v>0</v>
          </cell>
        </row>
        <row r="172">
          <cell r="D172" t="str">
            <v>BILLCOM-THRUPUT%</v>
          </cell>
          <cell r="E172">
            <v>953112274.17877924</v>
          </cell>
          <cell r="F172">
            <v>0.12610204511693821</v>
          </cell>
          <cell r="G172">
            <v>8.5345918003299076E-2</v>
          </cell>
          <cell r="H172">
            <v>1.1979355747818582E-2</v>
          </cell>
          <cell r="I172">
            <v>1.1653502216798223E-2</v>
          </cell>
          <cell r="J172">
            <v>4.0382811660303651E-3</v>
          </cell>
          <cell r="K172">
            <v>0.46018076433939614</v>
          </cell>
          <cell r="L172">
            <v>0.30070013340971941</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N172" t="str">
            <v>TRANREVREQ%</v>
          </cell>
          <cell r="AO172">
            <v>1615035.1681651459</v>
          </cell>
          <cell r="AP172">
            <v>0.3589393628060103</v>
          </cell>
          <cell r="AQ172">
            <v>0.64106063719398965</v>
          </cell>
          <cell r="AR172">
            <v>0</v>
          </cell>
        </row>
        <row r="174">
          <cell r="D174" t="str">
            <v>Revenues</v>
          </cell>
          <cell r="E174" t="str">
            <v>EXT</v>
          </cell>
          <cell r="F174">
            <v>109247922.01915</v>
          </cell>
          <cell r="G174">
            <v>66969194.382099994</v>
          </cell>
          <cell r="H174">
            <v>7820969.71483</v>
          </cell>
          <cell r="I174">
            <v>7152646.4782490907</v>
          </cell>
          <cell r="J174">
            <v>2087539.2325518094</v>
          </cell>
          <cell r="K174">
            <v>16899197.012163844</v>
          </cell>
          <cell r="L174">
            <v>6104709.8136834996</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N174" t="str">
            <v>DISTREVREQ</v>
          </cell>
          <cell r="AO174" t="str">
            <v>INT</v>
          </cell>
          <cell r="AP174">
            <v>23813171.857790668</v>
          </cell>
          <cell r="AQ174">
            <v>25929189.474400099</v>
          </cell>
          <cell r="AR174">
            <v>63443004.478227243</v>
          </cell>
        </row>
        <row r="175">
          <cell r="D175" t="str">
            <v>Revenues%</v>
          </cell>
          <cell r="E175">
            <v>216282178.65272829</v>
          </cell>
          <cell r="F175">
            <v>0.50511753996413655</v>
          </cell>
          <cell r="G175">
            <v>0.30963806079292616</v>
          </cell>
          <cell r="H175">
            <v>3.6160953082443638E-2</v>
          </cell>
          <cell r="I175">
            <v>3.3070900814873329E-2</v>
          </cell>
          <cell r="J175">
            <v>9.6519243774756385E-3</v>
          </cell>
          <cell r="K175">
            <v>7.813494906252956E-2</v>
          </cell>
          <cell r="L175">
            <v>2.8225671905614917E-2</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N175" t="str">
            <v>DISTREVREQ%</v>
          </cell>
          <cell r="AO175">
            <v>113185365.81041801</v>
          </cell>
          <cell r="AP175">
            <v>0.21039090775813715</v>
          </cell>
          <cell r="AQ175">
            <v>0.22908605974583932</v>
          </cell>
          <cell r="AR175">
            <v>0.56052303249602353</v>
          </cell>
        </row>
        <row r="177">
          <cell r="D177" t="str">
            <v>Margin</v>
          </cell>
          <cell r="E177" t="str">
            <v>EXT</v>
          </cell>
          <cell r="F177">
            <v>45209616.86332</v>
          </cell>
          <cell r="G177">
            <v>23571672.426419999</v>
          </cell>
          <cell r="H177">
            <v>2065869.4918</v>
          </cell>
          <cell r="I177">
            <v>1562706.0749690908</v>
          </cell>
          <cell r="J177">
            <v>214145.28759815486</v>
          </cell>
          <cell r="K177">
            <v>14461764.212163845</v>
          </cell>
          <cell r="L177">
            <v>5811768.1036834996</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N177" t="str">
            <v>BBA_PPREVREQ</v>
          </cell>
          <cell r="AO177" t="str">
            <v>INT</v>
          </cell>
          <cell r="AP177">
            <v>0</v>
          </cell>
          <cell r="AQ177">
            <v>0</v>
          </cell>
          <cell r="AR177">
            <v>0</v>
          </cell>
        </row>
        <row r="178">
          <cell r="D178" t="str">
            <v>Margin%</v>
          </cell>
          <cell r="E178">
            <v>92897542.45995459</v>
          </cell>
          <cell r="F178">
            <v>0.48666106407291176</v>
          </cell>
          <cell r="G178">
            <v>0.25373838534621146</v>
          </cell>
          <cell r="H178">
            <v>2.2238150085515294E-2</v>
          </cell>
          <cell r="I178">
            <v>1.6821823630509145E-2</v>
          </cell>
          <cell r="J178">
            <v>2.3051771007878558E-3</v>
          </cell>
          <cell r="K178">
            <v>0.15567434648120954</v>
          </cell>
          <cell r="L178">
            <v>6.2561053282854953E-2</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N178" t="str">
            <v>BBA_PPREVREQ%</v>
          </cell>
          <cell r="AO178">
            <v>0</v>
          </cell>
          <cell r="AP178">
            <v>0</v>
          </cell>
          <cell r="AQ178">
            <v>0</v>
          </cell>
          <cell r="AR178">
            <v>0</v>
          </cell>
        </row>
        <row r="180">
          <cell r="D180" t="str">
            <v>OtherRevenue</v>
          </cell>
          <cell r="E180" t="str">
            <v>EXT</v>
          </cell>
          <cell r="F180">
            <v>279746.08</v>
          </cell>
          <cell r="G180">
            <v>58948.020000000026</v>
          </cell>
          <cell r="H180">
            <v>14945.880000000001</v>
          </cell>
          <cell r="I180">
            <v>8719.4</v>
          </cell>
          <cell r="J180">
            <v>4793.5199999999995</v>
          </cell>
          <cell r="K180">
            <v>1983884.8800000001</v>
          </cell>
          <cell r="L180">
            <v>267590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N180" t="str">
            <v>Comm_PassRevReq</v>
          </cell>
          <cell r="AO180" t="str">
            <v>INT</v>
          </cell>
          <cell r="AP180">
            <v>0</v>
          </cell>
          <cell r="AQ180">
            <v>0</v>
          </cell>
          <cell r="AR180">
            <v>0</v>
          </cell>
        </row>
        <row r="181">
          <cell r="D181" t="str">
            <v>OtherRevenue%</v>
          </cell>
          <cell r="E181">
            <v>2618627.7800000003</v>
          </cell>
          <cell r="F181">
            <v>0.10682926460056114</v>
          </cell>
          <cell r="G181">
            <v>2.2511034386108904E-2</v>
          </cell>
          <cell r="H181">
            <v>5.7075236557675253E-3</v>
          </cell>
          <cell r="I181">
            <v>3.3297592222137043E-3</v>
          </cell>
          <cell r="J181">
            <v>1.8305465315120117E-3</v>
          </cell>
          <cell r="K181">
            <v>0.75760476351472905</v>
          </cell>
          <cell r="L181">
            <v>0.10218710808910764</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N181" t="str">
            <v>Comm_PassRevReq%</v>
          </cell>
          <cell r="AO181">
            <v>0</v>
          </cell>
          <cell r="AP181">
            <v>0</v>
          </cell>
          <cell r="AQ181">
            <v>0</v>
          </cell>
          <cell r="AR181">
            <v>0</v>
          </cell>
        </row>
        <row r="183">
          <cell r="D183" t="str">
            <v>RevenueTaxes</v>
          </cell>
          <cell r="E183" t="str">
            <v>EXT</v>
          </cell>
          <cell r="F183">
            <v>4461618</v>
          </cell>
          <cell r="G183">
            <v>3291556.879999999</v>
          </cell>
          <cell r="H183">
            <v>275417.37999999989</v>
          </cell>
          <cell r="I183">
            <v>259311.82000000007</v>
          </cell>
          <cell r="J183">
            <v>76441.500000000116</v>
          </cell>
          <cell r="K183">
            <v>2437432.7999999989</v>
          </cell>
          <cell r="L183">
            <v>292941.70999999996</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N183" t="str">
            <v>Comm_PassRevReqXGAS</v>
          </cell>
          <cell r="AO183" t="str">
            <v>INT</v>
          </cell>
          <cell r="AP183">
            <v>0</v>
          </cell>
          <cell r="AQ183">
            <v>0</v>
          </cell>
          <cell r="AR183">
            <v>0</v>
          </cell>
        </row>
        <row r="184">
          <cell r="D184" t="str">
            <v>RevenueTaxes%</v>
          </cell>
          <cell r="E184">
            <v>11094720.09</v>
          </cell>
          <cell r="F184">
            <v>0.40213885197711197</v>
          </cell>
          <cell r="G184">
            <v>0.29667777585184657</v>
          </cell>
          <cell r="H184">
            <v>2.482418463609927E-2</v>
          </cell>
          <cell r="I184">
            <v>2.3372542785800022E-2</v>
          </cell>
          <cell r="J184">
            <v>6.8898989230831613E-3</v>
          </cell>
          <cell r="K184">
            <v>0.21969304139515239</v>
          </cell>
          <cell r="L184">
            <v>2.6403704430906463E-2</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N184" t="str">
            <v>Comm_PassRevReqXGAS%</v>
          </cell>
          <cell r="AO184">
            <v>0</v>
          </cell>
          <cell r="AP184">
            <v>0</v>
          </cell>
          <cell r="AQ184">
            <v>0</v>
          </cell>
          <cell r="AR184">
            <v>0</v>
          </cell>
        </row>
        <row r="186">
          <cell r="D186" t="str">
            <v>Gas_Revenue</v>
          </cell>
          <cell r="E186" t="str">
            <v>EXT</v>
          </cell>
          <cell r="F186">
            <v>59576687.155830003</v>
          </cell>
          <cell r="G186">
            <v>40105965.075679995</v>
          </cell>
          <cell r="H186">
            <v>5479682.8430300001</v>
          </cell>
          <cell r="I186">
            <v>5330628.5832799999</v>
          </cell>
          <cell r="J186">
            <v>1796952.4449536544</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N186" t="str">
            <v>COLLP_REVREQ</v>
          </cell>
          <cell r="AO186" t="str">
            <v>INT</v>
          </cell>
          <cell r="AP186">
            <v>0</v>
          </cell>
          <cell r="AQ186">
            <v>0</v>
          </cell>
          <cell r="AR186">
            <v>0</v>
          </cell>
        </row>
        <row r="187">
          <cell r="D187" t="str">
            <v>Gas_Revenue%</v>
          </cell>
          <cell r="E187">
            <v>112289916.10277365</v>
          </cell>
          <cell r="F187">
            <v>0.53056132931208422</v>
          </cell>
          <cell r="G187">
            <v>0.35716444065175812</v>
          </cell>
          <cell r="H187">
            <v>4.8799420582118037E-2</v>
          </cell>
          <cell r="I187">
            <v>4.7472015015142831E-2</v>
          </cell>
          <cell r="J187">
            <v>1.6002794438896802E-2</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N187" t="str">
            <v>COLLP_REVREQ%</v>
          </cell>
          <cell r="AO187">
            <v>0</v>
          </cell>
          <cell r="AP187">
            <v>0</v>
          </cell>
          <cell r="AQ187">
            <v>0</v>
          </cell>
          <cell r="AR187">
            <v>0</v>
          </cell>
        </row>
        <row r="189">
          <cell r="D189" t="str">
            <v>MREquipment</v>
          </cell>
          <cell r="E189" t="str">
            <v>EXT</v>
          </cell>
          <cell r="F189">
            <v>21525.093920454547</v>
          </cell>
          <cell r="G189">
            <v>1532401.3990514772</v>
          </cell>
          <cell r="H189">
            <v>297807.76942795439</v>
          </cell>
          <cell r="I189">
            <v>90198.296249999999</v>
          </cell>
          <cell r="J189">
            <v>5898.46</v>
          </cell>
          <cell r="K189">
            <v>1150375.5413501144</v>
          </cell>
          <cell r="L189">
            <v>902584.35</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N189" t="str">
            <v>SUPPBASE</v>
          </cell>
          <cell r="AO189" t="str">
            <v>INT</v>
          </cell>
          <cell r="AP189">
            <v>0</v>
          </cell>
          <cell r="AQ189">
            <v>0</v>
          </cell>
          <cell r="AR189">
            <v>0</v>
          </cell>
        </row>
        <row r="190">
          <cell r="D190" t="str">
            <v>MREquipment%</v>
          </cell>
          <cell r="E190">
            <v>4000790.9100000006</v>
          </cell>
          <cell r="F190">
            <v>5.3802096647071578E-3</v>
          </cell>
          <cell r="G190">
            <v>0.38302461526325476</v>
          </cell>
          <cell r="H190">
            <v>7.4437224070766139E-2</v>
          </cell>
          <cell r="I190">
            <v>2.2545116273022123E-2</v>
          </cell>
          <cell r="J190">
            <v>1.4743234857029805E-3</v>
          </cell>
          <cell r="K190">
            <v>0.28753703135916048</v>
          </cell>
          <cell r="L190">
            <v>0.22560147988338633</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N190" t="str">
            <v>SUPPBASE%</v>
          </cell>
          <cell r="AO190">
            <v>0</v>
          </cell>
          <cell r="AP190">
            <v>0</v>
          </cell>
          <cell r="AQ190">
            <v>0</v>
          </cell>
          <cell r="AR190">
            <v>0</v>
          </cell>
        </row>
        <row r="192">
          <cell r="D192" t="str">
            <v>Write-offs</v>
          </cell>
          <cell r="E192" t="str">
            <v>EXT</v>
          </cell>
          <cell r="F192">
            <v>6335220.29</v>
          </cell>
          <cell r="G192">
            <v>998898.33000000007</v>
          </cell>
          <cell r="H192">
            <v>7907.01</v>
          </cell>
          <cell r="I192">
            <v>121018.45</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N192" t="str">
            <v>STORBASE</v>
          </cell>
          <cell r="AO192" t="str">
            <v>INT</v>
          </cell>
          <cell r="AP192">
            <v>0</v>
          </cell>
          <cell r="AQ192">
            <v>0</v>
          </cell>
          <cell r="AR192">
            <v>0</v>
          </cell>
        </row>
        <row r="193">
          <cell r="D193" t="str">
            <v>Write-offs%</v>
          </cell>
          <cell r="E193">
            <v>7463044.0800000001</v>
          </cell>
          <cell r="F193">
            <v>0.84887885185853007</v>
          </cell>
          <cell r="G193">
            <v>0.13384596409887478</v>
          </cell>
          <cell r="H193">
            <v>1.0594885833770931E-3</v>
          </cell>
          <cell r="I193">
            <v>1.621569545921803E-2</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N193" t="str">
            <v>STORBASE%</v>
          </cell>
          <cell r="AO193">
            <v>0</v>
          </cell>
          <cell r="AP193">
            <v>0</v>
          </cell>
          <cell r="AQ193">
            <v>0</v>
          </cell>
          <cell r="AR193">
            <v>0</v>
          </cell>
        </row>
        <row r="195">
          <cell r="D195" t="str">
            <v>AdvConstruction</v>
          </cell>
          <cell r="E195" t="str">
            <v>EXT</v>
          </cell>
          <cell r="F195">
            <v>281212.65000000002</v>
          </cell>
          <cell r="G195">
            <v>218551.64</v>
          </cell>
          <cell r="H195">
            <v>197492.31000000003</v>
          </cell>
          <cell r="I195">
            <v>0</v>
          </cell>
          <cell r="J195">
            <v>0</v>
          </cell>
          <cell r="K195">
            <v>2663250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N195" t="str">
            <v>TRANBASE</v>
          </cell>
          <cell r="AO195" t="str">
            <v>INT</v>
          </cell>
          <cell r="AP195">
            <v>3655873.9847554266</v>
          </cell>
          <cell r="AQ195">
            <v>4105831.0844780672</v>
          </cell>
          <cell r="AR195">
            <v>0</v>
          </cell>
        </row>
        <row r="196">
          <cell r="D196" t="str">
            <v>AdvConstruction%</v>
          </cell>
          <cell r="E196">
            <v>3360506.6</v>
          </cell>
          <cell r="F196">
            <v>8.368162407417977E-2</v>
          </cell>
          <cell r="G196">
            <v>6.5035325328627533E-2</v>
          </cell>
          <cell r="H196">
            <v>5.8768612446706704E-2</v>
          </cell>
          <cell r="I196">
            <v>0</v>
          </cell>
          <cell r="J196">
            <v>0</v>
          </cell>
          <cell r="K196">
            <v>0.79251443815048594</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N196" t="str">
            <v>TRANBASE%</v>
          </cell>
          <cell r="AO196">
            <v>7761705.0692334939</v>
          </cell>
          <cell r="AP196">
            <v>0.47101428773001058</v>
          </cell>
          <cell r="AQ196">
            <v>0.52898571226998936</v>
          </cell>
          <cell r="AR196">
            <v>0</v>
          </cell>
        </row>
        <row r="198">
          <cell r="D198" t="str">
            <v>BILLCUST</v>
          </cell>
          <cell r="E198" t="str">
            <v>EXT</v>
          </cell>
          <cell r="F198">
            <v>2179888</v>
          </cell>
          <cell r="G198">
            <v>305527</v>
          </cell>
          <cell r="H198">
            <v>5408</v>
          </cell>
          <cell r="I198">
            <v>1042</v>
          </cell>
          <cell r="J198">
            <v>120</v>
          </cell>
          <cell r="K198">
            <v>2302</v>
          </cell>
          <cell r="L198">
            <v>134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N198" t="str">
            <v>DISTBASE</v>
          </cell>
          <cell r="AO198" t="str">
            <v>INT</v>
          </cell>
          <cell r="AP198">
            <v>99765676.409031928</v>
          </cell>
          <cell r="AQ198">
            <v>105018714.93202434</v>
          </cell>
          <cell r="AR198">
            <v>88314629.287351757</v>
          </cell>
        </row>
        <row r="199">
          <cell r="D199" t="str">
            <v>BILLCUST%</v>
          </cell>
          <cell r="E199">
            <v>2494421</v>
          </cell>
          <cell r="F199">
            <v>0.87390540730694621</v>
          </cell>
          <cell r="G199">
            <v>0.12248413559699826</v>
          </cell>
          <cell r="H199">
            <v>2.1680381940338057E-3</v>
          </cell>
          <cell r="I199">
            <v>4.1773221120251953E-4</v>
          </cell>
          <cell r="J199">
            <v>4.8107356376489773E-5</v>
          </cell>
          <cell r="K199">
            <v>9.2285945315566213E-4</v>
          </cell>
          <cell r="L199">
            <v>5.371988128708025E-5</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N199" t="str">
            <v>DISTBASE%</v>
          </cell>
          <cell r="AO199">
            <v>293099020.62840807</v>
          </cell>
          <cell r="AP199">
            <v>0.34038215547473694</v>
          </cell>
          <cell r="AQ199">
            <v>0.35830455764356656</v>
          </cell>
          <cell r="AR199">
            <v>0.30131328688169634</v>
          </cell>
        </row>
        <row r="201">
          <cell r="D201" t="str">
            <v>CollDollars</v>
          </cell>
          <cell r="E201" t="str">
            <v>EXT</v>
          </cell>
          <cell r="F201">
            <v>1093656.8900000001</v>
          </cell>
          <cell r="G201">
            <v>259636.05</v>
          </cell>
          <cell r="H201">
            <v>76651.62</v>
          </cell>
          <cell r="I201">
            <v>51621.7</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N201" t="str">
            <v>BBA_PPBASE</v>
          </cell>
          <cell r="AO201" t="str">
            <v>INT</v>
          </cell>
          <cell r="AP201">
            <v>0</v>
          </cell>
          <cell r="AQ201">
            <v>0</v>
          </cell>
          <cell r="AR201">
            <v>0</v>
          </cell>
        </row>
        <row r="202">
          <cell r="D202" t="str">
            <v>CollDollars%</v>
          </cell>
          <cell r="E202">
            <v>1481566.26</v>
          </cell>
          <cell r="F202">
            <v>0.73817615825025618</v>
          </cell>
          <cell r="G202">
            <v>0.17524430530700663</v>
          </cell>
          <cell r="H202">
            <v>5.1736882831011549E-2</v>
          </cell>
          <cell r="I202">
            <v>3.4842653611725741E-2</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N202" t="str">
            <v>BBA_PPBASE%</v>
          </cell>
          <cell r="AO202">
            <v>0</v>
          </cell>
          <cell r="AP202">
            <v>0</v>
          </cell>
          <cell r="AQ202">
            <v>0</v>
          </cell>
          <cell r="AR202">
            <v>0</v>
          </cell>
        </row>
        <row r="204">
          <cell r="D204" t="str">
            <v>CUST-902</v>
          </cell>
          <cell r="E204" t="str">
            <v>EXT</v>
          </cell>
          <cell r="F204">
            <v>345159.42165312433</v>
          </cell>
          <cell r="G204">
            <v>48376.578346875664</v>
          </cell>
          <cell r="H204">
            <v>13088.909260493008</v>
          </cell>
          <cell r="I204">
            <v>2521.938507661559</v>
          </cell>
          <cell r="J204">
            <v>290.4343770819454</v>
          </cell>
          <cell r="K204">
            <v>5571.4994670219858</v>
          </cell>
          <cell r="L204">
            <v>324.31838774150566</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N204" t="str">
            <v>SUPPGAS</v>
          </cell>
          <cell r="AO204" t="str">
            <v>INT</v>
          </cell>
          <cell r="AP204">
            <v>0</v>
          </cell>
          <cell r="AQ204">
            <v>0</v>
          </cell>
          <cell r="AR204">
            <v>0</v>
          </cell>
        </row>
        <row r="205">
          <cell r="D205" t="str">
            <v>CUST-902%</v>
          </cell>
          <cell r="E205">
            <v>415333.1</v>
          </cell>
          <cell r="F205">
            <v>0.83104241307308357</v>
          </cell>
          <cell r="G205">
            <v>0.11647657830997737</v>
          </cell>
          <cell r="H205">
            <v>3.1514245458628291E-2</v>
          </cell>
          <cell r="I205">
            <v>6.0720864955419139E-3</v>
          </cell>
          <cell r="J205">
            <v>6.9928059449618973E-4</v>
          </cell>
          <cell r="K205">
            <v>1.3414532737751906E-2</v>
          </cell>
          <cell r="L205">
            <v>7.8086333052074513E-4</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N205" t="str">
            <v>SUPPGAS%</v>
          </cell>
          <cell r="AO205">
            <v>0</v>
          </cell>
          <cell r="AP205">
            <v>0</v>
          </cell>
          <cell r="AQ205">
            <v>0</v>
          </cell>
          <cell r="AR205">
            <v>0</v>
          </cell>
        </row>
        <row r="207">
          <cell r="D207" t="str">
            <v>Acct-813_D</v>
          </cell>
          <cell r="E207" t="str">
            <v>EXT</v>
          </cell>
          <cell r="F207">
            <v>48906.78836516937</v>
          </cell>
          <cell r="G207">
            <v>34637.302782625309</v>
          </cell>
          <cell r="H207">
            <v>4954.8351863708858</v>
          </cell>
          <cell r="I207">
            <v>4722.1931089153359</v>
          </cell>
          <cell r="J207">
            <v>1761.935113569087</v>
          </cell>
          <cell r="K207">
            <v>23760.121064918745</v>
          </cell>
          <cell r="L207">
            <v>19156.932743931251</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N207" t="str">
            <v>STORGAS</v>
          </cell>
          <cell r="AO207" t="str">
            <v>INT</v>
          </cell>
          <cell r="AP207">
            <v>0</v>
          </cell>
          <cell r="AQ207">
            <v>0</v>
          </cell>
          <cell r="AR207">
            <v>0</v>
          </cell>
        </row>
        <row r="208">
          <cell r="D208" t="str">
            <v>Acct-813_D%</v>
          </cell>
          <cell r="E208">
            <v>137900.10836549997</v>
          </cell>
          <cell r="F208">
            <v>0.35465373410398954</v>
          </cell>
          <cell r="G208">
            <v>0.25117676260862837</v>
          </cell>
          <cell r="H208">
            <v>3.5930611259842149E-2</v>
          </cell>
          <cell r="I208">
            <v>3.4243577941210239E-2</v>
          </cell>
          <cell r="J208">
            <v>1.2776894336436143E-2</v>
          </cell>
          <cell r="K208">
            <v>0.17229950974326488</v>
          </cell>
          <cell r="L208">
            <v>0.13891891000662882</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N208" t="str">
            <v>STORGAS%</v>
          </cell>
          <cell r="AO208">
            <v>0</v>
          </cell>
          <cell r="AP208">
            <v>0</v>
          </cell>
          <cell r="AQ208">
            <v>0</v>
          </cell>
          <cell r="AR208">
            <v>0</v>
          </cell>
        </row>
        <row r="210">
          <cell r="D210" t="str">
            <v>Acct-813_E</v>
          </cell>
          <cell r="E210" t="str">
            <v>EXT</v>
          </cell>
          <cell r="F210">
            <v>84130.545240089734</v>
          </cell>
          <cell r="G210">
            <v>56939.588957301436</v>
          </cell>
          <cell r="H210">
            <v>7992.1759377842727</v>
          </cell>
          <cell r="I210">
            <v>7774.7787083600451</v>
          </cell>
          <cell r="J210">
            <v>2694.1894242545095</v>
          </cell>
          <cell r="K210">
            <v>62073.490801793734</v>
          </cell>
          <cell r="L210">
            <v>40561.249864716279</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N210" t="str">
            <v>TRANGAS</v>
          </cell>
          <cell r="AO210" t="str">
            <v>INT</v>
          </cell>
          <cell r="AP210">
            <v>0</v>
          </cell>
          <cell r="AQ210">
            <v>0</v>
          </cell>
          <cell r="AR210">
            <v>0</v>
          </cell>
        </row>
        <row r="211">
          <cell r="D211" t="str">
            <v>Acct-813_E%</v>
          </cell>
          <cell r="E211">
            <v>262166.01893429999</v>
          </cell>
          <cell r="F211">
            <v>0.32090560623409103</v>
          </cell>
          <cell r="G211">
            <v>0.21718905138339364</v>
          </cell>
          <cell r="H211">
            <v>3.0485171076985184E-2</v>
          </cell>
          <cell r="I211">
            <v>2.9655936112408375E-2</v>
          </cell>
          <cell r="J211">
            <v>1.0276653836398551E-2</v>
          </cell>
          <cell r="K211">
            <v>0.23677168785688291</v>
          </cell>
          <cell r="L211">
            <v>0.15471589349984033</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N211" t="str">
            <v>TRANGAS%</v>
          </cell>
          <cell r="AO211">
            <v>0</v>
          </cell>
          <cell r="AP211">
            <v>0</v>
          </cell>
          <cell r="AQ211">
            <v>0</v>
          </cell>
          <cell r="AR211">
            <v>0</v>
          </cell>
        </row>
        <row r="213">
          <cell r="D213" t="str">
            <v>Acct-871</v>
          </cell>
          <cell r="E213" t="str">
            <v>EXT</v>
          </cell>
          <cell r="F213">
            <v>84892.624710250631</v>
          </cell>
          <cell r="G213">
            <v>57455.364668250739</v>
          </cell>
          <cell r="H213">
            <v>8064.5714415423663</v>
          </cell>
          <cell r="I213">
            <v>7845.2049634351388</v>
          </cell>
          <cell r="J213">
            <v>2718.5941923811115</v>
          </cell>
          <cell r="K213">
            <v>51257.3528041057</v>
          </cell>
          <cell r="L213">
            <v>33493.56170623433</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N213" t="str">
            <v>DISTGAS</v>
          </cell>
          <cell r="AO213" t="str">
            <v>INT</v>
          </cell>
          <cell r="AP213">
            <v>0</v>
          </cell>
          <cell r="AQ213">
            <v>0</v>
          </cell>
          <cell r="AR213">
            <v>0</v>
          </cell>
        </row>
        <row r="214">
          <cell r="D214" t="str">
            <v>Acct-871%</v>
          </cell>
          <cell r="E214">
            <v>245727.27448619998</v>
          </cell>
          <cell r="F214">
            <v>0.34547497784995856</v>
          </cell>
          <cell r="G214">
            <v>0.23381761258853431</v>
          </cell>
          <cell r="H214">
            <v>3.2819195420633988E-2</v>
          </cell>
          <cell r="I214">
            <v>3.1926472060698027E-2</v>
          </cell>
          <cell r="J214">
            <v>1.1063461303046307E-2</v>
          </cell>
          <cell r="K214">
            <v>0.20859447902672404</v>
          </cell>
          <cell r="L214">
            <v>0.13630380175040491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N214" t="str">
            <v>DISTGAS%</v>
          </cell>
          <cell r="AO214">
            <v>0</v>
          </cell>
          <cell r="AP214">
            <v>0</v>
          </cell>
          <cell r="AQ214">
            <v>0</v>
          </cell>
          <cell r="AR214">
            <v>0</v>
          </cell>
        </row>
        <row r="216">
          <cell r="D216" t="str">
            <v>Regulator</v>
          </cell>
          <cell r="E216" t="str">
            <v>EXT</v>
          </cell>
          <cell r="F216">
            <v>213657597.7288664</v>
          </cell>
          <cell r="G216">
            <v>42874818.96945364</v>
          </cell>
          <cell r="H216">
            <v>614617.57947783265</v>
          </cell>
          <cell r="I216">
            <v>5079.9921828791194</v>
          </cell>
          <cell r="J216">
            <v>180.66614484161957</v>
          </cell>
          <cell r="K216">
            <v>376.84664245536271</v>
          </cell>
          <cell r="L216">
            <v>101.5818575207166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N216" t="str">
            <v>Comm_PassGAS</v>
          </cell>
          <cell r="AO216" t="str">
            <v>INT</v>
          </cell>
          <cell r="AP216">
            <v>0</v>
          </cell>
          <cell r="AQ216">
            <v>0</v>
          </cell>
          <cell r="AR216">
            <v>0</v>
          </cell>
        </row>
        <row r="217">
          <cell r="D217" t="str">
            <v>Regulator%</v>
          </cell>
          <cell r="E217">
            <v>257152773.3646256</v>
          </cell>
          <cell r="F217">
            <v>0.83085861736328259</v>
          </cell>
          <cell r="G217">
            <v>0.16672897751975627</v>
          </cell>
          <cell r="H217">
            <v>2.3900873066079889E-3</v>
          </cell>
          <cell r="I217">
            <v>1.9754763351029571E-5</v>
          </cell>
          <cell r="J217">
            <v>7.0256347025838581E-7</v>
          </cell>
          <cell r="K217">
            <v>1.4654582080708075E-6</v>
          </cell>
          <cell r="L217">
            <v>3.9502532363001293E-7</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N217" t="str">
            <v>Comm_PassGAS%</v>
          </cell>
          <cell r="AO217">
            <v>0</v>
          </cell>
          <cell r="AP217">
            <v>0</v>
          </cell>
          <cell r="AQ217">
            <v>0</v>
          </cell>
          <cell r="AR217">
            <v>0</v>
          </cell>
        </row>
        <row r="219">
          <cell r="D219" t="str">
            <v>Misc_charges_taxes</v>
          </cell>
          <cell r="E219" t="str">
            <v>EXT</v>
          </cell>
          <cell r="F219">
            <v>4461618.0000000009</v>
          </cell>
          <cell r="G219">
            <v>3291556.8799999994</v>
          </cell>
          <cell r="H219">
            <v>275417.38</v>
          </cell>
          <cell r="I219">
            <v>259311.82</v>
          </cell>
          <cell r="J219">
            <v>76441.499999999985</v>
          </cell>
          <cell r="K219">
            <v>2437432.7999999998</v>
          </cell>
          <cell r="L219">
            <v>292941.71000000002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N219" t="str">
            <v>STORCUSTACCT</v>
          </cell>
          <cell r="AO219" t="str">
            <v>INT</v>
          </cell>
          <cell r="AP219">
            <v>0</v>
          </cell>
          <cell r="AQ219">
            <v>0</v>
          </cell>
          <cell r="AR219">
            <v>0</v>
          </cell>
        </row>
        <row r="220">
          <cell r="D220" t="str">
            <v>Misc_charges_taxes%</v>
          </cell>
          <cell r="E220">
            <v>11094720.090000002</v>
          </cell>
          <cell r="F220">
            <v>0.40213885197711197</v>
          </cell>
          <cell r="G220">
            <v>0.29667777585184657</v>
          </cell>
          <cell r="H220">
            <v>2.4824184636099273E-2</v>
          </cell>
          <cell r="I220">
            <v>2.3372542785800011E-2</v>
          </cell>
          <cell r="J220">
            <v>6.8898989230831483E-3</v>
          </cell>
          <cell r="K220">
            <v>0.21969304139515244</v>
          </cell>
          <cell r="L220">
            <v>2.6403704430906467E-2</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N220" t="str">
            <v>STORCUSTACCT%</v>
          </cell>
          <cell r="AO220">
            <v>0</v>
          </cell>
          <cell r="AP220">
            <v>0</v>
          </cell>
          <cell r="AQ220">
            <v>0</v>
          </cell>
          <cell r="AR220">
            <v>0</v>
          </cell>
        </row>
        <row r="221">
          <cell r="D221" t="str">
            <v>START OF INT FACTORS</v>
          </cell>
        </row>
        <row r="222">
          <cell r="D222" t="str">
            <v>SUPPL/P-C</v>
          </cell>
          <cell r="E222" t="str">
            <v>INT</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N222" t="str">
            <v>INTANGPT-SUPP</v>
          </cell>
          <cell r="AO222" t="str">
            <v>INT</v>
          </cell>
          <cell r="AP222">
            <v>0</v>
          </cell>
          <cell r="AQ222">
            <v>0</v>
          </cell>
          <cell r="AR222">
            <v>0</v>
          </cell>
        </row>
        <row r="223">
          <cell r="D223" t="str">
            <v>SUPPL/P-C%</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N223" t="str">
            <v>INTANGPT-SUPP%</v>
          </cell>
          <cell r="AO223">
            <v>0</v>
          </cell>
          <cell r="AP223">
            <v>0</v>
          </cell>
          <cell r="AQ223">
            <v>0</v>
          </cell>
          <cell r="AR223">
            <v>0</v>
          </cell>
        </row>
        <row r="225">
          <cell r="D225" t="str">
            <v>STORL/P-C</v>
          </cell>
          <cell r="E225" t="str">
            <v>INT</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N225" t="str">
            <v>INTANGPT-STOR</v>
          </cell>
          <cell r="AO225" t="str">
            <v>INT</v>
          </cell>
          <cell r="AP225">
            <v>0</v>
          </cell>
          <cell r="AQ225">
            <v>0</v>
          </cell>
          <cell r="AR225">
            <v>0</v>
          </cell>
        </row>
        <row r="226">
          <cell r="D226" t="str">
            <v>STORL/P-C%</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N226" t="str">
            <v>INTANGPT-STOR%</v>
          </cell>
          <cell r="AO226">
            <v>0</v>
          </cell>
          <cell r="AP226">
            <v>0</v>
          </cell>
          <cell r="AQ226">
            <v>0</v>
          </cell>
          <cell r="AR226">
            <v>0</v>
          </cell>
        </row>
        <row r="228">
          <cell r="D228" t="str">
            <v>TRANL/P-C</v>
          </cell>
          <cell r="E228" t="str">
            <v>INT</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N228" t="str">
            <v>INTANGPT-TRANS</v>
          </cell>
          <cell r="AO228" t="str">
            <v>INT</v>
          </cell>
          <cell r="AP228">
            <v>91289.26690163996</v>
          </cell>
          <cell r="AQ228">
            <v>3295064.1094730236</v>
          </cell>
          <cell r="AR228">
            <v>0</v>
          </cell>
        </row>
        <row r="229">
          <cell r="D229" t="str">
            <v>TRANL/P-C%</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N229" t="str">
            <v>INTANGPT-TRANS%</v>
          </cell>
          <cell r="AO229">
            <v>3386353.3763746633</v>
          </cell>
          <cell r="AP229">
            <v>2.6957985997129376E-2</v>
          </cell>
          <cell r="AQ229">
            <v>0.97304201400287071</v>
          </cell>
          <cell r="AR229">
            <v>0</v>
          </cell>
        </row>
        <row r="231">
          <cell r="D231" t="str">
            <v>DISTL/P-C</v>
          </cell>
          <cell r="E231" t="str">
            <v>INT</v>
          </cell>
          <cell r="F231">
            <v>8793514.9885750264</v>
          </cell>
          <cell r="G231">
            <v>1876686.1793351127</v>
          </cell>
          <cell r="H231">
            <v>101125.33702715908</v>
          </cell>
          <cell r="I231">
            <v>44222.248087622087</v>
          </cell>
          <cell r="J231">
            <v>14462.720350276293</v>
          </cell>
          <cell r="K231">
            <v>251373.66699261847</v>
          </cell>
          <cell r="L231">
            <v>74488.509439397429</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N231" t="str">
            <v>Inc_before_Tax_Supp</v>
          </cell>
          <cell r="AO231" t="str">
            <v>INT</v>
          </cell>
          <cell r="AP231">
            <v>-110925.07670791059</v>
          </cell>
          <cell r="AQ231">
            <v>4751156.8890490476</v>
          </cell>
          <cell r="AR231">
            <v>0</v>
          </cell>
        </row>
        <row r="232">
          <cell r="D232" t="str">
            <v>DISTL/P-C%</v>
          </cell>
          <cell r="E232">
            <v>11155873.649807213</v>
          </cell>
          <cell r="F232">
            <v>0.78824081955490677</v>
          </cell>
          <cell r="G232">
            <v>0.16822404396517562</v>
          </cell>
          <cell r="H232">
            <v>9.0647617749692478E-3</v>
          </cell>
          <cell r="I232">
            <v>3.9640327127930764E-3</v>
          </cell>
          <cell r="J232">
            <v>1.2964220288140523E-3</v>
          </cell>
          <cell r="K232">
            <v>2.2532853533794056E-2</v>
          </cell>
          <cell r="L232">
            <v>6.6770664295471545E-3</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N232" t="str">
            <v>Inc_before_Tax_Supp%</v>
          </cell>
          <cell r="AO232">
            <v>4640231.8123411369</v>
          </cell>
          <cell r="AP232">
            <v>-2.3905072245075088E-2</v>
          </cell>
          <cell r="AQ232">
            <v>1.0239050722450751</v>
          </cell>
          <cell r="AR232">
            <v>0</v>
          </cell>
        </row>
        <row r="234">
          <cell r="D234" t="str">
            <v>BBAL/P-C</v>
          </cell>
          <cell r="E234" t="str">
            <v>INT</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N234" t="str">
            <v>Inc_before_Tax_Trans</v>
          </cell>
          <cell r="AO234" t="str">
            <v>INT</v>
          </cell>
          <cell r="AP234">
            <v>270064.17653198412</v>
          </cell>
          <cell r="AQ234">
            <v>292821.42337427801</v>
          </cell>
          <cell r="AR234">
            <v>0</v>
          </cell>
        </row>
        <row r="235">
          <cell r="D235" t="str">
            <v>BBAL/P-C%</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N235" t="str">
            <v>Inc_before_Tax_Trans%</v>
          </cell>
          <cell r="AO235">
            <v>562885.59990626213</v>
          </cell>
          <cell r="AP235">
            <v>0.47978519361120298</v>
          </cell>
          <cell r="AQ235">
            <v>0.52021480638879702</v>
          </cell>
          <cell r="AR235">
            <v>0</v>
          </cell>
        </row>
        <row r="237">
          <cell r="D237" t="str">
            <v>Gather_L/P-D</v>
          </cell>
          <cell r="E237" t="str">
            <v>INT</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N237" t="str">
            <v>Inc_before_Tax_Dist</v>
          </cell>
          <cell r="AO237" t="str">
            <v>INT</v>
          </cell>
          <cell r="AP237">
            <v>7047447.7756485101</v>
          </cell>
          <cell r="AQ237">
            <v>7371421.1961781727</v>
          </cell>
          <cell r="AR237">
            <v>5558330.8085893281</v>
          </cell>
        </row>
        <row r="238">
          <cell r="D238" t="str">
            <v>Gather_L/P-D%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N238" t="str">
            <v>Inc_before_Tax_Dist%</v>
          </cell>
          <cell r="AO238">
            <v>19977199.780416012</v>
          </cell>
          <cell r="AP238">
            <v>0.35277455564904764</v>
          </cell>
          <cell r="AQ238">
            <v>0.36899171441457485</v>
          </cell>
          <cell r="AR238">
            <v>0.27823372993637746</v>
          </cell>
        </row>
        <row r="240">
          <cell r="D240" t="str">
            <v>Gather_L/P-E</v>
          </cell>
          <cell r="E240" t="str">
            <v>INT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N240" t="str">
            <v>RevDeficiency_Supp</v>
          </cell>
          <cell r="AO240" t="str">
            <v>INT</v>
          </cell>
          <cell r="AP240">
            <v>110954.60283151321</v>
          </cell>
          <cell r="AQ240">
            <v>0</v>
          </cell>
          <cell r="AR240">
            <v>0</v>
          </cell>
        </row>
        <row r="241">
          <cell r="D241" t="str">
            <v>Gather_L/P-E%</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N241" t="str">
            <v>RevDeficiency_Supp%</v>
          </cell>
          <cell r="AO241">
            <v>110954.60283151321</v>
          </cell>
          <cell r="AP241">
            <v>1</v>
          </cell>
          <cell r="AQ241">
            <v>0</v>
          </cell>
          <cell r="AR241">
            <v>0</v>
          </cell>
        </row>
        <row r="243">
          <cell r="D243" t="str">
            <v>COMMCOLLL/P-C</v>
          </cell>
          <cell r="E243" t="str">
            <v>INT</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N243" t="str">
            <v>RevDeficiency_Trans</v>
          </cell>
          <cell r="AO243" t="str">
            <v>INT</v>
          </cell>
          <cell r="AP243">
            <v>56474.633194235037</v>
          </cell>
          <cell r="AQ243">
            <v>101324.01152238867</v>
          </cell>
          <cell r="AR243">
            <v>0</v>
          </cell>
        </row>
        <row r="244">
          <cell r="D244" t="str">
            <v>COMMCOLLL/P-C%</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N244" t="str">
            <v>RevDeficiency_Trans%</v>
          </cell>
          <cell r="AO244">
            <v>157798.6447166237</v>
          </cell>
          <cell r="AP244">
            <v>0.35789048312583871</v>
          </cell>
          <cell r="AQ244">
            <v>0.64210951687416129</v>
          </cell>
          <cell r="AR244">
            <v>0</v>
          </cell>
        </row>
        <row r="246">
          <cell r="D246" t="str">
            <v>FUNC8L/P-C</v>
          </cell>
          <cell r="E246" t="str">
            <v>INT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N246" t="str">
            <v>RevDeficiency_Dist</v>
          </cell>
          <cell r="AO246" t="str">
            <v>INT</v>
          </cell>
          <cell r="AP246">
            <v>2338440.3564901389</v>
          </cell>
          <cell r="AQ246">
            <v>2548619.8250438385</v>
          </cell>
          <cell r="AR246">
            <v>5451699.3246328831</v>
          </cell>
        </row>
        <row r="247">
          <cell r="D247" t="str">
            <v>FUNC8L/P-C%</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N247" t="str">
            <v>RevDeficiency_Dist%</v>
          </cell>
          <cell r="AO247">
            <v>10338759.50616686</v>
          </cell>
          <cell r="AP247">
            <v>0.22618190848672964</v>
          </cell>
          <cell r="AQ247">
            <v>0.24651118188053783</v>
          </cell>
          <cell r="AR247">
            <v>0.52730690963273252</v>
          </cell>
        </row>
        <row r="249">
          <cell r="D249" t="str">
            <v>MAINSPT-C</v>
          </cell>
          <cell r="E249" t="str">
            <v>INT</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N249" t="str">
            <v>INTANGPT-DIST</v>
          </cell>
          <cell r="AO249" t="str">
            <v>INT</v>
          </cell>
          <cell r="AP249">
            <v>2185930.0051490529</v>
          </cell>
          <cell r="AQ249">
            <v>2178836.3890014011</v>
          </cell>
          <cell r="AR249">
            <v>19071616.706635259</v>
          </cell>
        </row>
        <row r="250">
          <cell r="D250" t="str">
            <v>MAINSPT-C%</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N250" t="str">
            <v>INTANGPT-DIST%</v>
          </cell>
          <cell r="AO250">
            <v>23436383.100785714</v>
          </cell>
          <cell r="AP250">
            <v>9.3270791646846263E-2</v>
          </cell>
          <cell r="AQ250">
            <v>9.2968116267409653E-2</v>
          </cell>
          <cell r="AR250">
            <v>0.8137610920857441</v>
          </cell>
        </row>
        <row r="252">
          <cell r="D252" t="str">
            <v>DISTMAIN-SERVICE-C</v>
          </cell>
          <cell r="E252" t="str">
            <v>INT</v>
          </cell>
          <cell r="F252">
            <v>130140135.40071529</v>
          </cell>
          <cell r="G252">
            <v>28855526.438258994</v>
          </cell>
          <cell r="H252">
            <v>825991.05375804962</v>
          </cell>
          <cell r="I252">
            <v>6522.2864284832249</v>
          </cell>
          <cell r="J252">
            <v>288367.65271656949</v>
          </cell>
          <cell r="K252">
            <v>2885588.2231226261</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D253" t="str">
            <v>DISTMAIN-SERVICE-C%</v>
          </cell>
          <cell r="E253">
            <v>163002131.05500004</v>
          </cell>
          <cell r="F253">
            <v>0.79839530046882345</v>
          </cell>
          <cell r="G253">
            <v>0.17702545513667295</v>
          </cell>
          <cell r="H253">
            <v>5.067363527163608E-3</v>
          </cell>
          <cell r="I253">
            <v>4.0013504033775368E-5</v>
          </cell>
          <cell r="J253">
            <v>1.769103574598474E-3</v>
          </cell>
          <cell r="K253">
            <v>1.7702763788707606E-2</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5">
          <cell r="D255" t="str">
            <v>DISTMETER-REG-C</v>
          </cell>
          <cell r="E255" t="str">
            <v>INT</v>
          </cell>
          <cell r="F255">
            <v>56484379.56327042</v>
          </cell>
          <cell r="G255">
            <v>12817923.649069332</v>
          </cell>
          <cell r="H255">
            <v>698315.77623742772</v>
          </cell>
          <cell r="I255">
            <v>365003.38321187446</v>
          </cell>
          <cell r="J255">
            <v>51457.72729615961</v>
          </cell>
          <cell r="K255">
            <v>957269.90237046161</v>
          </cell>
          <cell r="L255">
            <v>17856.494896059092</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D256" t="str">
            <v>DISTMETER-REG-C%</v>
          </cell>
          <cell r="E256">
            <v>71392206.496351749</v>
          </cell>
          <cell r="F256">
            <v>0.79118411287871959</v>
          </cell>
          <cell r="G256">
            <v>0.17954233771615319</v>
          </cell>
          <cell r="H256">
            <v>9.781400666935721E-3</v>
          </cell>
          <cell r="I256">
            <v>5.11265026148935E-3</v>
          </cell>
          <cell r="J256">
            <v>7.2077513529140156E-4</v>
          </cell>
          <cell r="K256">
            <v>1.3408605075392642E-2</v>
          </cell>
          <cell r="L256">
            <v>2.5011826601789632E-4</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8">
          <cell r="D258" t="str">
            <v>RATEBASESALES</v>
          </cell>
          <cell r="E258" t="str">
            <v>INT</v>
          </cell>
          <cell r="F258">
            <v>138951056.93176934</v>
          </cell>
          <cell r="G258">
            <v>63985138.582109958</v>
          </cell>
          <cell r="H258">
            <v>7018899.6033730656</v>
          </cell>
          <cell r="I258">
            <v>5465154.2697260026</v>
          </cell>
          <cell r="J258">
            <v>805206.43054783135</v>
          </cell>
          <cell r="K258">
            <v>63172440.408265606</v>
          </cell>
          <cell r="L258">
            <v>21462829.471849736</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N258" t="str">
            <v>LAST Line of Cfactor and Cfirst Range</v>
          </cell>
        </row>
        <row r="259">
          <cell r="D259" t="str">
            <v>RATEBASESALES%</v>
          </cell>
          <cell r="E259">
            <v>300860725.69764155</v>
          </cell>
          <cell r="F259">
            <v>0.46184511657201849</v>
          </cell>
          <cell r="G259">
            <v>0.21267361645073482</v>
          </cell>
          <cell r="H259">
            <v>2.3329397970098982E-2</v>
          </cell>
          <cell r="I259">
            <v>1.8165063775118201E-2</v>
          </cell>
          <cell r="J259">
            <v>2.6763427784756667E-3</v>
          </cell>
          <cell r="K259">
            <v>0.20997237263780494</v>
          </cell>
          <cell r="L259">
            <v>7.1338089815748865E-2</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1">
          <cell r="D261" t="str">
            <v>RATEBASE</v>
          </cell>
          <cell r="E261" t="str">
            <v>INT</v>
          </cell>
          <cell r="F261">
            <v>138951056.93176934</v>
          </cell>
          <cell r="G261">
            <v>63985138.582109958</v>
          </cell>
          <cell r="H261">
            <v>7018899.6033730656</v>
          </cell>
          <cell r="I261">
            <v>5465154.2697260026</v>
          </cell>
          <cell r="J261">
            <v>805206.43054783135</v>
          </cell>
          <cell r="K261">
            <v>63172440.408265606</v>
          </cell>
          <cell r="L261">
            <v>21462829.471849736</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D262" t="str">
            <v>RATEBASE%</v>
          </cell>
          <cell r="E262">
            <v>300860725.69764155</v>
          </cell>
          <cell r="F262">
            <v>0.46184511657201849</v>
          </cell>
          <cell r="G262">
            <v>0.21267361645073482</v>
          </cell>
          <cell r="H262">
            <v>2.3329397970098982E-2</v>
          </cell>
          <cell r="I262">
            <v>1.8165063775118201E-2</v>
          </cell>
          <cell r="J262">
            <v>2.6763427784756667E-3</v>
          </cell>
          <cell r="K262">
            <v>0.20997237263780494</v>
          </cell>
          <cell r="L262">
            <v>7.1338089815748865E-2</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4">
          <cell r="D264" t="str">
            <v>Service_Internal</v>
          </cell>
          <cell r="E264" t="str">
            <v>INT</v>
          </cell>
          <cell r="F264">
            <v>130140135.40071529</v>
          </cell>
          <cell r="G264">
            <v>28855526.438258994</v>
          </cell>
          <cell r="H264">
            <v>825991.05375804962</v>
          </cell>
          <cell r="I264">
            <v>6522.2864284832249</v>
          </cell>
          <cell r="J264">
            <v>288367.65271656949</v>
          </cell>
          <cell r="K264">
            <v>2885588.2231226261</v>
          </cell>
          <cell r="L264">
            <v>22241.79</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D265" t="str">
            <v>Service_Internal%</v>
          </cell>
          <cell r="E265">
            <v>163024372.84500003</v>
          </cell>
          <cell r="F265">
            <v>0.79828637356237309</v>
          </cell>
          <cell r="G265">
            <v>0.17700130314682572</v>
          </cell>
          <cell r="H265">
            <v>5.0666721751071149E-3</v>
          </cell>
          <cell r="I265">
            <v>4.0008044899424152E-5</v>
          </cell>
          <cell r="J265">
            <v>1.7688622117304083E-3</v>
          </cell>
          <cell r="K265">
            <v>1.7700348559943117E-2</v>
          </cell>
          <cell r="L265">
            <v>1.3643229912098484E-4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7">
          <cell r="D267" t="str">
            <v>INTANGPT-SUPP-D</v>
          </cell>
          <cell r="E267" t="str">
            <v>INT</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D268" t="str">
            <v>INTANGPT-SUPP-D%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70">
          <cell r="D270" t="str">
            <v>INTANGPT-SUPP-E</v>
          </cell>
          <cell r="E270" t="str">
            <v>INT</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D271" t="str">
            <v>INTANGPT-SUPP-E%</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3">
          <cell r="D273" t="str">
            <v>INTANGPT-SUPP-C</v>
          </cell>
          <cell r="E273" t="str">
            <v>INT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D274" t="str">
            <v>INTANGPT-SUPP-C%</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6">
          <cell r="D276" t="str">
            <v>INTANGPT-STOR-D</v>
          </cell>
          <cell r="E276" t="str">
            <v>INT</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row>
        <row r="277">
          <cell r="D277" t="str">
            <v>INTANGPT-STOR-D%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row>
        <row r="279">
          <cell r="D279" t="str">
            <v>INTANGPT-STOR-E</v>
          </cell>
          <cell r="E279" t="str">
            <v>INT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D280" t="str">
            <v>INTANGPT-STOR-E%</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2">
          <cell r="D282" t="str">
            <v>INTANGPT-STOR-C</v>
          </cell>
          <cell r="E282" t="str">
            <v>INT</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D283" t="str">
            <v>INTANGPT-STOR-C%</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row>
        <row r="285">
          <cell r="D285" t="str">
            <v>INTANGPT-TRAN-D</v>
          </cell>
          <cell r="E285" t="str">
            <v>INT</v>
          </cell>
          <cell r="F285">
            <v>23595.932163053651</v>
          </cell>
          <cell r="G285">
            <v>15373.682778540791</v>
          </cell>
          <cell r="H285">
            <v>1906.8638238643384</v>
          </cell>
          <cell r="I285">
            <v>1321.6726118429706</v>
          </cell>
          <cell r="J285">
            <v>349.23366408889581</v>
          </cell>
          <cell r="K285">
            <v>25074.935661405543</v>
          </cell>
          <cell r="L285">
            <v>23666.946198843762</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row>
        <row r="286">
          <cell r="D286" t="str">
            <v>INTANGPT-TRAN-D%</v>
          </cell>
          <cell r="E286">
            <v>91289.26690163996</v>
          </cell>
          <cell r="F286">
            <v>0.25847433070611903</v>
          </cell>
          <cell r="G286">
            <v>0.16840624643316762</v>
          </cell>
          <cell r="H286">
            <v>2.0888149161268844E-2</v>
          </cell>
          <cell r="I286">
            <v>1.4477853275643158E-2</v>
          </cell>
          <cell r="J286">
            <v>3.8255720079905914E-3</v>
          </cell>
          <cell r="K286">
            <v>0.27467561644922234</v>
          </cell>
          <cell r="L286">
            <v>0.25925223196658836</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row>
        <row r="288">
          <cell r="D288" t="str">
            <v>INTANGPT-TRAN-E</v>
          </cell>
          <cell r="E288" t="str">
            <v>INT</v>
          </cell>
          <cell r="F288">
            <v>415080.69208500808</v>
          </cell>
          <cell r="G288">
            <v>280926.78971692058</v>
          </cell>
          <cell r="H288">
            <v>39431.551406846746</v>
          </cell>
          <cell r="I288">
            <v>38358.963654214764</v>
          </cell>
          <cell r="J288">
            <v>13292.508774741404</v>
          </cell>
          <cell r="K288">
            <v>1514742.6829523128</v>
          </cell>
          <cell r="L288">
            <v>993230.92088297941</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D289" t="str">
            <v>INTANGPT-TRAN-E%</v>
          </cell>
          <cell r="E289">
            <v>3295064.1094730236</v>
          </cell>
          <cell r="F289">
            <v>0.12597044497303925</v>
          </cell>
          <cell r="G289">
            <v>8.5256850969691433E-2</v>
          </cell>
          <cell r="H289">
            <v>1.1966854087446873E-2</v>
          </cell>
          <cell r="I289">
            <v>1.1641340617299697E-2</v>
          </cell>
          <cell r="J289">
            <v>4.0340668142166318E-3</v>
          </cell>
          <cell r="K289">
            <v>0.45970051951267316</v>
          </cell>
          <cell r="L289">
            <v>0.30142992302563298</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1">
          <cell r="D291" t="str">
            <v>INTANGPT-TRAN-C</v>
          </cell>
          <cell r="E291" t="str">
            <v>INT</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D292" t="str">
            <v>INTANGPT-TRAN-C%</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4">
          <cell r="D294" t="str">
            <v>INTANGPT-DIST-D</v>
          </cell>
          <cell r="E294" t="str">
            <v>INT</v>
          </cell>
          <cell r="F294">
            <v>879749.50799669046</v>
          </cell>
          <cell r="G294">
            <v>573191.58942556172</v>
          </cell>
          <cell r="H294">
            <v>71095.411669645997</v>
          </cell>
          <cell r="I294">
            <v>49277.172945181061</v>
          </cell>
          <cell r="J294">
            <v>5965.8074046683278</v>
          </cell>
          <cell r="K294">
            <v>428694.06417786673</v>
          </cell>
          <cell r="L294">
            <v>177956.45152943803</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D295" t="str">
            <v>INTANGPT-DIST-D%</v>
          </cell>
          <cell r="E295">
            <v>2185930.0051490525</v>
          </cell>
          <cell r="F295">
            <v>0.40246005403851109</v>
          </cell>
          <cell r="G295">
            <v>0.26221863832573972</v>
          </cell>
          <cell r="H295">
            <v>3.2524102556887771E-2</v>
          </cell>
          <cell r="I295">
            <v>2.2542886931011766E-2</v>
          </cell>
          <cell r="J295">
            <v>2.7291850107805881E-3</v>
          </cell>
          <cell r="K295">
            <v>0.19611518354570337</v>
          </cell>
          <cell r="L295">
            <v>8.140994959136566E-2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7">
          <cell r="D297" t="str">
            <v>INTANGPT-DIST-E</v>
          </cell>
          <cell r="E297" t="str">
            <v>INT</v>
          </cell>
          <cell r="F297">
            <v>614272.43864736962</v>
          </cell>
          <cell r="G297">
            <v>415739.84888087347</v>
          </cell>
          <cell r="H297">
            <v>58354.232572620575</v>
          </cell>
          <cell r="I297">
            <v>56766.924111793363</v>
          </cell>
          <cell r="J297">
            <v>8256.985352482885</v>
          </cell>
          <cell r="K297">
            <v>835406.60394556669</v>
          </cell>
          <cell r="L297">
            <v>190039.35549069443</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D298" t="str">
            <v>INTANGPT-DIST-E%</v>
          </cell>
          <cell r="E298">
            <v>2178836.3890014007</v>
          </cell>
          <cell r="F298">
            <v>0.28192683110497413</v>
          </cell>
          <cell r="G298">
            <v>0.19080819972509014</v>
          </cell>
          <cell r="H298">
            <v>2.6782292083604015E-2</v>
          </cell>
          <cell r="I298">
            <v>2.6053780081124241E-2</v>
          </cell>
          <cell r="J298">
            <v>3.7896307378394792E-3</v>
          </cell>
          <cell r="K298">
            <v>0.38341869456680422</v>
          </cell>
          <cell r="L298">
            <v>8.7220571700563909E-2</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300">
          <cell r="D300" t="str">
            <v>INTANGPT-DIST-C</v>
          </cell>
          <cell r="E300" t="str">
            <v>INT</v>
          </cell>
          <cell r="F300">
            <v>16350880.142586693</v>
          </cell>
          <cell r="G300">
            <v>2521456.775071172</v>
          </cell>
          <cell r="H300">
            <v>61566.262009142229</v>
          </cell>
          <cell r="I300">
            <v>13703.120252827204</v>
          </cell>
          <cell r="J300">
            <v>5052.2960774152871</v>
          </cell>
          <cell r="K300">
            <v>92902.111838699304</v>
          </cell>
          <cell r="L300">
            <v>26055.998799312001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row>
        <row r="301">
          <cell r="D301" t="str">
            <v>INTANGPT-DIST-C%</v>
          </cell>
          <cell r="E301">
            <v>19071616.706635267</v>
          </cell>
          <cell r="F301">
            <v>0.85734106311490654</v>
          </cell>
          <cell r="G301">
            <v>0.13220991245036526</v>
          </cell>
          <cell r="H301">
            <v>3.2281616685240176E-3</v>
          </cell>
          <cell r="I301">
            <v>7.1850858076755013E-4</v>
          </cell>
          <cell r="J301">
            <v>2.6491178776980804E-4</v>
          </cell>
          <cell r="K301">
            <v>4.8712237283154627E-3</v>
          </cell>
          <cell r="L301">
            <v>1.3662186693510245E-3</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3">
          <cell r="D303" t="str">
            <v>SUPPPT-DEM</v>
          </cell>
          <cell r="E303" t="str">
            <v>INT</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D304" t="str">
            <v>SUPPPT-DEM%</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row>
        <row r="306">
          <cell r="D306" t="str">
            <v>STORPT-DEM</v>
          </cell>
          <cell r="E306" t="str">
            <v>INT</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D307" t="str">
            <v>STORPT-DEM%</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row>
        <row r="309">
          <cell r="D309" t="str">
            <v>TRANPTXL-DEM</v>
          </cell>
          <cell r="E309" t="str">
            <v>INT</v>
          </cell>
          <cell r="F309">
            <v>2090436.6556026735</v>
          </cell>
          <cell r="G309">
            <v>1362002.1362067752</v>
          </cell>
          <cell r="H309">
            <v>168934.96756573248</v>
          </cell>
          <cell r="I309">
            <v>117091.06702844135</v>
          </cell>
          <cell r="J309">
            <v>30939.691118665251</v>
          </cell>
          <cell r="K309">
            <v>2221466.1527784811</v>
          </cell>
          <cell r="L309">
            <v>2120917.7380355126</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row>
        <row r="310">
          <cell r="D310" t="str">
            <v>TRANPTXL-DEM%</v>
          </cell>
          <cell r="E310">
            <v>8111788.4083362818</v>
          </cell>
          <cell r="F310">
            <v>0.25770354826494046</v>
          </cell>
          <cell r="G310">
            <v>0.16790405119629104</v>
          </cell>
          <cell r="H310">
            <v>2.082585973176054E-2</v>
          </cell>
          <cell r="I310">
            <v>1.4434679645749857E-2</v>
          </cell>
          <cell r="J310">
            <v>3.814163974847927E-3</v>
          </cell>
          <cell r="K310">
            <v>0.27385652102260655</v>
          </cell>
          <cell r="L310">
            <v>0.2614611761638036</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row>
        <row r="312">
          <cell r="D312" t="str">
            <v>DISTPTXL-CUST</v>
          </cell>
          <cell r="E312" t="str">
            <v>INT</v>
          </cell>
          <cell r="F312">
            <v>186995391.98514342</v>
          </cell>
          <cell r="G312">
            <v>45212643.551381052</v>
          </cell>
          <cell r="H312">
            <v>2201001.0614196016</v>
          </cell>
          <cell r="I312">
            <v>576327.98569550598</v>
          </cell>
          <cell r="J312">
            <v>353725.68005643669</v>
          </cell>
          <cell r="K312">
            <v>6453324.8999769511</v>
          </cell>
          <cell r="L312">
            <v>2083473.7770165866</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row>
        <row r="313">
          <cell r="D313" t="str">
            <v>DISTPTXL-CUST%</v>
          </cell>
          <cell r="E313">
            <v>243875888.94068953</v>
          </cell>
          <cell r="F313">
            <v>0.76676457355987571</v>
          </cell>
          <cell r="G313">
            <v>0.18539201947256351</v>
          </cell>
          <cell r="H313">
            <v>9.0250867807390497E-3</v>
          </cell>
          <cell r="I313">
            <v>2.3632019885150212E-3</v>
          </cell>
          <cell r="J313">
            <v>1.4504331756324733E-3</v>
          </cell>
          <cell r="K313">
            <v>2.6461512566936848E-2</v>
          </cell>
          <cell r="L313">
            <v>8.5431724557374598E-3</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row>
        <row r="315">
          <cell r="D315" t="str">
            <v>DISTPTXL-DEM</v>
          </cell>
          <cell r="E315" t="str">
            <v>INT</v>
          </cell>
          <cell r="F315">
            <v>72764770.454298258</v>
          </cell>
          <cell r="G315">
            <v>47409125.042718716</v>
          </cell>
          <cell r="H315">
            <v>5880357.1510665631</v>
          </cell>
          <cell r="I315">
            <v>4075753.5473453705</v>
          </cell>
          <cell r="J315">
            <v>493436.60033837362</v>
          </cell>
          <cell r="K315">
            <v>35457621.620107837</v>
          </cell>
          <cell r="L315">
            <v>14718917.406259835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D316" t="str">
            <v>DISTPTXL-DEM%</v>
          </cell>
          <cell r="E316">
            <v>180799981.82213494</v>
          </cell>
          <cell r="F316">
            <v>0.40246005403851115</v>
          </cell>
          <cell r="G316">
            <v>0.26221863832573972</v>
          </cell>
          <cell r="H316">
            <v>3.2524102556887778E-2</v>
          </cell>
          <cell r="I316">
            <v>2.2542886931011766E-2</v>
          </cell>
          <cell r="J316">
            <v>2.729185010780589E-3</v>
          </cell>
          <cell r="K316">
            <v>0.19611518354570343</v>
          </cell>
          <cell r="L316">
            <v>8.1409949591365674E-2</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row>
        <row r="318">
          <cell r="D318" t="str">
            <v>DIST-MtrHReg-DEM</v>
          </cell>
          <cell r="E318" t="str">
            <v>INT</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row>
        <row r="319">
          <cell r="D319" t="str">
            <v>DIST-MtrHReg-DEM%</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1">
          <cell r="D321" t="str">
            <v>DISTPT-DEM_xMSM</v>
          </cell>
          <cell r="E321" t="str">
            <v>INT</v>
          </cell>
          <cell r="F321">
            <v>116698.27453270761</v>
          </cell>
          <cell r="G321">
            <v>76033.540064082481</v>
          </cell>
          <cell r="H321">
            <v>9430.7661369802372</v>
          </cell>
          <cell r="I321">
            <v>6536.5891134707899</v>
          </cell>
          <cell r="J321">
            <v>791.36097717699829</v>
          </cell>
          <cell r="K321">
            <v>56866.025086949026</v>
          </cell>
          <cell r="L321">
            <v>23605.822619598392</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row>
        <row r="322">
          <cell r="D322" t="str">
            <v>DISTPT-DEM_xMSM%</v>
          </cell>
          <cell r="E322">
            <v>289962.37853096554</v>
          </cell>
          <cell r="F322">
            <v>0.40246005403851115</v>
          </cell>
          <cell r="G322">
            <v>0.26221863832573972</v>
          </cell>
          <cell r="H322">
            <v>3.2524102556887778E-2</v>
          </cell>
          <cell r="I322">
            <v>2.2542886931011766E-2</v>
          </cell>
          <cell r="J322">
            <v>2.7291850107805885E-3</v>
          </cell>
          <cell r="K322">
            <v>0.19611518354570337</v>
          </cell>
          <cell r="L322">
            <v>8.140994959136566E-2</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row>
        <row r="324">
          <cell r="D324" t="str">
            <v>DISTPT-E_xMSM</v>
          </cell>
          <cell r="E324" t="str">
            <v>INT</v>
          </cell>
          <cell r="F324">
            <v>81482.89147257607</v>
          </cell>
          <cell r="G324">
            <v>55147.655756425891</v>
          </cell>
          <cell r="H324">
            <v>7740.6559378613047</v>
          </cell>
          <cell r="I324">
            <v>7530.1003685248552</v>
          </cell>
          <cell r="J324">
            <v>1095.2844357603412</v>
          </cell>
          <cell r="K324">
            <v>110816.21339655628</v>
          </cell>
          <cell r="L324">
            <v>25208.612994365318</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D325" t="str">
            <v>DISTPT-E_xMSM%</v>
          </cell>
          <cell r="E325">
            <v>289021.41436207009</v>
          </cell>
          <cell r="F325">
            <v>0.28192683110497407</v>
          </cell>
          <cell r="G325">
            <v>0.19080819972509008</v>
          </cell>
          <cell r="H325">
            <v>2.6782292083604012E-2</v>
          </cell>
          <cell r="I325">
            <v>2.6053780081124234E-2</v>
          </cell>
          <cell r="J325">
            <v>3.7896307378394783E-3</v>
          </cell>
          <cell r="K325">
            <v>0.38341869456680411</v>
          </cell>
          <cell r="L325">
            <v>8.7220571700563881E-2</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7">
          <cell r="D327" t="str">
            <v>DIST-MtrHReg-C</v>
          </cell>
          <cell r="E327" t="str">
            <v>INT</v>
          </cell>
          <cell r="F327">
            <v>56484379.56327042</v>
          </cell>
          <cell r="G327">
            <v>12817923.649069332</v>
          </cell>
          <cell r="H327">
            <v>698315.77623742772</v>
          </cell>
          <cell r="I327">
            <v>365003.38321187446</v>
          </cell>
          <cell r="J327">
            <v>51457.72729615961</v>
          </cell>
          <cell r="K327">
            <v>957269.90237046161</v>
          </cell>
          <cell r="L327">
            <v>17856.494896059092</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row>
        <row r="328">
          <cell r="D328" t="str">
            <v>DIST-MtrHReg-C%</v>
          </cell>
          <cell r="E328">
            <v>71392206.496351749</v>
          </cell>
          <cell r="F328">
            <v>0.79118411287871959</v>
          </cell>
          <cell r="G328">
            <v>0.17954233771615319</v>
          </cell>
          <cell r="H328">
            <v>9.781400666935721E-3</v>
          </cell>
          <cell r="I328">
            <v>5.11265026148935E-3</v>
          </cell>
          <cell r="J328">
            <v>7.2077513529140156E-4</v>
          </cell>
          <cell r="K328">
            <v>1.3408605075392642E-2</v>
          </cell>
          <cell r="L328">
            <v>2.5011826601789632E-4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30">
          <cell r="D330" t="str">
            <v>DISTPT-C_xMSM</v>
          </cell>
          <cell r="E330" t="str">
            <v>INT</v>
          </cell>
          <cell r="F330">
            <v>322225.72843320941</v>
          </cell>
          <cell r="G330">
            <v>75640.212568703661</v>
          </cell>
          <cell r="H330">
            <v>3585.3000711173754</v>
          </cell>
          <cell r="I330">
            <v>934.97264996837339</v>
          </cell>
          <cell r="J330">
            <v>568.52527216680562</v>
          </cell>
          <cell r="K330">
            <v>10373.255163716365</v>
          </cell>
          <cell r="L330">
            <v>3342.7943455823342</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D331" t="str">
            <v>DISTPT-C_xMSM%</v>
          </cell>
          <cell r="E331">
            <v>416670.78850446426</v>
          </cell>
          <cell r="F331">
            <v>0.77333409810118481</v>
          </cell>
          <cell r="G331">
            <v>0.18153471434893556</v>
          </cell>
          <cell r="H331">
            <v>8.6046350500977396E-3</v>
          </cell>
          <cell r="I331">
            <v>2.2439121622233808E-3</v>
          </cell>
          <cell r="J331">
            <v>1.3644471555286732E-3</v>
          </cell>
          <cell r="K331">
            <v>2.4895566115754296E-2</v>
          </cell>
          <cell r="L331">
            <v>8.022627066275656E-3</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3">
          <cell r="D333" t="str">
            <v>SUPPL/P-D</v>
          </cell>
          <cell r="E333" t="str">
            <v>INT</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D334" t="str">
            <v>SUPPL/P-D%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6">
          <cell r="D336" t="str">
            <v>STORL/P-D</v>
          </cell>
          <cell r="E336" t="str">
            <v>INT</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row>
        <row r="337">
          <cell r="D337" t="str">
            <v>STORL/P-D%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row>
        <row r="339">
          <cell r="D339" t="str">
            <v>TRANL/P-D</v>
          </cell>
          <cell r="E339" t="str">
            <v>INT</v>
          </cell>
          <cell r="F339">
            <v>285.66126202217873</v>
          </cell>
          <cell r="G339">
            <v>186.11960714665207</v>
          </cell>
          <cell r="H339">
            <v>23.085213275974695</v>
          </cell>
          <cell r="I339">
            <v>16.000667558723464</v>
          </cell>
          <cell r="J339">
            <v>4.2279545700877676</v>
          </cell>
          <cell r="K339">
            <v>303.56663668400108</v>
          </cell>
          <cell r="L339">
            <v>286.52098474662591</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D340" t="str">
            <v>TRANL/P-D%</v>
          </cell>
          <cell r="E340">
            <v>1105.1823260042438</v>
          </cell>
          <cell r="F340">
            <v>0.25847433070611903</v>
          </cell>
          <cell r="G340">
            <v>0.16840624643316762</v>
          </cell>
          <cell r="H340">
            <v>2.0888149161268844E-2</v>
          </cell>
          <cell r="I340">
            <v>1.4477853275643156E-2</v>
          </cell>
          <cell r="J340">
            <v>3.8255720079905914E-3</v>
          </cell>
          <cell r="K340">
            <v>0.27467561644922234</v>
          </cell>
          <cell r="L340">
            <v>0.25925223196658836</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2">
          <cell r="D342" t="str">
            <v>DISTL/P-D</v>
          </cell>
          <cell r="E342" t="str">
            <v>INT</v>
          </cell>
          <cell r="F342">
            <v>781395.78696783248</v>
          </cell>
          <cell r="G342">
            <v>511204.66359709116</v>
          </cell>
          <cell r="H342">
            <v>48942.079556710341</v>
          </cell>
          <cell r="I342">
            <v>33762.098751750156</v>
          </cell>
          <cell r="J342">
            <v>3985.3933555725871</v>
          </cell>
          <cell r="K342">
            <v>287396.8908331662</v>
          </cell>
          <cell r="L342">
            <v>114957.35039238085</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D343" t="str">
            <v>DISTL/P-D%</v>
          </cell>
          <cell r="E343">
            <v>1781644.2634545038</v>
          </cell>
          <cell r="F343">
            <v>0.43858126057822105</v>
          </cell>
          <cell r="G343">
            <v>0.28692858281702954</v>
          </cell>
          <cell r="H343">
            <v>2.7470174916857149E-2</v>
          </cell>
          <cell r="I343">
            <v>1.8949966300392328E-2</v>
          </cell>
          <cell r="J343">
            <v>2.2369186920879161E-3</v>
          </cell>
          <cell r="K343">
            <v>0.16130991844349471</v>
          </cell>
          <cell r="L343">
            <v>6.4523178251917293E-2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5">
          <cell r="D345" t="str">
            <v>BBAL/P-D</v>
          </cell>
          <cell r="E345" t="str">
            <v>INT</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row>
        <row r="346">
          <cell r="D346" t="str">
            <v>BBAL/P-D%</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8">
          <cell r="D348" t="str">
            <v>MAINSPT-E</v>
          </cell>
          <cell r="E348" t="str">
            <v>INT</v>
          </cell>
          <cell r="F348">
            <v>49385509.055228949</v>
          </cell>
          <cell r="G348">
            <v>33424133.625035148</v>
          </cell>
          <cell r="H348">
            <v>4691490.7780527193</v>
          </cell>
          <cell r="I348">
            <v>4563876.3330057627</v>
          </cell>
          <cell r="J348">
            <v>638935.59898256068</v>
          </cell>
          <cell r="K348">
            <v>64096429.978509136</v>
          </cell>
          <cell r="L348">
            <v>12497850.944606975</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D349" t="str">
            <v>MAINSPT-E%</v>
          </cell>
          <cell r="E349">
            <v>169298226.31342125</v>
          </cell>
          <cell r="F349">
            <v>0.29170718518811722</v>
          </cell>
          <cell r="G349">
            <v>0.19742754754652397</v>
          </cell>
          <cell r="H349">
            <v>2.7711399464796387E-2</v>
          </cell>
          <cell r="I349">
            <v>2.6957614573921602E-2</v>
          </cell>
          <cell r="J349">
            <v>3.7740241755380315E-3</v>
          </cell>
          <cell r="K349">
            <v>0.37860071764631265</v>
          </cell>
          <cell r="L349">
            <v>7.382151140479018E-2</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1">
          <cell r="D351" t="str">
            <v>MAINSPT-D</v>
          </cell>
          <cell r="E351" t="str">
            <v>INT</v>
          </cell>
          <cell r="F351">
            <v>69784354.851315588</v>
          </cell>
          <cell r="G351">
            <v>45467266.432859957</v>
          </cell>
          <cell r="H351">
            <v>5639500.0976500725</v>
          </cell>
          <cell r="I351">
            <v>3908812.3285305649</v>
          </cell>
          <cell r="J351">
            <v>450260.53980288026</v>
          </cell>
          <cell r="K351">
            <v>32357539.193688352</v>
          </cell>
          <cell r="L351">
            <v>12241675.435648018</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D352" t="str">
            <v>MAINSPT-D%</v>
          </cell>
          <cell r="E352">
            <v>169849408.87949544</v>
          </cell>
          <cell r="F352">
            <v>0.41086015731044501</v>
          </cell>
          <cell r="G352">
            <v>0.26769163774433868</v>
          </cell>
          <cell r="H352">
            <v>3.3202942152428555E-2</v>
          </cell>
          <cell r="I352">
            <v>2.3013399659835052E-2</v>
          </cell>
          <cell r="J352">
            <v>2.6509396928330233E-3</v>
          </cell>
          <cell r="K352">
            <v>0.1905072228814487</v>
          </cell>
          <cell r="L352">
            <v>7.2073700558670933E-2</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4">
          <cell r="D354" t="str">
            <v>DISTMAIN-SERVICE-D</v>
          </cell>
          <cell r="E354" t="str">
            <v>INT</v>
          </cell>
          <cell r="F354">
            <v>69784354.851315588</v>
          </cell>
          <cell r="G354">
            <v>45467266.432859957</v>
          </cell>
          <cell r="H354">
            <v>5639500.0976500725</v>
          </cell>
          <cell r="I354">
            <v>3908812.3285305649</v>
          </cell>
          <cell r="J354">
            <v>450260.53980288026</v>
          </cell>
          <cell r="K354">
            <v>32357539.193688352</v>
          </cell>
          <cell r="L354">
            <v>12241675.435648018</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D355" t="str">
            <v>DISTMAIN-SERVICE-D%</v>
          </cell>
          <cell r="E355">
            <v>169849408.87949544</v>
          </cell>
          <cell r="F355">
            <v>0.41086015731044501</v>
          </cell>
          <cell r="G355">
            <v>0.26769163774433868</v>
          </cell>
          <cell r="H355">
            <v>3.3202942152428555E-2</v>
          </cell>
          <cell r="I355">
            <v>2.3013399659835052E-2</v>
          </cell>
          <cell r="J355">
            <v>2.6509396928330233E-3</v>
          </cell>
          <cell r="K355">
            <v>0.1905072228814487</v>
          </cell>
          <cell r="L355">
            <v>7.2073700558670933E-2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7">
          <cell r="D357" t="str">
            <v>BBAMAIN-SERVICE-D</v>
          </cell>
          <cell r="E357" t="str">
            <v>INT</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D358" t="str">
            <v>BBAMAIN-SERVICE-D%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60">
          <cell r="D360" t="str">
            <v>DISTMETER-REG-D</v>
          </cell>
          <cell r="E360" t="str">
            <v>INT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D361" t="str">
            <v>DISTMETER-REG-D%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3">
          <cell r="D363" t="str">
            <v>BBAMETER-REG-D</v>
          </cell>
          <cell r="E363" t="str">
            <v>INT</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D364" t="str">
            <v>BBAMETER-REG-D%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6">
          <cell r="D366" t="str">
            <v>SUPPPT-COM</v>
          </cell>
          <cell r="E366" t="str">
            <v>INT</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D367" t="str">
            <v>SUPPPT-COM%</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9">
          <cell r="D369" t="str">
            <v>STORPT-COM</v>
          </cell>
          <cell r="E369" t="str">
            <v>INT</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0">
          <cell r="D370" t="str">
            <v>STORPT-COM%</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2">
          <cell r="D372" t="str">
            <v>SUPPL/P-E</v>
          </cell>
          <cell r="E372" t="str">
            <v>INT</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D373" t="str">
            <v>SUPPL/P-E%</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5">
          <cell r="D375" t="str">
            <v>STORL/P-E</v>
          </cell>
          <cell r="E375" t="str">
            <v>INT</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row>
        <row r="376">
          <cell r="D376" t="str">
            <v>STORL/P-E%</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8">
          <cell r="D378" t="str">
            <v>TRANL/P-E</v>
          </cell>
          <cell r="E378" t="str">
            <v>INT</v>
          </cell>
          <cell r="F378">
            <v>184.29752622696299</v>
          </cell>
          <cell r="G378">
            <v>124.73264447845577</v>
          </cell>
          <cell r="H378">
            <v>17.507770219494759</v>
          </cell>
          <cell r="I378">
            <v>17.031536867183277</v>
          </cell>
          <cell r="J378">
            <v>5.901928302734273</v>
          </cell>
          <cell r="K378">
            <v>672.55195113082209</v>
          </cell>
          <cell r="L378">
            <v>481.1023498249466</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D379" t="str">
            <v>TRANL/P-E%</v>
          </cell>
          <cell r="E379">
            <v>1503.1257070505999</v>
          </cell>
          <cell r="F379">
            <v>0.12260952318391755</v>
          </cell>
          <cell r="G379">
            <v>8.2982177667098395E-2</v>
          </cell>
          <cell r="H379">
            <v>1.1647575540337287E-2</v>
          </cell>
          <cell r="I379">
            <v>1.1330746847914791E-2</v>
          </cell>
          <cell r="J379">
            <v>3.9264369407365843E-3</v>
          </cell>
          <cell r="K379">
            <v>0.44743559901619184</v>
          </cell>
          <cell r="L379">
            <v>0.32006794080380346</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row>
        <row r="381">
          <cell r="D381" t="str">
            <v>DISTL/P-E</v>
          </cell>
          <cell r="E381" t="str">
            <v>INT</v>
          </cell>
          <cell r="F381">
            <v>727483.64745162393</v>
          </cell>
          <cell r="G381">
            <v>494448.11143048364</v>
          </cell>
          <cell r="H381">
            <v>52650.994199212946</v>
          </cell>
          <cell r="I381">
            <v>50944.516545876126</v>
          </cell>
          <cell r="J381">
            <v>12540.194859775058</v>
          </cell>
          <cell r="K381">
            <v>798125.15696899267</v>
          </cell>
          <cell r="L381">
            <v>152128.99339227984</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D382" t="str">
            <v>DISTL/P-E%</v>
          </cell>
          <cell r="E382">
            <v>2288321.6148482445</v>
          </cell>
          <cell r="F382">
            <v>0.31791145210148652</v>
          </cell>
          <cell r="G382">
            <v>0.21607457108395758</v>
          </cell>
          <cell r="H382">
            <v>2.3008563943798879E-2</v>
          </cell>
          <cell r="I382">
            <v>2.2262830633295677E-2</v>
          </cell>
          <cell r="J382">
            <v>5.4800840836381698E-3</v>
          </cell>
          <cell r="K382">
            <v>0.34878189839670865</v>
          </cell>
          <cell r="L382">
            <v>6.64805997571144E-2</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4">
          <cell r="D384" t="str">
            <v>BBAL/P-E</v>
          </cell>
          <cell r="E384" t="str">
            <v>INT</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D385" t="str">
            <v>BBAL/P-E%</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7">
          <cell r="D387" t="str">
            <v>DISTMAIN-SERVICE-E</v>
          </cell>
          <cell r="E387" t="str">
            <v>INT</v>
          </cell>
          <cell r="F387">
            <v>11780730.514283564</v>
          </cell>
          <cell r="G387">
            <v>7973203.4445487084</v>
          </cell>
          <cell r="H387">
            <v>1119137.7718649576</v>
          </cell>
          <cell r="I387">
            <v>1088695.8180289292</v>
          </cell>
          <cell r="J387">
            <v>377265.11186867603</v>
          </cell>
          <cell r="K387">
            <v>37695696.556430012</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D388" t="str">
            <v>DISTMAIN-SERVICE-E%</v>
          </cell>
          <cell r="E388">
            <v>60034729.217024848</v>
          </cell>
          <cell r="F388">
            <v>0.19623192555256408</v>
          </cell>
          <cell r="G388">
            <v>0.13280985104014828</v>
          </cell>
          <cell r="H388">
            <v>1.8641506115889814E-2</v>
          </cell>
          <cell r="I388">
            <v>1.813443372240935E-2</v>
          </cell>
          <cell r="J388">
            <v>6.2841144915448365E-3</v>
          </cell>
          <cell r="K388">
            <v>0.62789816907744367</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90">
          <cell r="D390" t="str">
            <v>SUPPGENPTXL-D</v>
          </cell>
          <cell r="E390" t="str">
            <v>INT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D391" t="str">
            <v>SUPPGENPTXL-D%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3">
          <cell r="D393" t="str">
            <v>SUPPGENPTXL-E</v>
          </cell>
          <cell r="E393" t="str">
            <v>INT</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D394" t="str">
            <v>SUPPGENPTXL-E%</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6">
          <cell r="D396" t="str">
            <v>SUPPGENPTXL-C</v>
          </cell>
          <cell r="E396" t="str">
            <v>INT</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D397" t="str">
            <v>SUPPGENPTXL-C%</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9">
          <cell r="D399" t="str">
            <v>STORGENPTXL-D</v>
          </cell>
          <cell r="E399" t="str">
            <v>INT</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D400" t="str">
            <v>STORGENPTXL-D%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2">
          <cell r="D402" t="str">
            <v>STORGENPTXL-E</v>
          </cell>
          <cell r="E402" t="str">
            <v>INT</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D403" t="str">
            <v>STORGENPTXL-E%</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row>
        <row r="405">
          <cell r="D405" t="str">
            <v>STORGENPTXL-C</v>
          </cell>
          <cell r="E405" t="str">
            <v>INT</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D406" t="str">
            <v>STORGENPTXL-C%</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8">
          <cell r="D408" t="str">
            <v>TRANGENPTXL-D</v>
          </cell>
          <cell r="E408" t="str">
            <v>INT</v>
          </cell>
          <cell r="F408">
            <v>135022.32875862232</v>
          </cell>
          <cell r="G408">
            <v>87972.385918500077</v>
          </cell>
          <cell r="H408">
            <v>10911.592402646324</v>
          </cell>
          <cell r="I408">
            <v>7562.9694421207341</v>
          </cell>
          <cell r="J408">
            <v>1998.4098225211499</v>
          </cell>
          <cell r="K408">
            <v>143485.5882395216</v>
          </cell>
          <cell r="L408">
            <v>135428.690347589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D409" t="str">
            <v>TRANGENPTXL-D%</v>
          </cell>
          <cell r="E409">
            <v>522381.96493152122</v>
          </cell>
          <cell r="F409">
            <v>0.25847433070611908</v>
          </cell>
          <cell r="G409">
            <v>0.16840624643316759</v>
          </cell>
          <cell r="H409">
            <v>2.088814916126884E-2</v>
          </cell>
          <cell r="I409">
            <v>1.4477853275643158E-2</v>
          </cell>
          <cell r="J409">
            <v>3.8255720079905906E-3</v>
          </cell>
          <cell r="K409">
            <v>0.27467561644922228</v>
          </cell>
          <cell r="L409">
            <v>0.25925223196658842</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row>
        <row r="411">
          <cell r="D411" t="str">
            <v>TRANGENPTXL-E</v>
          </cell>
          <cell r="E411" t="str">
            <v>INT</v>
          </cell>
          <cell r="F411">
            <v>87111.150456535455</v>
          </cell>
          <cell r="G411">
            <v>58956.863841044076</v>
          </cell>
          <cell r="H411">
            <v>8275.3254315018112</v>
          </cell>
          <cell r="I411">
            <v>8050.2261800092174</v>
          </cell>
          <cell r="J411">
            <v>2789.6400721625805</v>
          </cell>
          <cell r="K411">
            <v>317892.35267674585</v>
          </cell>
          <cell r="L411">
            <v>227400.66043524724</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D412" t="str">
            <v>TRANGENPTXL-E%</v>
          </cell>
          <cell r="E412">
            <v>710476.21909324627</v>
          </cell>
          <cell r="F412">
            <v>0.12260952318391755</v>
          </cell>
          <cell r="G412">
            <v>8.2982177667098381E-2</v>
          </cell>
          <cell r="H412">
            <v>1.1647575540337287E-2</v>
          </cell>
          <cell r="I412">
            <v>1.133074684791479E-2</v>
          </cell>
          <cell r="J412">
            <v>3.9264369407365834E-3</v>
          </cell>
          <cell r="K412">
            <v>0.4474355990161919</v>
          </cell>
          <cell r="L412">
            <v>0.32006794080380346</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4">
          <cell r="D414" t="str">
            <v>TRANGENPTXL-C</v>
          </cell>
          <cell r="E414" t="str">
            <v>INT</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D415" t="str">
            <v>TRANGENPTXL-C%</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7">
          <cell r="D417" t="str">
            <v>DISTGENPTXL-D</v>
          </cell>
          <cell r="E417" t="str">
            <v>INT</v>
          </cell>
          <cell r="F417">
            <v>5034165.4855220933</v>
          </cell>
          <cell r="G417">
            <v>3279957.8628335739</v>
          </cell>
          <cell r="H417">
            <v>406827.24383821187</v>
          </cell>
          <cell r="I417">
            <v>281977.35947545047</v>
          </cell>
          <cell r="J417">
            <v>34137.969338843221</v>
          </cell>
          <cell r="K417">
            <v>2453103.8007020159</v>
          </cell>
          <cell r="L417">
            <v>1018315.1204659181</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D418" t="str">
            <v>DISTGENPTXL-D%</v>
          </cell>
          <cell r="E418">
            <v>12508484.842176108</v>
          </cell>
          <cell r="F418">
            <v>0.40246005403851109</v>
          </cell>
          <cell r="G418">
            <v>0.26221863832573972</v>
          </cell>
          <cell r="H418">
            <v>3.2524102556887771E-2</v>
          </cell>
          <cell r="I418">
            <v>2.2542886931011759E-2</v>
          </cell>
          <cell r="J418">
            <v>2.7291850107805881E-3</v>
          </cell>
          <cell r="K418">
            <v>0.19611518354570337</v>
          </cell>
          <cell r="L418">
            <v>8.1409949591365632E-2</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20">
          <cell r="D420" t="str">
            <v>DISTGENPTXL-E</v>
          </cell>
          <cell r="E420" t="str">
            <v>INT</v>
          </cell>
          <cell r="F420">
            <v>3515033.6331392499</v>
          </cell>
          <cell r="G420">
            <v>2378976.2644574689</v>
          </cell>
          <cell r="H420">
            <v>333918.75855680578</v>
          </cell>
          <cell r="I420">
            <v>324835.7486821317</v>
          </cell>
          <cell r="J420">
            <v>47248.711477639343</v>
          </cell>
          <cell r="K420">
            <v>4780423.3520251261</v>
          </cell>
          <cell r="L420">
            <v>1087456.7767370846</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D421" t="str">
            <v>DISTGENPTXL-E%</v>
          </cell>
          <cell r="E421">
            <v>12467893.245075507</v>
          </cell>
          <cell r="F421">
            <v>0.28192683110497407</v>
          </cell>
          <cell r="G421">
            <v>0.19080819972509008</v>
          </cell>
          <cell r="H421">
            <v>2.6782292083604019E-2</v>
          </cell>
          <cell r="I421">
            <v>2.6053780081124238E-2</v>
          </cell>
          <cell r="J421">
            <v>3.7896307378394783E-3</v>
          </cell>
          <cell r="K421">
            <v>0.38341869456680411</v>
          </cell>
          <cell r="L421">
            <v>8.7220571700563909E-2</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3">
          <cell r="D423" t="str">
            <v>DISTGENPTXL-C</v>
          </cell>
          <cell r="E423" t="str">
            <v>INT</v>
          </cell>
          <cell r="F423">
            <v>13900270.994761221</v>
          </cell>
          <cell r="G423">
            <v>3262990.3822973645</v>
          </cell>
          <cell r="H423">
            <v>154663.75955884691</v>
          </cell>
          <cell r="I423">
            <v>40333.13314378709</v>
          </cell>
          <cell r="J423">
            <v>29525.215254892446</v>
          </cell>
          <cell r="K423">
            <v>543401.28738450422</v>
          </cell>
          <cell r="L423">
            <v>149785.80750969728</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row>
        <row r="424">
          <cell r="D424" t="str">
            <v>DISTGENPTXL-C%</v>
          </cell>
          <cell r="E424">
            <v>18080970.579910308</v>
          </cell>
          <cell r="F424">
            <v>0.7687790283894248</v>
          </cell>
          <cell r="G424">
            <v>0.18046544392494393</v>
          </cell>
          <cell r="H424">
            <v>8.55395228233451E-3</v>
          </cell>
          <cell r="I424">
            <v>2.2306951369414356E-3</v>
          </cell>
          <cell r="J424">
            <v>1.6329441566426634E-3</v>
          </cell>
          <cell r="K424">
            <v>3.0053767577514625E-2</v>
          </cell>
          <cell r="L424">
            <v>8.284168532198358E-3</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6">
          <cell r="D426" t="str">
            <v>BBAGENPTXL-D</v>
          </cell>
          <cell r="E426" t="str">
            <v>INT</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D427" t="str">
            <v>BBAGENPTXL-D%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9">
          <cell r="D429" t="str">
            <v>BBAGENPTXL-E</v>
          </cell>
          <cell r="E429" t="str">
            <v>INT</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D430" t="str">
            <v>BBAGENPTXL-E%</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2">
          <cell r="D432" t="str">
            <v>BBAGENPTXL-C</v>
          </cell>
          <cell r="E432" t="str">
            <v>INT</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D433" t="str">
            <v>BBAGENPTXL-C%</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5">
          <cell r="D435" t="str">
            <v>COMMPTGENPTXL-D</v>
          </cell>
          <cell r="E435" t="str">
            <v>INT</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D436" t="str">
            <v>COMMPTGENPTXL-D%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8">
          <cell r="D438" t="str">
            <v>COMMPTGENPTXL-E</v>
          </cell>
          <cell r="E438" t="str">
            <v>INT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D439" t="str">
            <v>COMMPTGENPTXL-E%</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1">
          <cell r="D441" t="str">
            <v>COMMCOLLGENPTXL-C</v>
          </cell>
          <cell r="E441" t="str">
            <v>INT</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D442" t="str">
            <v>COMMCOLLGENPTXL-C%</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row>
        <row r="444">
          <cell r="D444" t="str">
            <v>SUPPLABOR-D</v>
          </cell>
          <cell r="E444" t="str">
            <v>INT</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D445" t="str">
            <v>SUPPLABOR-D%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7">
          <cell r="D447" t="str">
            <v>SUPPLABOR-E</v>
          </cell>
          <cell r="E447" t="str">
            <v>INT</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row>
        <row r="448">
          <cell r="D448" t="str">
            <v>SUPPLABOR-E%</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50">
          <cell r="D450" t="str">
            <v>SUPPLABOR-C</v>
          </cell>
          <cell r="E450" t="str">
            <v>INT</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D451" t="str">
            <v>SUPPLABOR-C%</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3">
          <cell r="D453" t="str">
            <v>STORLABOR-D</v>
          </cell>
          <cell r="E453" t="str">
            <v>INT</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D454" t="str">
            <v>STORLABOR-D%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6">
          <cell r="D456" t="str">
            <v>STORLABOR-E</v>
          </cell>
          <cell r="E456" t="str">
            <v>INT</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D457" t="str">
            <v>STORLABOR-E%</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9">
          <cell r="D459" t="str">
            <v>STORLABOR-C</v>
          </cell>
          <cell r="E459" t="str">
            <v>INT</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D460" t="str">
            <v>STORLABOR-C%</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2">
          <cell r="D462" t="str">
            <v>TRANLABOR-D</v>
          </cell>
          <cell r="E462" t="str">
            <v>INT</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D463" t="str">
            <v>TRANLABOR-D%</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5">
          <cell r="D465" t="str">
            <v>TRANLABOR-E</v>
          </cell>
          <cell r="E465" t="str">
            <v>INT</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row>
        <row r="466">
          <cell r="D466" t="str">
            <v>TRANLABOR-E%</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8">
          <cell r="D468" t="str">
            <v>TRANLABOR-C</v>
          </cell>
          <cell r="E468" t="str">
            <v>INT</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D469" t="str">
            <v>TRANLABOR-C%</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1">
          <cell r="D471" t="str">
            <v>DISTLABOR-D</v>
          </cell>
          <cell r="E471" t="str">
            <v>INT</v>
          </cell>
          <cell r="F471">
            <v>749733.94723861839</v>
          </cell>
          <cell r="G471">
            <v>490518.62741072814</v>
          </cell>
          <cell r="H471">
            <v>46770.626952331106</v>
          </cell>
          <cell r="I471">
            <v>32261.406238275806</v>
          </cell>
          <cell r="J471">
            <v>3806.4922648921079</v>
          </cell>
          <cell r="K471">
            <v>274513.72392093379</v>
          </cell>
          <cell r="L471">
            <v>109727.82506028729</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D472" t="str">
            <v>DISTLABOR-D%</v>
          </cell>
          <cell r="E472">
            <v>1707332.6490860668</v>
          </cell>
          <cell r="F472">
            <v>0.43912587722137814</v>
          </cell>
          <cell r="G472">
            <v>0.28730114642468896</v>
          </cell>
          <cell r="H472">
            <v>2.73939744415755E-2</v>
          </cell>
          <cell r="I472">
            <v>1.8895794123977714E-2</v>
          </cell>
          <cell r="J472">
            <v>2.2294965582305938E-3</v>
          </cell>
          <cell r="K472">
            <v>0.16078514287645157</v>
          </cell>
          <cell r="L472">
            <v>6.4268568353697486E-2</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row>
        <row r="474">
          <cell r="D474" t="str">
            <v>DISTLABOR-E</v>
          </cell>
          <cell r="E474" t="str">
            <v>INT</v>
          </cell>
          <cell r="F474">
            <v>700417.85461281845</v>
          </cell>
          <cell r="G474">
            <v>476073.08123251382</v>
          </cell>
          <cell r="H474">
            <v>50528.477525678805</v>
          </cell>
          <cell r="I474">
            <v>48887.212797805594</v>
          </cell>
          <cell r="J474">
            <v>12101.099898781049</v>
          </cell>
          <cell r="K474">
            <v>766529.45580453612</v>
          </cell>
          <cell r="L474">
            <v>145743.84064966103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row>
        <row r="475">
          <cell r="D475" t="str">
            <v>DISTLABOR-E%</v>
          </cell>
          <cell r="E475">
            <v>2200281.0225217948</v>
          </cell>
          <cell r="F475">
            <v>0.31833108927606563</v>
          </cell>
          <cell r="G475">
            <v>0.21636921664073394</v>
          </cell>
          <cell r="H475">
            <v>2.2964556349155302E-2</v>
          </cell>
          <cell r="I475">
            <v>2.2218622211164094E-2</v>
          </cell>
          <cell r="J475">
            <v>5.4997974235635088E-3</v>
          </cell>
          <cell r="K475">
            <v>0.34837797897561212</v>
          </cell>
          <cell r="L475">
            <v>6.623873912370544E-2</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row>
        <row r="477">
          <cell r="D477" t="str">
            <v>DISTLABOR-C</v>
          </cell>
          <cell r="E477" t="str">
            <v>INT</v>
          </cell>
          <cell r="F477">
            <v>8525188.7195625864</v>
          </cell>
          <cell r="G477">
            <v>1818810.7146673924</v>
          </cell>
          <cell r="H477">
            <v>98050.266876028196</v>
          </cell>
          <cell r="I477">
            <v>42933.701854619183</v>
          </cell>
          <cell r="J477">
            <v>14017.980087261385</v>
          </cell>
          <cell r="K477">
            <v>243600.06120026851</v>
          </cell>
          <cell r="L477">
            <v>72161.114143981365</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row>
        <row r="478">
          <cell r="D478" t="str">
            <v>DISTLABOR-C%</v>
          </cell>
          <cell r="E478">
            <v>10814762.558392137</v>
          </cell>
          <cell r="F478">
            <v>0.78829180701217827</v>
          </cell>
          <cell r="G478">
            <v>0.16817851569529052</v>
          </cell>
          <cell r="H478">
            <v>9.0663356080751181E-3</v>
          </cell>
          <cell r="I478">
            <v>3.9699162716525013E-3</v>
          </cell>
          <cell r="J478">
            <v>1.296189353356037E-3</v>
          </cell>
          <cell r="K478">
            <v>2.252477203128584E-2</v>
          </cell>
          <cell r="L478">
            <v>6.6724640281616843E-3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80">
          <cell r="D480" t="str">
            <v>BBALABOR-D</v>
          </cell>
          <cell r="E480" t="str">
            <v>INT</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D481" t="str">
            <v>BBALABOR-D%</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3">
          <cell r="D483" t="str">
            <v>BBALABOR-E</v>
          </cell>
          <cell r="E483" t="str">
            <v>INT</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D484" t="str">
            <v>BBALABOR-E%</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6">
          <cell r="D486" t="str">
            <v>BBALABOR-C</v>
          </cell>
          <cell r="E486" t="str">
            <v>INT</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row>
        <row r="487">
          <cell r="D487" t="str">
            <v>BBALABOR-C%</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9">
          <cell r="D489" t="str">
            <v>GatherPTLABOR-D</v>
          </cell>
          <cell r="E489" t="str">
            <v>INT</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D490" t="str">
            <v>GatherPTLABOR-D%</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row>
        <row r="492">
          <cell r="D492" t="str">
            <v>GatherPTLABOR-E</v>
          </cell>
          <cell r="E492" t="str">
            <v>INT</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row>
        <row r="493">
          <cell r="D493" t="str">
            <v>GatherPTLABOR-E%</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5">
          <cell r="D495" t="str">
            <v>COMMCOLLLABOR-C</v>
          </cell>
          <cell r="E495" t="str">
            <v>INT</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row>
        <row r="496">
          <cell r="D496" t="str">
            <v>COMMCOLLLABOR-C%</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row>
        <row r="498">
          <cell r="D498" t="str">
            <v>FUNC8LABOR-C</v>
          </cell>
          <cell r="E498" t="str">
            <v>INT</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row>
        <row r="499">
          <cell r="D499" t="str">
            <v>FUNC8LABOR-C%</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row>
        <row r="501">
          <cell r="D501" t="str">
            <v>Income_BeforeTax</v>
          </cell>
          <cell r="E501" t="str">
            <v>INT</v>
          </cell>
          <cell r="F501">
            <v>3585512.9539656863</v>
          </cell>
          <cell r="G501">
            <v>10632303.543703996</v>
          </cell>
          <cell r="H501">
            <v>1129627.5225752573</v>
          </cell>
          <cell r="I501">
            <v>950468.42661790061</v>
          </cell>
          <cell r="J501">
            <v>101535.90440216752</v>
          </cell>
          <cell r="K501">
            <v>5422102.1284934664</v>
          </cell>
          <cell r="L501">
            <v>3358766.7129049618</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row>
        <row r="502">
          <cell r="D502" t="str">
            <v>Income_BeforeTax%</v>
          </cell>
          <cell r="E502">
            <v>25180317.192663431</v>
          </cell>
          <cell r="F502">
            <v>0.14239347846699746</v>
          </cell>
          <cell r="G502">
            <v>0.42224660882357101</v>
          </cell>
          <cell r="H502">
            <v>4.4861528706413079E-2</v>
          </cell>
          <cell r="I502">
            <v>3.7746483467445371E-2</v>
          </cell>
          <cell r="J502">
            <v>4.0323520798122093E-3</v>
          </cell>
          <cell r="K502">
            <v>0.21533097009886981</v>
          </cell>
          <cell r="L502">
            <v>0.13338857835689125</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row>
        <row r="504">
          <cell r="D504" t="str">
            <v>SUPP_PreTax-D</v>
          </cell>
          <cell r="E504" t="str">
            <v>INT</v>
          </cell>
          <cell r="F504">
            <v>-78791.031787981177</v>
          </cell>
          <cell r="G504">
            <v>-55852.761749707941</v>
          </cell>
          <cell r="H504">
            <v>-7996.7665045617832</v>
          </cell>
          <cell r="I504">
            <v>-7623.6946027485346</v>
          </cell>
          <cell r="J504">
            <v>-2846.6552841577927</v>
          </cell>
          <cell r="K504">
            <v>-38324.000662367274</v>
          </cell>
          <cell r="L504">
            <v>-30928.264516721858</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row>
        <row r="505">
          <cell r="D505" t="str">
            <v>SUPP_PreTax-D%</v>
          </cell>
          <cell r="E505">
            <v>-222363.17510824633</v>
          </cell>
          <cell r="F505">
            <v>0.35433489268007495</v>
          </cell>
          <cell r="G505">
            <v>0.25117810861676548</v>
          </cell>
          <cell r="H505">
            <v>3.5962638600878762E-2</v>
          </cell>
          <cell r="I505">
            <v>3.4284879225336309E-2</v>
          </cell>
          <cell r="J505">
            <v>1.2801828732532002E-2</v>
          </cell>
          <cell r="K505">
            <v>0.17234868428061959</v>
          </cell>
          <cell r="L505">
            <v>0.13908896786379304</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7">
          <cell r="D507" t="str">
            <v>SUPP_PreTax-E</v>
          </cell>
          <cell r="E507" t="str">
            <v>INT</v>
          </cell>
          <cell r="F507">
            <v>-54640092.170642138</v>
          </cell>
          <cell r="G507">
            <v>-36824097.723435938</v>
          </cell>
          <cell r="H507">
            <v>-5038030.307500313</v>
          </cell>
          <cell r="I507">
            <v>-4903529.4266715469</v>
          </cell>
          <cell r="J507">
            <v>-1654974.8289467169</v>
          </cell>
          <cell r="K507">
            <v>-125557.62250091319</v>
          </cell>
          <cell r="L507">
            <v>-98680.426196515968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row>
        <row r="508">
          <cell r="D508" t="str">
            <v>SUPP_PreTax-E%</v>
          </cell>
          <cell r="E508">
            <v>-103284962.50589408</v>
          </cell>
          <cell r="F508">
            <v>0.52902272358886737</v>
          </cell>
          <cell r="G508">
            <v>0.35652912902335154</v>
          </cell>
          <cell r="H508">
            <v>4.8777965206821004E-2</v>
          </cell>
          <cell r="I508">
            <v>4.7475734198884192E-2</v>
          </cell>
          <cell r="J508">
            <v>1.6023386065055441E-2</v>
          </cell>
          <cell r="K508">
            <v>1.2156428143520709E-3</v>
          </cell>
          <cell r="L508">
            <v>9.5541910266835461E-4</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10">
          <cell r="D510" t="str">
            <v>SUPP_PreTax-C</v>
          </cell>
          <cell r="E510" t="str">
            <v>INT</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row>
        <row r="511">
          <cell r="D511" t="str">
            <v>SUPP_PreTax-C%</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row>
        <row r="513">
          <cell r="D513" t="str">
            <v>STOR_PreTax-D</v>
          </cell>
          <cell r="E513" t="str">
            <v>INT</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D514" t="str">
            <v>STOR_PreTax-D%</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row>
        <row r="516">
          <cell r="D516" t="str">
            <v>STOR_PreTax-E</v>
          </cell>
          <cell r="E516" t="str">
            <v>INT</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row>
        <row r="517">
          <cell r="D517" t="str">
            <v>STOR_PreTax-E%</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row>
        <row r="519">
          <cell r="D519" t="str">
            <v>STOR_PreTax-C</v>
          </cell>
          <cell r="E519" t="str">
            <v>INT</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D520" t="str">
            <v>STOR_PreTax-C%</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2">
          <cell r="D522" t="str">
            <v>TRAN_PreTax-D</v>
          </cell>
          <cell r="E522" t="str">
            <v>INT</v>
          </cell>
          <cell r="F522">
            <v>171667.74126540328</v>
          </cell>
          <cell r="G522">
            <v>81201.917835356959</v>
          </cell>
          <cell r="H522">
            <v>6146.100418933438</v>
          </cell>
          <cell r="I522">
            <v>4720.784670980699</v>
          </cell>
          <cell r="J522">
            <v>226.72612418516928</v>
          </cell>
          <cell r="K522">
            <v>20420.159019639563</v>
          </cell>
          <cell r="L522">
            <v>-14319.252802514919</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row>
        <row r="523">
          <cell r="D523" t="str">
            <v>TRAN_PreTax-D%</v>
          </cell>
          <cell r="E523">
            <v>270064.17653198418</v>
          </cell>
          <cell r="F523">
            <v>0.63565535966252962</v>
          </cell>
          <cell r="G523">
            <v>0.30067637580854811</v>
          </cell>
          <cell r="H523">
            <v>2.2757925534064843E-2</v>
          </cell>
          <cell r="I523">
            <v>1.7480232778750677E-2</v>
          </cell>
          <cell r="J523">
            <v>8.3952683801554742E-4</v>
          </cell>
          <cell r="K523">
            <v>7.5612246251480039E-2</v>
          </cell>
          <cell r="L523">
            <v>-5.3021666873388752E-2</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row>
        <row r="525">
          <cell r="D525" t="str">
            <v>TRAN_PreTax-E</v>
          </cell>
          <cell r="E525" t="str">
            <v>INT</v>
          </cell>
          <cell r="F525">
            <v>323287.53465636162</v>
          </cell>
          <cell r="G525">
            <v>154403.42285113945</v>
          </cell>
          <cell r="H525">
            <v>11485.080729344148</v>
          </cell>
          <cell r="I525">
            <v>7208.8221931909447</v>
          </cell>
          <cell r="J525">
            <v>-368.80849310586473</v>
          </cell>
          <cell r="K525">
            <v>-99092.659162170225</v>
          </cell>
          <cell r="L525">
            <v>-104101.96940048199</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row>
        <row r="526">
          <cell r="D526" t="str">
            <v>TRAN_PreTax-E%</v>
          </cell>
          <cell r="E526">
            <v>292821.42337427801</v>
          </cell>
          <cell r="F526">
            <v>1.1040433139454502</v>
          </cell>
          <cell r="G526">
            <v>0.52729551366801575</v>
          </cell>
          <cell r="H526">
            <v>3.9222132714873688E-2</v>
          </cell>
          <cell r="I526">
            <v>2.4618493107919855E-2</v>
          </cell>
          <cell r="J526">
            <v>-1.2594996938952165E-3</v>
          </cell>
          <cell r="K526">
            <v>-0.33840645271200709</v>
          </cell>
          <cell r="L526">
            <v>-0.355513501030357</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row>
        <row r="528">
          <cell r="D528" t="str">
            <v>TRAN_PreTax-C</v>
          </cell>
          <cell r="E528" t="str">
            <v>INT</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row>
        <row r="529">
          <cell r="D529" t="str">
            <v>TRAN_PreTax-C%</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row>
        <row r="531">
          <cell r="D531" t="str">
            <v>DIST_PreTax-D</v>
          </cell>
          <cell r="E531" t="str">
            <v>INT</v>
          </cell>
          <cell r="F531">
            <v>4288817.3875267673</v>
          </cell>
          <cell r="G531">
            <v>1505852.7519136984</v>
          </cell>
          <cell r="H531">
            <v>65698.972824074503</v>
          </cell>
          <cell r="I531">
            <v>67306.000845681177</v>
          </cell>
          <cell r="J531">
            <v>8367.1712496830733</v>
          </cell>
          <cell r="K531">
            <v>752412.21345906286</v>
          </cell>
          <cell r="L531">
            <v>358993.27782953961</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row>
        <row r="532">
          <cell r="D532" t="str">
            <v>DIST_PreTax-D%</v>
          </cell>
          <cell r="E532">
            <v>7047447.7756485073</v>
          </cell>
          <cell r="F532">
            <v>0.60856320246120721</v>
          </cell>
          <cell r="G532">
            <v>0.2136734885949729</v>
          </cell>
          <cell r="H532">
            <v>9.3223781027634324E-3</v>
          </cell>
          <cell r="I532">
            <v>9.5504078906760922E-3</v>
          </cell>
          <cell r="J532">
            <v>1.1872626113803482E-3</v>
          </cell>
          <cell r="K532">
            <v>0.1067637870349207</v>
          </cell>
          <cell r="L532">
            <v>5.0939473304079219E-2</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row>
        <row r="534">
          <cell r="D534" t="str">
            <v>DIST_PreTax-E</v>
          </cell>
          <cell r="E534" t="str">
            <v>INT</v>
          </cell>
          <cell r="F534">
            <v>5956030.149047981</v>
          </cell>
          <cell r="G534">
            <v>2391621.312299123</v>
          </cell>
          <cell r="H534">
            <v>128228.2148472023</v>
          </cell>
          <cell r="I534">
            <v>30355.191887707508</v>
          </cell>
          <cell r="J534">
            <v>-15816.422579856931</v>
          </cell>
          <cell r="K534">
            <v>-1460843.3304072311</v>
          </cell>
          <cell r="L534">
            <v>341846.08108324767</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row>
        <row r="535">
          <cell r="D535" t="str">
            <v>DIST_PreTax-E%</v>
          </cell>
          <cell r="E535">
            <v>7371421.1961781746</v>
          </cell>
          <cell r="F535">
            <v>0.80798939451946872</v>
          </cell>
          <cell r="G535">
            <v>0.32444507628177527</v>
          </cell>
          <cell r="H535">
            <v>1.7395317868104481E-2</v>
          </cell>
          <cell r="I535">
            <v>4.1179565079588207E-3</v>
          </cell>
          <cell r="J535">
            <v>-2.1456408688269226E-3</v>
          </cell>
          <cell r="K535">
            <v>-0.19817661907104528</v>
          </cell>
          <cell r="L535">
            <v>4.6374514762564781E-2</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row>
        <row r="537">
          <cell r="D537" t="str">
            <v>DIST_PreTax-C</v>
          </cell>
          <cell r="E537" t="str">
            <v>INT</v>
          </cell>
          <cell r="F537">
            <v>-9705881.1033019572</v>
          </cell>
          <cell r="G537">
            <v>4823833.7055227216</v>
          </cell>
          <cell r="H537">
            <v>695752.21190866828</v>
          </cell>
          <cell r="I537">
            <v>627071.39539244119</v>
          </cell>
          <cell r="J537">
            <v>39071.339704880986</v>
          </cell>
          <cell r="K537">
            <v>6253562.544172287</v>
          </cell>
          <cell r="L537">
            <v>2824920.7151902788</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row>
        <row r="538">
          <cell r="D538" t="str">
            <v>DIST_PreTax-C%</v>
          </cell>
          <cell r="E538">
            <v>5558330.8085893206</v>
          </cell>
          <cell r="F538">
            <v>-1.7461862990060619</v>
          </cell>
          <cell r="G538">
            <v>0.86785653312833122</v>
          </cell>
          <cell r="H538">
            <v>0.12517286859456411</v>
          </cell>
          <cell r="I538">
            <v>0.11281649419344097</v>
          </cell>
          <cell r="J538">
            <v>7.0293296765467465E-3</v>
          </cell>
          <cell r="K538">
            <v>1.125079229632864</v>
          </cell>
          <cell r="L538">
            <v>0.50823184378031483</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40">
          <cell r="D540" t="str">
            <v>BBA_PreTax-D</v>
          </cell>
          <cell r="E540" t="str">
            <v>INT</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D541" t="str">
            <v>BBA_PreTax-D%</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3">
          <cell r="D543" t="str">
            <v>BBA_PreTax-E</v>
          </cell>
          <cell r="E543" t="str">
            <v>INT</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row>
        <row r="544">
          <cell r="D544" t="str">
            <v>BBA_PreTax-E%</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6">
          <cell r="D546" t="str">
            <v>BBA_PreTax-C</v>
          </cell>
          <cell r="E546" t="str">
            <v>INT</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row>
        <row r="547">
          <cell r="D547" t="str">
            <v>BBA_PreTax-C%</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row>
        <row r="549">
          <cell r="D549" t="str">
            <v>Gather_PreTax-D</v>
          </cell>
          <cell r="E549" t="str">
            <v>INT</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row>
        <row r="550">
          <cell r="D550" t="str">
            <v>Gather_PreTax-D%</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row>
        <row r="552">
          <cell r="D552" t="str">
            <v>Gather_PreTax-E</v>
          </cell>
          <cell r="E552" t="str">
            <v>INT</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row>
        <row r="553">
          <cell r="D553" t="str">
            <v>Gather_PreTax-E%</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row>
        <row r="555">
          <cell r="D555" t="str">
            <v>COLL-PROC_PreTax-C</v>
          </cell>
          <cell r="E555" t="str">
            <v>INT</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row>
        <row r="556">
          <cell r="D556" t="str">
            <v>COLL-PROC_PreTax-C%</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row>
        <row r="558">
          <cell r="D558" t="str">
            <v>COMMCOLL_PreTax-C</v>
          </cell>
          <cell r="E558" t="str">
            <v>INT</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row>
        <row r="559">
          <cell r="D559" t="str">
            <v>COMMCOLL_PreTax-C%</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row>
        <row r="561">
          <cell r="D561" t="str">
            <v>FUNC8_PreTax-C</v>
          </cell>
          <cell r="E561" t="str">
            <v>INT</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D562" t="str">
            <v>FUNC8_PreTax-C%</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row>
        <row r="564">
          <cell r="D564" t="str">
            <v>SUPPPT-D</v>
          </cell>
          <cell r="E564" t="str">
            <v>INT</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D565" t="str">
            <v>SUPPPT-D%</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7">
          <cell r="D567" t="str">
            <v>SUPPPT-E</v>
          </cell>
          <cell r="E567" t="str">
            <v>INT</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row>
        <row r="568">
          <cell r="D568" t="str">
            <v>SUPPPT-E%</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row>
        <row r="570">
          <cell r="D570" t="str">
            <v>SUPPPT-C</v>
          </cell>
          <cell r="E570" t="str">
            <v>INT</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row>
        <row r="571">
          <cell r="D571" t="str">
            <v>SUPPPT-C%</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row>
        <row r="573">
          <cell r="D573" t="str">
            <v>STORPT-D</v>
          </cell>
          <cell r="E573" t="str">
            <v>INT</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row>
        <row r="574">
          <cell r="D574" t="str">
            <v>STORPT-D%</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row>
        <row r="576">
          <cell r="D576" t="str">
            <v>STORPT-E</v>
          </cell>
          <cell r="E576" t="str">
            <v>INT</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row>
        <row r="577">
          <cell r="D577" t="str">
            <v>STORPT-E%</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row>
        <row r="579">
          <cell r="D579" t="str">
            <v>STORPT-C</v>
          </cell>
          <cell r="E579" t="str">
            <v>INT</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row>
        <row r="580">
          <cell r="D580" t="str">
            <v>STORPT-C%</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row>
        <row r="582">
          <cell r="D582" t="str">
            <v>TRANPT-D</v>
          </cell>
          <cell r="E582" t="str">
            <v>INT</v>
          </cell>
          <cell r="F582">
            <v>2279479.4029271835</v>
          </cell>
          <cell r="G582">
            <v>1485170.9607680484</v>
          </cell>
          <cell r="H582">
            <v>184212.12523621734</v>
          </cell>
          <cell r="I582">
            <v>127679.86766915403</v>
          </cell>
          <cell r="J582">
            <v>33737.634885470266</v>
          </cell>
          <cell r="K582">
            <v>2422358.1833904209</v>
          </cell>
          <cell r="L582">
            <v>2286339.6969297128</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row>
        <row r="583">
          <cell r="D583" t="str">
            <v>TRANPT-D%</v>
          </cell>
          <cell r="E583">
            <v>8818977.871806208</v>
          </cell>
          <cell r="F583">
            <v>0.25847433070611903</v>
          </cell>
          <cell r="G583">
            <v>0.16840624643316762</v>
          </cell>
          <cell r="H583">
            <v>2.0888149161268844E-2</v>
          </cell>
          <cell r="I583">
            <v>1.4477853275643158E-2</v>
          </cell>
          <cell r="J583">
            <v>3.8255720079905914E-3</v>
          </cell>
          <cell r="K583">
            <v>0.27467561644922234</v>
          </cell>
          <cell r="L583">
            <v>0.25925223196658836</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row>
        <row r="585">
          <cell r="D585" t="str">
            <v>TRANPT-E</v>
          </cell>
          <cell r="E585" t="str">
            <v>INT</v>
          </cell>
          <cell r="F585">
            <v>1470631.3767254094</v>
          </cell>
          <cell r="G585">
            <v>995323.94399071182</v>
          </cell>
          <cell r="H585">
            <v>139706.03267663831</v>
          </cell>
          <cell r="I585">
            <v>135905.85301665802</v>
          </cell>
          <cell r="J585">
            <v>47095.374109882818</v>
          </cell>
          <cell r="K585">
            <v>5366735.0943866214</v>
          </cell>
          <cell r="L585">
            <v>3839032.5988292019</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row>
        <row r="586">
          <cell r="D586" t="str">
            <v>TRANPT-E%</v>
          </cell>
          <cell r="E586">
            <v>11994430.273735125</v>
          </cell>
          <cell r="F586">
            <v>0.12260952318391756</v>
          </cell>
          <cell r="G586">
            <v>8.2982177667098395E-2</v>
          </cell>
          <cell r="H586">
            <v>1.1647575540337287E-2</v>
          </cell>
          <cell r="I586">
            <v>1.1330746847914791E-2</v>
          </cell>
          <cell r="J586">
            <v>3.9264369407365843E-3</v>
          </cell>
          <cell r="K586">
            <v>0.44743559901619184</v>
          </cell>
          <cell r="L586">
            <v>0.32006794080380346</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row>
        <row r="588">
          <cell r="D588" t="str">
            <v>TRANPT-C</v>
          </cell>
          <cell r="E588" t="str">
            <v>INT</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row>
        <row r="589">
          <cell r="D589" t="str">
            <v>TRANPT-C%</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row>
        <row r="591">
          <cell r="D591" t="str">
            <v>DISTPT-D</v>
          </cell>
          <cell r="E591" t="str">
            <v>INT</v>
          </cell>
          <cell r="F591">
            <v>73907318.843682408</v>
          </cell>
          <cell r="G591">
            <v>48153540.494337454</v>
          </cell>
          <cell r="H591">
            <v>5972690.1928669829</v>
          </cell>
          <cell r="I591">
            <v>4139750.8034622022</v>
          </cell>
          <cell r="J591">
            <v>501184.51446577255</v>
          </cell>
          <cell r="K591">
            <v>36014375.227939129</v>
          </cell>
          <cell r="L591">
            <v>14950033.03090903</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row>
        <row r="592">
          <cell r="D592" t="str">
            <v>DISTPT-D%</v>
          </cell>
          <cell r="E592">
            <v>183638893.10766301</v>
          </cell>
          <cell r="F592">
            <v>0.40246005403851104</v>
          </cell>
          <cell r="G592">
            <v>0.26221863832573966</v>
          </cell>
          <cell r="H592">
            <v>3.2524102556887771E-2</v>
          </cell>
          <cell r="I592">
            <v>2.2542886931011762E-2</v>
          </cell>
          <cell r="J592">
            <v>2.7291850107805881E-3</v>
          </cell>
          <cell r="K592">
            <v>0.19611518354570334</v>
          </cell>
          <cell r="L592">
            <v>8.1409949591365646E-2</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row>
        <row r="594">
          <cell r="D594" t="str">
            <v>DISTPT-E</v>
          </cell>
          <cell r="E594" t="str">
            <v>INT</v>
          </cell>
          <cell r="F594">
            <v>51604722.216188245</v>
          </cell>
          <cell r="G594">
            <v>34926098.040373832</v>
          </cell>
          <cell r="H594">
            <v>4902310.0705607794</v>
          </cell>
          <cell r="I594">
            <v>4768961.07581707</v>
          </cell>
          <cell r="J594">
            <v>693665.23491805536</v>
          </cell>
          <cell r="K594">
            <v>70182093.51718691</v>
          </cell>
          <cell r="L594">
            <v>15965111.786287576</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row>
        <row r="595">
          <cell r="D595" t="str">
            <v>DISTPT-E%</v>
          </cell>
          <cell r="E595">
            <v>183042961.94133249</v>
          </cell>
          <cell r="F595">
            <v>0.28192683110497407</v>
          </cell>
          <cell r="G595">
            <v>0.19080819972509008</v>
          </cell>
          <cell r="H595">
            <v>2.6782292083604012E-2</v>
          </cell>
          <cell r="I595">
            <v>2.6053780081124234E-2</v>
          </cell>
          <cell r="J595">
            <v>3.7896307378394783E-3</v>
          </cell>
          <cell r="K595">
            <v>0.38341869456680411</v>
          </cell>
          <cell r="L595">
            <v>8.7220571700563881E-2</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row>
        <row r="597">
          <cell r="D597" t="str">
            <v>DISTPT-C</v>
          </cell>
          <cell r="E597" t="str">
            <v>INT</v>
          </cell>
          <cell r="F597">
            <v>204071908.91478282</v>
          </cell>
          <cell r="G597">
            <v>47904438.434111163</v>
          </cell>
          <cell r="H597">
            <v>2270641.246131551</v>
          </cell>
          <cell r="I597">
            <v>592136.61922625825</v>
          </cell>
          <cell r="J597">
            <v>360058.26760486315</v>
          </cell>
          <cell r="K597">
            <v>6569587.081742025</v>
          </cell>
          <cell r="L597">
            <v>2117057.5873302082</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row>
        <row r="598">
          <cell r="D598" t="str">
            <v>DISTPT-C%</v>
          </cell>
          <cell r="E598">
            <v>263885828.15092888</v>
          </cell>
          <cell r="F598">
            <v>0.77333409810118481</v>
          </cell>
          <cell r="G598">
            <v>0.18153471434893553</v>
          </cell>
          <cell r="H598">
            <v>8.6046350500977378E-3</v>
          </cell>
          <cell r="I598">
            <v>2.2439121622233804E-3</v>
          </cell>
          <cell r="J598">
            <v>1.364447155528673E-3</v>
          </cell>
          <cell r="K598">
            <v>2.4895566115754292E-2</v>
          </cell>
          <cell r="L598">
            <v>8.0226270662756543E-3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row>
        <row r="600">
          <cell r="D600" t="str">
            <v>BBAPT-D</v>
          </cell>
          <cell r="E600" t="str">
            <v>INT</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row>
        <row r="601">
          <cell r="D601" t="str">
            <v>BBAPT-D%</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row>
        <row r="603">
          <cell r="D603" t="str">
            <v>BBAPT-E</v>
          </cell>
          <cell r="E603" t="str">
            <v>INT</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D604" t="str">
            <v>BBAPT-E%</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6">
          <cell r="D606" t="str">
            <v>BBAPT-C</v>
          </cell>
          <cell r="E606" t="str">
            <v>INT</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D607" t="str">
            <v>BBAPT-C%</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row>
        <row r="609">
          <cell r="D609" t="str">
            <v>COMMCOLL_PT-C</v>
          </cell>
          <cell r="E609" t="str">
            <v>INT</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row>
        <row r="610">
          <cell r="D610" t="str">
            <v>COMMCOLL_PT-C%</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row>
        <row r="612">
          <cell r="D612" t="str">
            <v>FUNC8PT-C</v>
          </cell>
          <cell r="E612" t="str">
            <v>INT</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row>
        <row r="613">
          <cell r="D613" t="str">
            <v>FUNC8PT-C%</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row>
        <row r="615">
          <cell r="D615" t="str">
            <v>BBACUSTACCT-C</v>
          </cell>
          <cell r="E615" t="str">
            <v>INT</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row>
        <row r="616">
          <cell r="D616" t="str">
            <v>BBACUSTACCT-C%</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row>
        <row r="618">
          <cell r="D618" t="str">
            <v>COMMCOLLCUSTACCT-C</v>
          </cell>
          <cell r="E618" t="str">
            <v>INT</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row>
        <row r="619">
          <cell r="D619" t="str">
            <v>COMMCOLLCUSTACCT-C%</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row>
        <row r="621">
          <cell r="D621" t="str">
            <v>SUPPO&amp;M-D</v>
          </cell>
          <cell r="E621" t="str">
            <v>INT</v>
          </cell>
          <cell r="F621">
            <v>39521.937719126894</v>
          </cell>
          <cell r="G621">
            <v>27990.660787458099</v>
          </cell>
          <cell r="H621">
            <v>4004.0389931585009</v>
          </cell>
          <cell r="I621">
            <v>3816.0392081921532</v>
          </cell>
          <cell r="J621">
            <v>1423.8328083144634</v>
          </cell>
          <cell r="K621">
            <v>19200.72972109956</v>
          </cell>
          <cell r="L621">
            <v>15480.859162986088</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row>
        <row r="622">
          <cell r="D622" t="str">
            <v>SUPPO&amp;M-D%</v>
          </cell>
          <cell r="E622">
            <v>111438.09840033576</v>
          </cell>
          <cell r="F622">
            <v>0.35465373410398948</v>
          </cell>
          <cell r="G622">
            <v>0.25117676260862831</v>
          </cell>
          <cell r="H622">
            <v>3.5930611259842142E-2</v>
          </cell>
          <cell r="I622">
            <v>3.4243577941210232E-2</v>
          </cell>
          <cell r="J622">
            <v>1.2776894336436142E-2</v>
          </cell>
          <cell r="K622">
            <v>0.17229950974326486</v>
          </cell>
          <cell r="L622">
            <v>0.13891891000662879</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row>
        <row r="624">
          <cell r="D624" t="str">
            <v>SUPPO&amp;M-E</v>
          </cell>
          <cell r="E624" t="str">
            <v>INT</v>
          </cell>
          <cell r="F624">
            <v>57230952.509482101</v>
          </cell>
          <cell r="G624">
            <v>38527350.25768014</v>
          </cell>
          <cell r="H624">
            <v>5264339.9768587491</v>
          </cell>
          <cell r="I624">
            <v>5121143.3136940012</v>
          </cell>
          <cell r="J624">
            <v>1726453.5498189414</v>
          </cell>
          <cell r="K624">
            <v>100324.09485405766</v>
          </cell>
          <cell r="L624">
            <v>65555.692555143687</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row>
        <row r="625">
          <cell r="D625" t="str">
            <v>SUPPO&amp;M-E%</v>
          </cell>
          <cell r="E625">
            <v>108036119.39494313</v>
          </cell>
          <cell r="F625">
            <v>0.52973906162128326</v>
          </cell>
          <cell r="G625">
            <v>0.35661545854713012</v>
          </cell>
          <cell r="H625">
            <v>4.8727592275080903E-2</v>
          </cell>
          <cell r="I625">
            <v>4.740214052832508E-2</v>
          </cell>
          <cell r="J625">
            <v>1.5980336571583223E-2</v>
          </cell>
          <cell r="K625">
            <v>9.28616238864588E-4</v>
          </cell>
          <cell r="L625">
            <v>6.067942177328165E-4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row>
        <row r="627">
          <cell r="D627" t="str">
            <v>SUPPO&amp;M-C</v>
          </cell>
          <cell r="E627" t="str">
            <v>INT</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row>
        <row r="628">
          <cell r="D628" t="str">
            <v>SUPPO&amp;M-C%</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row>
        <row r="630">
          <cell r="D630" t="str">
            <v>STORO&amp;M-D</v>
          </cell>
          <cell r="E630" t="str">
            <v>INT</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row>
        <row r="631">
          <cell r="D631" t="str">
            <v>STORO&amp;M-D%</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3">
          <cell r="D633" t="str">
            <v>STORO&amp;M-E</v>
          </cell>
          <cell r="E633" t="str">
            <v>INT</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row>
        <row r="634">
          <cell r="D634" t="str">
            <v>STORO&amp;M-E%</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6">
          <cell r="D636" t="str">
            <v>STORO&amp;M-C</v>
          </cell>
          <cell r="E636" t="str">
            <v>INT</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D637" t="str">
            <v>STORO&amp;M-C%</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row>
        <row r="639">
          <cell r="D639" t="str">
            <v>TRANO&amp;M-D</v>
          </cell>
          <cell r="E639" t="str">
            <v>INT</v>
          </cell>
          <cell r="F639">
            <v>4146.8947777142739</v>
          </cell>
          <cell r="G639">
            <v>2701.8659143456412</v>
          </cell>
          <cell r="H639">
            <v>335.12401961287651</v>
          </cell>
          <cell r="I639">
            <v>232.27890358497712</v>
          </cell>
          <cell r="J639">
            <v>61.376479971403711</v>
          </cell>
          <cell r="K639">
            <v>4406.8239825091605</v>
          </cell>
          <cell r="L639">
            <v>4159.3752227387567</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row>
        <row r="640">
          <cell r="D640" t="str">
            <v>TRANO&amp;M-D%</v>
          </cell>
          <cell r="E640">
            <v>16043.739300477089</v>
          </cell>
          <cell r="F640">
            <v>0.25847433070611903</v>
          </cell>
          <cell r="G640">
            <v>0.16840624643316762</v>
          </cell>
          <cell r="H640">
            <v>2.0888149161268844E-2</v>
          </cell>
          <cell r="I640">
            <v>1.447785327564316E-2</v>
          </cell>
          <cell r="J640">
            <v>3.8255720079905919E-3</v>
          </cell>
          <cell r="K640">
            <v>0.27467561644922239</v>
          </cell>
          <cell r="L640">
            <v>0.25925223196658836</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row>
        <row r="642">
          <cell r="D642" t="str">
            <v>TRANO&amp;M-E</v>
          </cell>
          <cell r="E642" t="str">
            <v>INT</v>
          </cell>
          <cell r="F642">
            <v>2675.4150830465596</v>
          </cell>
          <cell r="G642">
            <v>1810.7220710872582</v>
          </cell>
          <cell r="H642">
            <v>254.15725036952125</v>
          </cell>
          <cell r="I642">
            <v>247.24385375531563</v>
          </cell>
          <cell r="J642">
            <v>85.677265036911479</v>
          </cell>
          <cell r="K642">
            <v>9763.3195139683085</v>
          </cell>
          <cell r="L642">
            <v>6984.0790029144337</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row>
        <row r="643">
          <cell r="D643" t="str">
            <v>TRANO&amp;M-E%</v>
          </cell>
          <cell r="E643">
            <v>21820.614040178309</v>
          </cell>
          <cell r="F643">
            <v>0.12260952318391757</v>
          </cell>
          <cell r="G643">
            <v>8.2982177667098395E-2</v>
          </cell>
          <cell r="H643">
            <v>1.1647575540337287E-2</v>
          </cell>
          <cell r="I643">
            <v>1.1330746847914791E-2</v>
          </cell>
          <cell r="J643">
            <v>3.9264369407365843E-3</v>
          </cell>
          <cell r="K643">
            <v>0.4474355990161919</v>
          </cell>
          <cell r="L643">
            <v>0.32006794080380346</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row>
        <row r="645">
          <cell r="D645" t="str">
            <v>TRANO&amp;M-C</v>
          </cell>
          <cell r="E645" t="str">
            <v>INT</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row>
        <row r="646">
          <cell r="D646" t="str">
            <v>TRANO&amp;M-C%</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row>
        <row r="648">
          <cell r="D648" t="str">
            <v>DISTO&amp;M-D</v>
          </cell>
          <cell r="E648" t="str">
            <v>INT</v>
          </cell>
          <cell r="F648">
            <v>2403806.1441656849</v>
          </cell>
          <cell r="G648">
            <v>1603405.248740063</v>
          </cell>
          <cell r="H648">
            <v>159870.00684982861</v>
          </cell>
          <cell r="I648">
            <v>107958.40865833145</v>
          </cell>
          <cell r="J648">
            <v>12825.78904962016</v>
          </cell>
          <cell r="K648">
            <v>939469.52410604712</v>
          </cell>
          <cell r="L648">
            <v>394125.18777322664</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row>
        <row r="649">
          <cell r="D649" t="str">
            <v>DISTO&amp;M-D%</v>
          </cell>
          <cell r="E649">
            <v>5621460.3093428016</v>
          </cell>
          <cell r="F649">
            <v>0.42761240174027149</v>
          </cell>
          <cell r="G649">
            <v>0.28522931062507412</v>
          </cell>
          <cell r="H649">
            <v>2.8439230742966649E-2</v>
          </cell>
          <cell r="I649">
            <v>1.9204691079808184E-2</v>
          </cell>
          <cell r="J649">
            <v>2.2815760218574963E-3</v>
          </cell>
          <cell r="K649">
            <v>0.16712197052154931</v>
          </cell>
          <cell r="L649">
            <v>7.0110819268472846E-2</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row>
        <row r="651">
          <cell r="D651" t="str">
            <v>DISTO&amp;M-E</v>
          </cell>
          <cell r="E651" t="str">
            <v>INT</v>
          </cell>
          <cell r="F651">
            <v>2100030.8047865168</v>
          </cell>
          <cell r="G651">
            <v>1458398.1390881161</v>
          </cell>
          <cell r="H651">
            <v>158660.86880279618</v>
          </cell>
          <cell r="I651">
            <v>149469.02821515879</v>
          </cell>
          <cell r="J651">
            <v>33767.658006734026</v>
          </cell>
          <cell r="K651">
            <v>2375068.7799616866</v>
          </cell>
          <cell r="L651">
            <v>476243.7955369039</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row>
        <row r="652">
          <cell r="D652" t="str">
            <v>DISTO&amp;M-E%</v>
          </cell>
          <cell r="E652">
            <v>6751639.0743979122</v>
          </cell>
          <cell r="F652">
            <v>0.31104014619943088</v>
          </cell>
          <cell r="G652">
            <v>0.21600653160183492</v>
          </cell>
          <cell r="H652">
            <v>2.3499607584835984E-2</v>
          </cell>
          <cell r="I652">
            <v>2.2138184012522606E-2</v>
          </cell>
          <cell r="J652">
            <v>5.0014015314859385E-3</v>
          </cell>
          <cell r="K652">
            <v>0.35177662102346413</v>
          </cell>
          <cell r="L652">
            <v>7.0537508046425557E-2</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row>
        <row r="654">
          <cell r="D654" t="str">
            <v>DISTO&amp;M-C</v>
          </cell>
          <cell r="E654" t="str">
            <v>INT</v>
          </cell>
          <cell r="F654">
            <v>23660126.388721213</v>
          </cell>
          <cell r="G654">
            <v>4965957.1317594945</v>
          </cell>
          <cell r="H654">
            <v>257447.63597404625</v>
          </cell>
          <cell r="I654">
            <v>124276.01577651073</v>
          </cell>
          <cell r="J654">
            <v>37752.070579423686</v>
          </cell>
          <cell r="K654">
            <v>659336.91535377689</v>
          </cell>
          <cell r="L654">
            <v>202994.81598903547</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row>
        <row r="655">
          <cell r="D655" t="str">
            <v>DISTO&amp;M-C%</v>
          </cell>
          <cell r="E655">
            <v>29907890.9741535</v>
          </cell>
          <cell r="F655">
            <v>0.79109979400314034</v>
          </cell>
          <cell r="G655">
            <v>0.16604170237383475</v>
          </cell>
          <cell r="H655">
            <v>8.6080170680217262E-3</v>
          </cell>
          <cell r="I655">
            <v>4.1552918553805912E-3</v>
          </cell>
          <cell r="J655">
            <v>1.2622779256500952E-3</v>
          </cell>
          <cell r="K655">
            <v>2.2045583753250206E-2</v>
          </cell>
          <cell r="L655">
            <v>6.7873330207223331E-3</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row>
        <row r="657">
          <cell r="D657" t="str">
            <v>BBAO&amp;M-D</v>
          </cell>
          <cell r="E657" t="str">
            <v>INT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row>
        <row r="658">
          <cell r="D658" t="str">
            <v>BBAO&amp;M-D%</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row>
        <row r="660">
          <cell r="D660" t="str">
            <v>BBAO&amp;M-E</v>
          </cell>
          <cell r="E660" t="str">
            <v>INT</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row>
        <row r="661">
          <cell r="D661" t="str">
            <v>BBAO&amp;M-E%</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row>
        <row r="663">
          <cell r="D663" t="str">
            <v>BBAO&amp;M-C</v>
          </cell>
          <cell r="E663" t="str">
            <v>INT</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row>
        <row r="664">
          <cell r="D664" t="str">
            <v>BBAO&amp;M-C%</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row>
        <row r="666">
          <cell r="D666" t="str">
            <v>Gather_O&amp;M-D</v>
          </cell>
          <cell r="E666" t="str">
            <v>INT</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row>
        <row r="667">
          <cell r="D667" t="str">
            <v>Gather_O&amp;M-D%</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row>
        <row r="669">
          <cell r="D669" t="str">
            <v>Gather_O&amp;M-E</v>
          </cell>
          <cell r="E669" t="str">
            <v>INT</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D670" t="str">
            <v>Gather_O&amp;M-E%</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row>
        <row r="672">
          <cell r="D672" t="str">
            <v>COLL-PROCO&amp;M-C</v>
          </cell>
          <cell r="E672" t="str">
            <v>INT</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row>
        <row r="673">
          <cell r="D673" t="str">
            <v>COLL-PROCO&amp;M-C%</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5">
          <cell r="D675" t="str">
            <v>BBAREVRATE-C</v>
          </cell>
          <cell r="E675" t="str">
            <v>INT</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row>
        <row r="676">
          <cell r="D676" t="str">
            <v>BBAREVRATE-C%</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row>
        <row r="678">
          <cell r="D678" t="str">
            <v>COMMCOLLREVRATE-C</v>
          </cell>
          <cell r="E678" t="str">
            <v>INT</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row>
        <row r="679">
          <cell r="D679" t="str">
            <v>COMMCOLLREVRATE-C%</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row>
        <row r="681">
          <cell r="D681" t="str">
            <v>DISTBASE-C</v>
          </cell>
          <cell r="E681" t="str">
            <v>INT</v>
          </cell>
          <cell r="F681">
            <v>67514471.84843117</v>
          </cell>
          <cell r="G681">
            <v>16709819.081155509</v>
          </cell>
          <cell r="H681">
            <v>931920.07361377263</v>
          </cell>
          <cell r="I681">
            <v>367972.40701265744</v>
          </cell>
          <cell r="J681">
            <v>99588.832563221164</v>
          </cell>
          <cell r="K681">
            <v>1458514.6878745481</v>
          </cell>
          <cell r="L681">
            <v>1232342.3567008716</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row>
        <row r="682">
          <cell r="D682" t="str">
            <v>DISTBASE-C%</v>
          </cell>
          <cell r="E682">
            <v>88314629.287351757</v>
          </cell>
          <cell r="F682">
            <v>0.76447664892254108</v>
          </cell>
          <cell r="G682">
            <v>0.18920782678922093</v>
          </cell>
          <cell r="H682">
            <v>1.0552272948817555E-2</v>
          </cell>
          <cell r="I682">
            <v>4.1666076162237562E-3</v>
          </cell>
          <cell r="J682">
            <v>1.1276595210425015E-3</v>
          </cell>
          <cell r="K682">
            <v>1.6514983979935401E-2</v>
          </cell>
          <cell r="L682">
            <v>1.3954000222218734E-2</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row>
        <row r="684">
          <cell r="D684" t="str">
            <v>STORBASE-D</v>
          </cell>
          <cell r="E684" t="str">
            <v>INT</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D685" t="str">
            <v>STORBASE-D%</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D687" t="str">
            <v>DISTBASE-D</v>
          </cell>
          <cell r="E687" t="str">
            <v>INT</v>
          </cell>
          <cell r="F687">
            <v>40745173.030748986</v>
          </cell>
          <cell r="G687">
            <v>26536034.206140961</v>
          </cell>
          <cell r="H687">
            <v>3238054.4301289725</v>
          </cell>
          <cell r="I687">
            <v>2287178.0414688019</v>
          </cell>
          <cell r="J687">
            <v>272744.10566980066</v>
          </cell>
          <cell r="K687">
            <v>18765942.183340944</v>
          </cell>
          <cell r="L687">
            <v>7920550.4115334554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row>
        <row r="688">
          <cell r="D688" t="str">
            <v>DISTBASE-D%</v>
          </cell>
          <cell r="E688">
            <v>99765676.409031913</v>
          </cell>
          <cell r="F688">
            <v>0.40840872830548236</v>
          </cell>
          <cell r="G688">
            <v>0.26598360439461344</v>
          </cell>
          <cell r="H688">
            <v>3.2456597766682686E-2</v>
          </cell>
          <cell r="I688">
            <v>2.2925500270168476E-2</v>
          </cell>
          <cell r="J688">
            <v>2.7338471054069733E-3</v>
          </cell>
          <cell r="K688">
            <v>0.1881001849413817</v>
          </cell>
          <cell r="L688">
            <v>7.9391537216264477E-2</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row>
        <row r="690">
          <cell r="D690" t="str">
            <v>SUPPGAS-D</v>
          </cell>
          <cell r="E690" t="str">
            <v>INT</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row>
        <row r="691">
          <cell r="D691" t="str">
            <v>SUPPGAS-D%</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row>
        <row r="693">
          <cell r="D693" t="str">
            <v>STORGAS-D</v>
          </cell>
          <cell r="E693" t="str">
            <v>INT</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row>
        <row r="694">
          <cell r="D694" t="str">
            <v>STORGAS-D%</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row>
        <row r="696">
          <cell r="D696" t="str">
            <v>TRANGAS-D</v>
          </cell>
          <cell r="E696" t="str">
            <v>INT</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row>
        <row r="697">
          <cell r="D697" t="str">
            <v>TRANGAS-D%</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row>
        <row r="699">
          <cell r="D699" t="str">
            <v>DISTGAS-D</v>
          </cell>
          <cell r="E699" t="str">
            <v>INT</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row>
        <row r="700">
          <cell r="D700" t="str">
            <v>DISTGAS-D%</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row>
        <row r="702">
          <cell r="D702" t="str">
            <v>BBAGAS-D</v>
          </cell>
          <cell r="E702" t="str">
            <v>INT</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row>
        <row r="703">
          <cell r="D703" t="str">
            <v>BBAGAS-D%</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row>
        <row r="705">
          <cell r="D705" t="str">
            <v>Gather_GAS-D</v>
          </cell>
          <cell r="E705" t="str">
            <v>INT</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row>
        <row r="706">
          <cell r="D706" t="str">
            <v>Gather_GAS-D%</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8">
          <cell r="D708" t="str">
            <v>SUPPGAS-C</v>
          </cell>
          <cell r="E708" t="str">
            <v>INT</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row>
        <row r="709">
          <cell r="D709" t="str">
            <v>SUPPGAS-C%</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row>
        <row r="711">
          <cell r="D711" t="str">
            <v>STORGAS-C</v>
          </cell>
          <cell r="E711" t="str">
            <v>INT</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row>
        <row r="712">
          <cell r="D712" t="str">
            <v>STORGAS-C%</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4">
          <cell r="D714" t="str">
            <v>TRANGAS-C</v>
          </cell>
          <cell r="E714" t="str">
            <v>INT</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row>
        <row r="715">
          <cell r="D715" t="str">
            <v>TRANGAS-C%</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row>
        <row r="717">
          <cell r="D717" t="str">
            <v>DISTGAS-C</v>
          </cell>
          <cell r="E717" t="str">
            <v>INT</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row>
        <row r="718">
          <cell r="D718" t="str">
            <v>DISTGAS-C%</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row>
        <row r="720">
          <cell r="D720" t="str">
            <v>BBAGAS-C</v>
          </cell>
          <cell r="E720" t="str">
            <v>INT</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row>
        <row r="721">
          <cell r="D721" t="str">
            <v>BBAGAS-C%</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row>
        <row r="723">
          <cell r="D723" t="str">
            <v>COMMCOLLGAS-C</v>
          </cell>
          <cell r="E723" t="str">
            <v>INT</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row>
        <row r="724">
          <cell r="D724" t="str">
            <v>COMMCOLLGAS-C%</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row>
        <row r="726">
          <cell r="D726" t="str">
            <v>SUPPGAS-E</v>
          </cell>
          <cell r="E726" t="str">
            <v>INT</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row>
        <row r="727">
          <cell r="D727" t="str">
            <v>SUPPGAS-E%</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row>
        <row r="729">
          <cell r="D729" t="str">
            <v>STORGAS-E</v>
          </cell>
          <cell r="E729" t="str">
            <v>INT</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row>
        <row r="730">
          <cell r="D730" t="str">
            <v>STORGAS-E%</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row>
        <row r="732">
          <cell r="D732" t="str">
            <v>DISTGAS-E</v>
          </cell>
          <cell r="E732" t="str">
            <v>INT</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D733" t="str">
            <v>DISTGAS-E%</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D735" t="str">
            <v>BBAGAS-E</v>
          </cell>
          <cell r="E735" t="str">
            <v>INT</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row>
        <row r="736">
          <cell r="D736" t="str">
            <v>BBAGAS-E%</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8">
          <cell r="D738" t="str">
            <v>Gather_GAS-E</v>
          </cell>
          <cell r="E738" t="str">
            <v>INT</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row>
        <row r="739">
          <cell r="D739" t="str">
            <v>Gather_GAS-E%</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row>
        <row r="741">
          <cell r="D741" t="str">
            <v>GRT_T-F</v>
          </cell>
          <cell r="E741" t="str">
            <v>INT</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row>
        <row r="742">
          <cell r="D742" t="str">
            <v>GRT_T-F%</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row>
        <row r="744">
          <cell r="D744" t="str">
            <v>Rev_GRT</v>
          </cell>
          <cell r="E744" t="str">
            <v>INT</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row>
        <row r="745">
          <cell r="D745" t="str">
            <v>Rev_GRT%</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row>
        <row r="747">
          <cell r="D747" t="str">
            <v>MuniTax_T-F</v>
          </cell>
          <cell r="E747" t="str">
            <v>INT</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row>
        <row r="748">
          <cell r="D748" t="str">
            <v>MuniTax_T-F%</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row>
        <row r="750">
          <cell r="D750" t="str">
            <v>Rev_MuniTax</v>
          </cell>
          <cell r="E750" t="str">
            <v>INT</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row>
        <row r="751">
          <cell r="D751" t="str">
            <v>Rev_MuniTax%</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row>
        <row r="753">
          <cell r="D753" t="str">
            <v>RevDeficiency</v>
          </cell>
          <cell r="E753" t="str">
            <v>INT</v>
          </cell>
          <cell r="F753">
            <v>12643693.119678274</v>
          </cell>
          <cell r="G753">
            <v>0</v>
          </cell>
          <cell r="H753">
            <v>0</v>
          </cell>
          <cell r="I753">
            <v>0</v>
          </cell>
          <cell r="J753">
            <v>0</v>
          </cell>
          <cell r="K753">
            <v>283310.14514898136</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row>
        <row r="754">
          <cell r="D754" t="str">
            <v>RevDeficiency%</v>
          </cell>
          <cell r="E754">
            <v>12927003.264827255</v>
          </cell>
          <cell r="F754">
            <v>0.97808384980300633</v>
          </cell>
          <cell r="G754">
            <v>0</v>
          </cell>
          <cell r="H754">
            <v>0</v>
          </cell>
          <cell r="I754">
            <v>0</v>
          </cell>
          <cell r="J754">
            <v>0</v>
          </cell>
          <cell r="K754">
            <v>2.1916150196993646E-2</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row>
        <row r="756">
          <cell r="D756" t="str">
            <v>SUPPREVREQ-D</v>
          </cell>
          <cell r="E756" t="str">
            <v>INT</v>
          </cell>
          <cell r="F756">
            <v>39532.409269116179</v>
          </cell>
          <cell r="G756">
            <v>27998.077063596986</v>
          </cell>
          <cell r="H756">
            <v>4005.0998848276772</v>
          </cell>
          <cell r="I756">
            <v>3817.0502883070412</v>
          </cell>
          <cell r="J756">
            <v>1424.2100604758987</v>
          </cell>
          <cell r="K756">
            <v>19205.817057720913</v>
          </cell>
          <cell r="L756">
            <v>15484.960899893686</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D757" t="str">
            <v>SUPPREVREQ-D%</v>
          </cell>
          <cell r="E757">
            <v>111467.62452393839</v>
          </cell>
          <cell r="F757">
            <v>0.35465373410398948</v>
          </cell>
          <cell r="G757">
            <v>0.25117676260862831</v>
          </cell>
          <cell r="H757">
            <v>3.5930611259842149E-2</v>
          </cell>
          <cell r="I757">
            <v>3.4243577941210232E-2</v>
          </cell>
          <cell r="J757">
            <v>1.2776894336436142E-2</v>
          </cell>
          <cell r="K757">
            <v>0.17229950974326488</v>
          </cell>
          <cell r="L757">
            <v>0.13891891000662879</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9">
          <cell r="D759" t="str">
            <v>SUPPREVREQ-E</v>
          </cell>
          <cell r="E759" t="str">
            <v>INT</v>
          </cell>
          <cell r="F759">
            <v>57246116.15819782</v>
          </cell>
          <cell r="G759">
            <v>38537558.286371581</v>
          </cell>
          <cell r="H759">
            <v>5265734.7920527831</v>
          </cell>
          <cell r="I759">
            <v>5122500.1881618667</v>
          </cell>
          <cell r="J759">
            <v>1726910.9829736515</v>
          </cell>
          <cell r="K759">
            <v>100350.67626263789</v>
          </cell>
          <cell r="L759">
            <v>65573.061888513723</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D760" t="str">
            <v>SUPPREVREQ-E%</v>
          </cell>
          <cell r="E760">
            <v>108064744.14590885</v>
          </cell>
          <cell r="F760">
            <v>0.52973906162128326</v>
          </cell>
          <cell r="G760">
            <v>0.35661545854713012</v>
          </cell>
          <cell r="H760">
            <v>4.872759227508091E-2</v>
          </cell>
          <cell r="I760">
            <v>4.7402140528325087E-2</v>
          </cell>
          <cell r="J760">
            <v>1.5980336571583226E-2</v>
          </cell>
          <cell r="K760">
            <v>9.286162388645881E-4</v>
          </cell>
          <cell r="L760">
            <v>6.067942177328165E-4</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2">
          <cell r="D762" t="str">
            <v>SUPPREVREQ-C</v>
          </cell>
          <cell r="E762" t="str">
            <v>INT</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row>
        <row r="763">
          <cell r="D763" t="str">
            <v>SUPPREVREQ-C%</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row>
        <row r="765">
          <cell r="D765" t="str">
            <v>STORREVREQ-D</v>
          </cell>
          <cell r="E765" t="str">
            <v>INT</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row>
        <row r="766">
          <cell r="D766" t="str">
            <v>STORREVREQ-D%</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8">
          <cell r="D768" t="str">
            <v>STORREVREQ-E</v>
          </cell>
          <cell r="E768" t="str">
            <v>INT</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row>
        <row r="769">
          <cell r="D769" t="str">
            <v>STORREVREQ-E%</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1">
          <cell r="D771" t="str">
            <v>STORREVREQ-C</v>
          </cell>
          <cell r="E771" t="str">
            <v>INT</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row>
        <row r="772">
          <cell r="D772" t="str">
            <v>STORREVREQ-C%</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row>
        <row r="774">
          <cell r="D774" t="str">
            <v>TRANREVREQ-D</v>
          </cell>
          <cell r="E774" t="str">
            <v>INT</v>
          </cell>
          <cell r="F774">
            <v>136305.29129926406</v>
          </cell>
          <cell r="G774">
            <v>80755.707667965311</v>
          </cell>
          <cell r="H774">
            <v>10016.476841681204</v>
          </cell>
          <cell r="I774">
            <v>6942.552972650692</v>
          </cell>
          <cell r="J774">
            <v>1834.4733718807838</v>
          </cell>
          <cell r="K774">
            <v>131991.90843142339</v>
          </cell>
          <cell r="L774">
            <v>124319.00775883556</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D775" t="str">
            <v>TRANREVREQ-D%</v>
          </cell>
          <cell r="E775">
            <v>492165.41834370105</v>
          </cell>
          <cell r="F775">
            <v>0.27695015988318789</v>
          </cell>
          <cell r="G775">
            <v>0.16408245004237579</v>
          </cell>
          <cell r="H775">
            <v>2.0351850147029737E-2</v>
          </cell>
          <cell r="I775">
            <v>1.4106137314593684E-2</v>
          </cell>
          <cell r="J775">
            <v>3.727351218731279E-3</v>
          </cell>
          <cell r="K775">
            <v>0.26818606816305723</v>
          </cell>
          <cell r="L775">
            <v>0.25259598323102428</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row>
        <row r="777">
          <cell r="D777" t="str">
            <v>TRANREVREQ-E</v>
          </cell>
          <cell r="E777" t="str">
            <v>INT</v>
          </cell>
          <cell r="F777">
            <v>126926.35229347972</v>
          </cell>
          <cell r="G777">
            <v>70896.121106810009</v>
          </cell>
          <cell r="H777">
            <v>9951.1479371055248</v>
          </cell>
          <cell r="I777">
            <v>9680.4642074231269</v>
          </cell>
          <cell r="J777">
            <v>3354.565482547996</v>
          </cell>
          <cell r="K777">
            <v>382765.07713312609</v>
          </cell>
          <cell r="L777">
            <v>275426.76435104251</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D778" t="str">
            <v>TRANREVREQ-E%</v>
          </cell>
          <cell r="E778">
            <v>879000.49251153506</v>
          </cell>
          <cell r="F778">
            <v>0.1443984996308908</v>
          </cell>
          <cell r="G778">
            <v>8.0655382688400085E-2</v>
          </cell>
          <cell r="H778">
            <v>1.1320981070980386E-2</v>
          </cell>
          <cell r="I778">
            <v>1.1013036158561754E-2</v>
          </cell>
          <cell r="J778">
            <v>3.816340845228792E-3</v>
          </cell>
          <cell r="K778">
            <v>0.43545490633283473</v>
          </cell>
          <cell r="L778">
            <v>0.3133408532731034</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row>
        <row r="780">
          <cell r="D780" t="str">
            <v>DISTREVREQ-D</v>
          </cell>
          <cell r="E780" t="str">
            <v>INT</v>
          </cell>
          <cell r="F780">
            <v>8655316.3176801074</v>
          </cell>
          <cell r="G780">
            <v>5336121.0118775824</v>
          </cell>
          <cell r="H780">
            <v>615257.67857872811</v>
          </cell>
          <cell r="I780">
            <v>426881.97090494109</v>
          </cell>
          <cell r="J780">
            <v>50956.23828906141</v>
          </cell>
          <cell r="K780">
            <v>3624221.8454155698</v>
          </cell>
          <cell r="L780">
            <v>1508643.3718873523</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row>
        <row r="781">
          <cell r="D781" t="str">
            <v>DISTREVREQ-D%</v>
          </cell>
          <cell r="E781">
            <v>20217398.434633344</v>
          </cell>
          <cell r="F781">
            <v>0.42811226902731203</v>
          </cell>
          <cell r="G781">
            <v>0.26393707524389282</v>
          </cell>
          <cell r="H781">
            <v>3.0432089497962462E-2</v>
          </cell>
          <cell r="I781">
            <v>2.1114584662568277E-2</v>
          </cell>
          <cell r="J781">
            <v>2.5204151985139195E-3</v>
          </cell>
          <cell r="K781">
            <v>0.17926252267982754</v>
          </cell>
          <cell r="L781">
            <v>7.4621043689922839E-2</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row>
        <row r="783">
          <cell r="D783" t="str">
            <v>DISTREVREQ-E</v>
          </cell>
          <cell r="E783" t="str">
            <v>INT</v>
          </cell>
          <cell r="F783">
            <v>6808736.0091161765</v>
          </cell>
          <cell r="G783">
            <v>4258016.1553192139</v>
          </cell>
          <cell r="H783">
            <v>543278.35380737018</v>
          </cell>
          <cell r="I783">
            <v>528149.68292911327</v>
          </cell>
          <cell r="J783">
            <v>90482.712793416606</v>
          </cell>
          <cell r="K783">
            <v>7978799.1074715983</v>
          </cell>
          <cell r="L783">
            <v>1806436.7494462975</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row>
        <row r="784">
          <cell r="D784" t="str">
            <v>DISTREVREQ-E%</v>
          </cell>
          <cell r="E784">
            <v>22013898.770883191</v>
          </cell>
          <cell r="F784">
            <v>0.30929260100540618</v>
          </cell>
          <cell r="G784">
            <v>0.19342399089029624</v>
          </cell>
          <cell r="H784">
            <v>2.467887944165258E-2</v>
          </cell>
          <cell r="I784">
            <v>2.3991646751263956E-2</v>
          </cell>
          <cell r="J784">
            <v>4.110253878022465E-3</v>
          </cell>
          <cell r="K784">
            <v>0.36244370842773216</v>
          </cell>
          <cell r="L784">
            <v>8.205891960562621E-2</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row>
        <row r="786">
          <cell r="D786" t="str">
            <v>DISTREVREQ-C</v>
          </cell>
          <cell r="E786" t="str">
            <v>INT</v>
          </cell>
          <cell r="F786">
            <v>42628971.409539446</v>
          </cell>
          <cell r="G786">
            <v>9002588.9169392399</v>
          </cell>
          <cell r="H786">
            <v>450542.37025714351</v>
          </cell>
          <cell r="I786">
            <v>188839.53056773776</v>
          </cell>
          <cell r="J786">
            <v>66164.565148898429</v>
          </cell>
          <cell r="K786">
            <v>1132309.2553852089</v>
          </cell>
          <cell r="L786">
            <v>393736.12216262566</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row>
        <row r="787">
          <cell r="D787" t="str">
            <v>DISTREVREQ-C%</v>
          </cell>
          <cell r="E787">
            <v>53863152.1700003</v>
          </cell>
          <cell r="F787">
            <v>0.79143105615126141</v>
          </cell>
          <cell r="G787">
            <v>0.1671381743223215</v>
          </cell>
          <cell r="H787">
            <v>8.3645748922224848E-3</v>
          </cell>
          <cell r="I787">
            <v>3.5059130956861099E-3</v>
          </cell>
          <cell r="J787">
            <v>1.2283827158884612E-3</v>
          </cell>
          <cell r="K787">
            <v>2.1021964177132979E-2</v>
          </cell>
          <cell r="L787">
            <v>7.3099346454870403E-3</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row>
        <row r="789">
          <cell r="D789" t="str">
            <v>BBAREVREQ-D</v>
          </cell>
          <cell r="E789" t="str">
            <v>INT</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row>
        <row r="790">
          <cell r="D790" t="str">
            <v>BBAREVREQ-D%</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row>
        <row r="792">
          <cell r="D792" t="str">
            <v>BBAREVREQ-E</v>
          </cell>
          <cell r="E792" t="str">
            <v>INT</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row>
        <row r="793">
          <cell r="D793" t="str">
            <v>BBAREVREQ-E%</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row>
        <row r="795">
          <cell r="D795" t="str">
            <v>COMMCOLLREVREQ-C</v>
          </cell>
          <cell r="E795" t="str">
            <v>INT</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row>
        <row r="796">
          <cell r="D796" t="str">
            <v>COMMCOLLREVREQ-C%</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row>
        <row r="798">
          <cell r="D798" t="str">
            <v>BBAREVREQ-C</v>
          </cell>
          <cell r="E798" t="str">
            <v>INT</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row>
        <row r="799">
          <cell r="D799" t="str">
            <v>BBAREVREQ-C%</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row>
        <row r="804">
          <cell r="D804" t="str">
            <v>LAST Line of Afactor and Afirst Range</v>
          </cell>
          <cell r="E804" t="str">
            <v>END</v>
          </cell>
        </row>
      </sheetData>
      <sheetData sheetId="95" refreshError="1"/>
      <sheetData sheetId="96">
        <row r="77">
          <cell r="E77">
            <v>1</v>
          </cell>
        </row>
        <row r="81">
          <cell r="E81">
            <v>2</v>
          </cell>
        </row>
        <row r="89">
          <cell r="E89">
            <v>1</v>
          </cell>
        </row>
        <row r="95">
          <cell r="E95" t="str">
            <v>HISTORIC YEAR ENDING DEC 31, 2016</v>
          </cell>
        </row>
        <row r="117">
          <cell r="E117" t="b">
            <v>1</v>
          </cell>
        </row>
        <row r="119">
          <cell r="E119">
            <v>0.5</v>
          </cell>
        </row>
        <row r="134">
          <cell r="E134" t="str">
            <v>$E:$I</v>
          </cell>
        </row>
        <row r="135">
          <cell r="E135" t="str">
            <v>$K:$O</v>
          </cell>
        </row>
        <row r="136">
          <cell r="E136" t="str">
            <v>$Q:$U</v>
          </cell>
        </row>
        <row r="137">
          <cell r="E137" t="str">
            <v>$W:$AA</v>
          </cell>
        </row>
        <row r="138">
          <cell r="E138" t="str">
            <v>$AC:$AG</v>
          </cell>
        </row>
        <row r="139">
          <cell r="E139" t="str">
            <v>$AI:$AM</v>
          </cell>
        </row>
        <row r="140">
          <cell r="E140" t="str">
            <v>$AO:$AS</v>
          </cell>
        </row>
        <row r="141">
          <cell r="E141" t="str">
            <v>$AU:$AY</v>
          </cell>
        </row>
      </sheetData>
      <sheetData sheetId="97" refreshError="1"/>
      <sheetData sheetId="98" refreshError="1"/>
      <sheetData sheetId="99" refreshError="1"/>
      <sheetData sheetId="100">
        <row r="61">
          <cell r="D61">
            <v>6.3829096908015401E-2</v>
          </cell>
          <cell r="E61">
            <v>7.5980000000000006E-2</v>
          </cell>
        </row>
        <row r="63">
          <cell r="E63">
            <v>0</v>
          </cell>
        </row>
        <row r="64">
          <cell r="E64">
            <v>0</v>
          </cell>
        </row>
        <row r="66">
          <cell r="E66">
            <v>0.43215512</v>
          </cell>
        </row>
        <row r="70">
          <cell r="E70">
            <v>9.7891000000000006E-2</v>
          </cell>
        </row>
        <row r="71">
          <cell r="E71">
            <v>9.7891000000000006E-2</v>
          </cell>
        </row>
        <row r="72">
          <cell r="E72">
            <v>9.7891000000000006E-2</v>
          </cell>
        </row>
        <row r="73">
          <cell r="E73">
            <v>9.7891000000000006E-2</v>
          </cell>
        </row>
        <row r="74">
          <cell r="E74">
            <v>9.7891000000000006E-2</v>
          </cell>
        </row>
        <row r="75">
          <cell r="E75">
            <v>9.7891000000000006E-2</v>
          </cell>
        </row>
        <row r="76">
          <cell r="E76">
            <v>9.7891000000000006E-2</v>
          </cell>
        </row>
        <row r="77">
          <cell r="E77">
            <v>9.7891000000000006E-2</v>
          </cell>
        </row>
        <row r="83">
          <cell r="E83" t="str">
            <v>Using Target for System</v>
          </cell>
        </row>
      </sheetData>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row r="3">
          <cell r="C3">
            <v>0.21</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itle"/>
      <sheetName val="Summary of Request"/>
      <sheetName val="Summary Bill Impacts"/>
      <sheetName val="Schedule"/>
      <sheetName val="Proof ---&gt;"/>
      <sheetName val="Exh 301, Proof of Revenue"/>
      <sheetName val="Exh 302, Margin Baseline"/>
      <sheetName val="Proof WPs ---&gt;"/>
      <sheetName val="1501 Summary"/>
      <sheetName val="Revenue Recon"/>
      <sheetName val="Allocation Summary"/>
      <sheetName val="Forecast"/>
      <sheetName val="163"/>
      <sheetName val="902-905"/>
      <sheetName val="163 3 Day Peak"/>
      <sheetName val="Rev Req ---&gt;"/>
      <sheetName val="Exh 401, RR Summary"/>
      <sheetName val="Exh 402, RR Calc"/>
      <sheetName val="Exh 403, Conversion Factor"/>
      <sheetName val="Exh 404, Summary of Adj"/>
      <sheetName val="Exh 405, Plant Additions"/>
      <sheetName val="Exh 406, Envi Rem"/>
      <sheetName val="RR WPs ---&gt;"/>
      <sheetName val="Uncollectibles"/>
      <sheetName val="Removal 50% Membership Fees"/>
      <sheetName val="Promotional Advertising Adj"/>
      <sheetName val="Interest Coord. Adj."/>
      <sheetName val="PGA Commodity Sharing Adj"/>
      <sheetName val="Annul Wage Rate Adj"/>
      <sheetName val="Revenue Adjustment"/>
      <sheetName val="2020 Wage Adjustment"/>
      <sheetName val="Incentive Comp. Adj"/>
      <sheetName val="2020 Plant Additions  "/>
      <sheetName val="Inflation Factor"/>
      <sheetName val="DR 58a Summary"/>
      <sheetName val="DR 58b Summary"/>
      <sheetName val="Depreciation Expense Adj"/>
      <sheetName val="UM 2073 DEPN"/>
      <sheetName val="A&amp;G Adj."/>
      <sheetName val="Rate Case Costs"/>
      <sheetName val="D&amp;O Insurance Prem."/>
      <sheetName val="Capital Structure Calculation"/>
      <sheetName val="Long-Term Debt"/>
      <sheetName val="State Alloc. Formulas"/>
      <sheetName val="Meals-Entertainment"/>
      <sheetName val="Cat A"/>
      <sheetName val="WOs-271"/>
      <sheetName val="PUC Misc. Labor"/>
      <sheetName val="PUC 3-year W&amp;S "/>
      <sheetName val="PUC 3-year Incentives"/>
      <sheetName val="PUC 3-year OT"/>
      <sheetName val="PUC FTE"/>
      <sheetName val="PUC Depreciation"/>
      <sheetName val="PUC Payroll Taxes"/>
      <sheetName val="Cost of Service ---&gt;"/>
      <sheetName val="Sch 1, Summary"/>
      <sheetName val="Sch 2, Functionalization"/>
      <sheetName val="Sch 3, Plant Carrying Costs"/>
      <sheetName val="Sch 4, O&amp;M Costs"/>
      <sheetName val="Sch 5a, ECC-Mains"/>
      <sheetName val="Sch 5b, ECC-Service"/>
      <sheetName val="Sch 5c, ECC-Meters"/>
      <sheetName val="COS WPs ---&gt;"/>
      <sheetName val="Dec19_O&amp;M"/>
      <sheetName val="DEC19_RB"/>
      <sheetName val="OR2019 13-MO PLT-RESERV"/>
      <sheetName val="RWIP"/>
      <sheetName val="PJA-1"/>
      <sheetName val="HWIndex"/>
      <sheetName val="JDE_Additions_Activity"/>
      <sheetName val="PowerPlanData"/>
      <sheetName val="Combined 12-31-2019"/>
      <sheetName val="Service Activity PP 2018-19"/>
      <sheetName val="Service Activity PP 2016-17"/>
      <sheetName val="Service Activity PP 2014-15"/>
      <sheetName val="2013 Services -  Additions Only"/>
      <sheetName val="Service Activity PowerPlan 2013"/>
      <sheetName val="Activity Type Description"/>
      <sheetName val="PJA-2"/>
      <sheetName val="MeterCount"/>
      <sheetName val="382 Summary"/>
      <sheetName val="382 2014-2019 1012 Activity"/>
      <sheetName val="Pre-Cap Assets"/>
      <sheetName val="Ind Meter Cost"/>
      <sheetName val="385 Summary"/>
      <sheetName val="385 Thru 12-2019 1012 Activity"/>
      <sheetName val="385 Thru 12-17 1012 Activity"/>
      <sheetName val="PJA-3A Investment"/>
      <sheetName val="PJA-3B Mains Unit Cost"/>
      <sheetName val="PJA-3C Regression"/>
      <sheetName val="PJA-3D 105 Sample"/>
      <sheetName val="HandyWhitman"/>
      <sheetName val="BASE"/>
      <sheetName val="Pivot"/>
      <sheetName val="MainsbyWOIDlength"/>
      <sheetName val="CR WO Query"/>
      <sheetName val="Combined 12-31-2019 (2)"/>
      <sheetName val="Combined 12-31-2017"/>
      <sheetName val="GIS Request"/>
      <sheetName val="Ext WO Lookup"/>
      <sheetName val="2018 &amp; 2019 Main Activity"/>
      <sheetName val="2016 &amp; 2017 Main Activity"/>
      <sheetName val="2014-15 Main Activity"/>
      <sheetName val="Activity Type Description (2)"/>
      <sheetName val="PP OR Main WO's V-2"/>
      <sheetName val="2009-2013 Summary"/>
      <sheetName val="Raw Data 2002-2009"/>
      <sheetName val="2002-2009 Pivot"/>
      <sheetName val="GIS 2016-17 OR Growth Mains"/>
      <sheetName val="WP-4A"/>
      <sheetName val="WP-4B"/>
      <sheetName val="WP-4C"/>
      <sheetName val="WP-4D"/>
      <sheetName val="WP-4E"/>
      <sheetName val="WP-4F"/>
      <sheetName val="PJA-5"/>
      <sheetName val="Large Volume Summary"/>
      <sheetName val="New Customers 2017"/>
      <sheetName val="GIS info"/>
      <sheetName val="Dana list"/>
      <sheetName val="Equipment cost tabulation"/>
      <sheetName val="Meters"/>
      <sheetName val="Ind Regs"/>
      <sheetName val="Mini-Max Temp Correctors"/>
      <sheetName val="Rate Design ---&gt;"/>
      <sheetName val="PJA-505"/>
      <sheetName val="PJA-506"/>
      <sheetName val="PJA-507 RES Monthly Impact"/>
      <sheetName val="PJA-508 Bill Impact"/>
      <sheetName val="RD WPs ---&gt;"/>
      <sheetName val="Sch 111-170 Bill Impact"/>
      <sheetName val="Sch 163 Bill Impact"/>
      <sheetName val="Sch 111 Customer Impact"/>
      <sheetName val="Sch 163 Customer Impact"/>
      <sheetName val="Sch 170 Customer Impact"/>
      <sheetName val="Revenue Spread"/>
      <sheetName val="163_Customer_ID"/>
    </sheetNames>
    <sheetDataSet>
      <sheetData sheetId="0"/>
      <sheetData sheetId="1"/>
      <sheetData sheetId="2">
        <row r="2">
          <cell r="A2" t="str">
            <v>Cascade Natural Gas Corp.</v>
          </cell>
        </row>
        <row r="3">
          <cell r="A3" t="str">
            <v>Oregon Jurisdiction</v>
          </cell>
        </row>
        <row r="4">
          <cell r="A4" t="str">
            <v>Twelve-Months ended December 31, 2020</v>
          </cell>
        </row>
      </sheetData>
      <sheetData sheetId="3"/>
      <sheetData sheetId="4"/>
      <sheetData sheetId="5">
        <row r="3">
          <cell r="G3">
            <v>43696</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16">
          <cell r="I16">
            <v>3230498.1551638227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9">
          <cell r="A9" t="str">
            <v>Year</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ickelson, Christopher" id="{69B874FE-6D93-4004-92F3-027476B557BD}" userId="Mickelson, Christopher" providerId="None"/>
  <person displayName="Myhrum, Isaac" id="{2607184A-91D3-4E24-BDEC-492CBAD15DDA}" userId="S::Isaac.Myhrum@cngc.com::e363f7e5-b5ec-4eac-9ee7-dc4b3bd077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13" dT="2019-03-07T23:12:42.13" personId="{2607184A-91D3-4E24-BDEC-492CBAD15DDA}" id="{16B61CCE-73A8-4707-8C64-7D187BF1C70E}">
    <text>Needs to include 916</text>
  </threadedComment>
</ThreadedComments>
</file>

<file path=xl/threadedComments/threadedComment2.xml><?xml version="1.0" encoding="utf-8"?>
<ThreadedComments xmlns="http://schemas.microsoft.com/office/spreadsheetml/2018/threadedcomments" xmlns:x="http://schemas.openxmlformats.org/spreadsheetml/2006/main">
  <threadedComment ref="AA10" dT="2020-03-11T20:37:44.83" personId="{2607184A-91D3-4E24-BDEC-492CBAD15DDA}" id="{0F6CF6E9-B4F1-4D40-A2A1-7E4DAFC1313D}">
    <text>Low income bill assistance liability</text>
  </threadedComment>
  <threadedComment ref="I430" dT="2020-05-05T20:33:49.14" personId="{2607184A-91D3-4E24-BDEC-492CBAD15DDA}" id="{AFC22D1B-C89B-4869-8E8D-7B543DC6AA30}">
    <text>WA502-Adjusted in Revenue Reconciliation, cell F19.</text>
  </threadedComment>
</ThreadedComments>
</file>

<file path=xl/threadedComments/threadedComment3.xml><?xml version="1.0" encoding="utf-8"?>
<ThreadedComments xmlns="http://schemas.microsoft.com/office/spreadsheetml/2018/threadedcomments" xmlns:x="http://schemas.openxmlformats.org/spreadsheetml/2006/main">
  <threadedComment ref="E19" dT="2020-05-01T15:42:47.66" personId="{2607184A-91D3-4E24-BDEC-492CBAD15DDA}" id="{5316388D-9D55-4A67-AF8A-5C3148E66F87}">
    <text>502(R) ADJUSTMENT</text>
  </threadedComment>
  <threadedComment ref="F19" dT="2020-05-01T15:42:32.12" personId="{2607184A-91D3-4E24-BDEC-492CBAD15DDA}" id="{83560EEB-ED2D-4F8D-9F09-E5D40201EADA}">
    <text>502(R) ADJUSTMENT</text>
  </threadedComment>
  <threadedComment ref="H19" dT="2020-05-01T15:47:22.03" personId="{2607184A-91D3-4E24-BDEC-492CBAD15DDA}" id="{FDEB6750-CFD0-40C7-9A24-BBB64E0D8DE6}">
    <text>502(R) ADJUSTMENT</text>
  </threadedComment>
  <threadedComment ref="O19" dT="2020-05-01T16:30:12.19" personId="{2607184A-91D3-4E24-BDEC-492CBAD15DDA}" id="{F8F55C9B-AF4D-4083-BA1D-644B7D2BCDCA}">
    <text>502R ADJUSTMENT</text>
  </threadedComment>
  <threadedComment ref="N159" dT="2020-05-01T16:28:28.60" personId="{2607184A-91D3-4E24-BDEC-492CBAD15DDA}" id="{B9F9BFD2-C533-4E85-9AF8-7956B200ECBE}">
    <text>05LV(4809)</text>
  </threadedComment>
  <threadedComment ref="P399" dT="2020-05-01T21:39:21.33" personId="{2607184A-91D3-4E24-BDEC-492CBAD15DDA}" id="{98B62C50-B9DD-4A98-A28C-E7CFDC2AB039}">
    <text>This value is a reverse value of the difference from CNGCWA908.</text>
  </threadedComment>
  <threadedComment ref="P419" dT="2020-05-01T22:00:24.90" personId="{2607184A-91D3-4E24-BDEC-492CBAD15DDA}" id="{266E56CC-EA47-4ACB-9FFE-114DA4206F63}">
    <text>Mirror adjustment with WA903</text>
  </threadedComment>
</ThreadedComments>
</file>

<file path=xl/threadedComments/threadedComment4.xml><?xml version="1.0" encoding="utf-8"?>
<ThreadedComments xmlns="http://schemas.microsoft.com/office/spreadsheetml/2018/threadedcomments" xmlns:x="http://schemas.openxmlformats.org/spreadsheetml/2006/main">
  <threadedComment ref="B19" dT="2020-09-25T17:10:31.24" personId="{69B874FE-6D93-4004-92F3-027476B557BD}" id="{5F543D96-E48D-43DD-8D13-BD2270702666}">
    <text>Missing $1.7M of resources group from MDU.</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www.ferc.gov/enforcement/acct-matts/interest-rates.asp"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7.bin"/><Relationship Id="rId4" Type="http://schemas.microsoft.com/office/2017/10/relationships/threadedComment" Target="../threadedComments/threadedComment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0820-5FC2-41B2-B094-130364AAABE1}">
  <sheetPr codeName="Sheet38">
    <tabColor theme="2"/>
  </sheetPr>
  <dimension ref="A1:B5"/>
  <sheetViews>
    <sheetView showGridLines="0" zoomScale="80" zoomScaleNormal="80" workbookViewId="0">
      <selection activeCell="F27" sqref="F27"/>
    </sheetView>
  </sheetViews>
  <sheetFormatPr defaultColWidth="8.88671875" defaultRowHeight="14.4"/>
  <cols>
    <col min="1" max="1" width="6" style="613" bestFit="1" customWidth="1"/>
    <col min="2" max="2" width="37.88671875" style="613" bestFit="1" customWidth="1"/>
    <col min="3" max="16384" width="8.88671875" style="613"/>
  </cols>
  <sheetData>
    <row r="1" spans="1:2">
      <c r="A1" s="873" t="str">
        <f ca="1">MID(CELL("filename",A1),FIND("]",CELL("filename",A1))+1,255)</f>
        <v>Cover</v>
      </c>
      <c r="B1" s="873"/>
    </row>
    <row r="2" spans="1:2">
      <c r="B2" s="613" t="str">
        <f>CompanyD</f>
        <v>Cascade Natural Gas Corp.</v>
      </c>
    </row>
    <row r="3" spans="1:2">
      <c r="B3" s="613" t="s">
        <v>3241</v>
      </c>
    </row>
    <row r="4" spans="1:2">
      <c r="B4" s="613" t="str">
        <f>Title6</f>
        <v>Embedded Cost of Service (ECOS) Study</v>
      </c>
    </row>
    <row r="5" spans="1:2">
      <c r="B5" s="613" t="str">
        <f>Title3</f>
        <v>General Rate Case Model</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81784-1ADC-4A1B-97E5-7C451682FECF}">
  <sheetPr codeName="Sheet51">
    <tabColor theme="8" tint="0.79998168889431442"/>
    <pageSetUpPr fitToPage="1"/>
  </sheetPr>
  <dimension ref="A1:AO493"/>
  <sheetViews>
    <sheetView zoomScale="80" zoomScaleNormal="80" workbookViewId="0">
      <pane xSplit="2" ySplit="4" topLeftCell="Z56" activePane="bottomRight" state="frozen"/>
      <selection activeCell="F27" sqref="F27"/>
      <selection pane="topRight" activeCell="F27" sqref="F27"/>
      <selection pane="bottomLeft" activeCell="F27" sqref="F27"/>
      <selection pane="bottomRight" activeCell="AF75" sqref="AF75"/>
    </sheetView>
  </sheetViews>
  <sheetFormatPr defaultColWidth="9.109375" defaultRowHeight="14.4"/>
  <cols>
    <col min="1" max="1" width="5.5546875" style="910" customWidth="1"/>
    <col min="2" max="2" width="56.33203125" style="910" customWidth="1"/>
    <col min="3" max="3" width="22" style="910" customWidth="1"/>
    <col min="4" max="4" width="0.88671875" style="910" customWidth="1"/>
    <col min="5" max="5" width="14.33203125" style="910" customWidth="1"/>
    <col min="6" max="6" width="13" style="899" customWidth="1"/>
    <col min="7" max="7" width="17.6640625" style="898" bestFit="1" customWidth="1"/>
    <col min="8" max="8" width="13" style="899" bestFit="1" customWidth="1"/>
    <col min="9" max="9" width="17.6640625" style="898" bestFit="1" customWidth="1"/>
    <col min="10" max="10" width="13" style="899" bestFit="1" customWidth="1"/>
    <col min="11" max="11" width="17.6640625" style="898" bestFit="1" customWidth="1"/>
    <col min="12" max="12" width="13.6640625" style="899" bestFit="1" customWidth="1"/>
    <col min="13" max="13" width="17.6640625" style="898" bestFit="1" customWidth="1"/>
    <col min="14" max="14" width="13.6640625" style="899" bestFit="1" customWidth="1"/>
    <col min="15" max="15" width="17.6640625" style="898" bestFit="1" customWidth="1"/>
    <col min="16" max="16" width="13.6640625" style="899" bestFit="1" customWidth="1"/>
    <col min="17" max="17" width="17.6640625" style="898" bestFit="1" customWidth="1"/>
    <col min="18" max="18" width="13.6640625" style="899" bestFit="1" customWidth="1"/>
    <col min="19" max="19" width="17.6640625" style="898" bestFit="1" customWidth="1"/>
    <col min="20" max="20" width="13.6640625" style="899" bestFit="1" customWidth="1"/>
    <col min="21" max="21" width="17.6640625" style="898" bestFit="1" customWidth="1"/>
    <col min="22" max="22" width="13.6640625" style="899" bestFit="1" customWidth="1"/>
    <col min="23" max="23" width="17.6640625" style="898" bestFit="1" customWidth="1"/>
    <col min="24" max="24" width="13.6640625" style="899" bestFit="1" customWidth="1"/>
    <col min="25" max="25" width="17.6640625" style="898" bestFit="1" customWidth="1"/>
    <col min="26" max="26" width="13.6640625" style="899" bestFit="1" customWidth="1"/>
    <col min="27" max="27" width="17.6640625" style="898" bestFit="1" customWidth="1"/>
    <col min="28" max="28" width="13.6640625" style="899" bestFit="1" customWidth="1"/>
    <col min="29" max="29" width="17.6640625" style="898" bestFit="1" customWidth="1"/>
    <col min="30" max="30" width="18.6640625" style="898" bestFit="1" customWidth="1"/>
    <col min="31" max="31" width="7.33203125" style="898" customWidth="1"/>
    <col min="32" max="32" width="15.5546875" style="898" customWidth="1"/>
    <col min="33" max="33" width="33.6640625" style="898" bestFit="1" customWidth="1"/>
    <col min="34" max="34" width="11.44140625" style="898" bestFit="1" customWidth="1"/>
    <col min="35" max="35" width="18.44140625" style="898" customWidth="1"/>
    <col min="36" max="36" width="41" style="898" customWidth="1"/>
    <col min="37" max="37" width="38.33203125" style="898" bestFit="1" customWidth="1"/>
    <col min="38" max="38" width="25.6640625" style="898" bestFit="1" customWidth="1"/>
    <col min="39" max="39" width="22.5546875" style="898" customWidth="1"/>
    <col min="40" max="40" width="20" style="898" customWidth="1"/>
    <col min="41" max="41" width="28.5546875" style="898" customWidth="1"/>
    <col min="42" max="42" width="20.109375" style="910" customWidth="1"/>
    <col min="43" max="16384" width="9.109375" style="910"/>
  </cols>
  <sheetData>
    <row r="1" spans="1:38" ht="15.6">
      <c r="B1" s="911" t="s">
        <v>2877</v>
      </c>
      <c r="AI1" s="898">
        <v>221481599.95999998</v>
      </c>
      <c r="AJ1" s="33" t="s">
        <v>23</v>
      </c>
      <c r="AK1" s="898">
        <f>AK24-AK2</f>
        <v>221481599.96000001</v>
      </c>
      <c r="AL1" s="898">
        <f>AK1-AI1</f>
        <v>0</v>
      </c>
    </row>
    <row r="2" spans="1:38" ht="15.6">
      <c r="B2" s="911" t="s">
        <v>2878</v>
      </c>
      <c r="AI2" s="898">
        <v>24094627.940000001</v>
      </c>
      <c r="AJ2" s="33" t="s">
        <v>24</v>
      </c>
      <c r="AK2" s="898">
        <f>'Allocation Report Summary 2019'!P13</f>
        <v>24094627.939999998</v>
      </c>
      <c r="AL2" s="898">
        <f>AK2-AI2</f>
        <v>0</v>
      </c>
    </row>
    <row r="3" spans="1:38" ht="15.6">
      <c r="B3" s="911" t="s">
        <v>2879</v>
      </c>
      <c r="AI3" s="898">
        <v>1748761.5300000012</v>
      </c>
      <c r="AJ3" s="33" t="s">
        <v>25</v>
      </c>
      <c r="AK3" s="898">
        <f>SUM('Allocation Report Summary 2019'!P12,'Allocation Report Summary 2019'!P15:P18)</f>
        <v>1748761.5299999998</v>
      </c>
      <c r="AL3" s="898">
        <f>AK3-AI3</f>
        <v>0</v>
      </c>
    </row>
    <row r="4" spans="1:38" ht="57" customHeight="1">
      <c r="C4" s="912" t="s">
        <v>2880</v>
      </c>
      <c r="D4" s="912"/>
      <c r="E4" s="912"/>
      <c r="F4" s="913" t="s">
        <v>2881</v>
      </c>
      <c r="G4" s="914">
        <v>43466</v>
      </c>
      <c r="H4" s="915" t="s">
        <v>2881</v>
      </c>
      <c r="I4" s="914">
        <v>43497</v>
      </c>
      <c r="J4" s="915" t="s">
        <v>2881</v>
      </c>
      <c r="K4" s="914">
        <v>43525</v>
      </c>
      <c r="L4" s="915" t="s">
        <v>2881</v>
      </c>
      <c r="M4" s="914">
        <v>43556</v>
      </c>
      <c r="N4" s="915" t="s">
        <v>2881</v>
      </c>
      <c r="O4" s="914">
        <v>43586</v>
      </c>
      <c r="P4" s="915" t="s">
        <v>2881</v>
      </c>
      <c r="Q4" s="916">
        <v>43617</v>
      </c>
      <c r="R4" s="915" t="s">
        <v>2881</v>
      </c>
      <c r="S4" s="914">
        <v>43647</v>
      </c>
      <c r="T4" s="915" t="s">
        <v>2881</v>
      </c>
      <c r="U4" s="914">
        <v>43678</v>
      </c>
      <c r="V4" s="915" t="s">
        <v>2881</v>
      </c>
      <c r="W4" s="914">
        <v>43709</v>
      </c>
      <c r="X4" s="915" t="s">
        <v>2881</v>
      </c>
      <c r="Y4" s="914">
        <v>43739</v>
      </c>
      <c r="Z4" s="915" t="s">
        <v>2881</v>
      </c>
      <c r="AA4" s="914">
        <v>43770</v>
      </c>
      <c r="AB4" s="915" t="s">
        <v>2881</v>
      </c>
      <c r="AC4" s="914">
        <v>43800</v>
      </c>
      <c r="AD4" s="917" t="s">
        <v>2882</v>
      </c>
      <c r="AF4" s="746">
        <v>125165839.18000001</v>
      </c>
      <c r="AG4" s="746" t="s">
        <v>3242</v>
      </c>
    </row>
    <row r="5" spans="1:38">
      <c r="A5" s="910">
        <v>1</v>
      </c>
      <c r="B5" s="918" t="s">
        <v>2883</v>
      </c>
      <c r="F5" s="919"/>
      <c r="G5" s="920"/>
      <c r="H5" s="919"/>
      <c r="I5" s="920"/>
      <c r="J5" s="919"/>
      <c r="K5" s="920"/>
      <c r="L5" s="919"/>
      <c r="M5" s="920"/>
      <c r="AF5" s="746"/>
      <c r="AG5" s="746"/>
      <c r="AI5" s="898">
        <f>SUMIF($B$5:$B$429, AJ5, $AD$5:$AD$429)</f>
        <v>17677281.299999997</v>
      </c>
      <c r="AJ5" s="830" t="s">
        <v>2462</v>
      </c>
    </row>
    <row r="6" spans="1:38">
      <c r="A6" s="910">
        <v>2</v>
      </c>
      <c r="B6" s="830" t="s">
        <v>2462</v>
      </c>
      <c r="C6" s="898">
        <v>5</v>
      </c>
      <c r="D6" s="898"/>
      <c r="E6" s="898"/>
      <c r="F6" s="919">
        <f>G6/$C$6</f>
        <v>192137.1</v>
      </c>
      <c r="G6" s="921">
        <v>960685.5</v>
      </c>
      <c r="H6" s="919">
        <f>I6/$C$6</f>
        <v>192402.6</v>
      </c>
      <c r="I6" s="922">
        <v>962013</v>
      </c>
      <c r="J6" s="919">
        <f>K6/$C$6</f>
        <v>193096</v>
      </c>
      <c r="K6" s="922">
        <v>965480</v>
      </c>
      <c r="L6" s="919">
        <f>M6/$C$6</f>
        <v>193332.2</v>
      </c>
      <c r="M6" s="922">
        <v>966661</v>
      </c>
      <c r="N6" s="899">
        <f>O6/$C$6</f>
        <v>193496.7</v>
      </c>
      <c r="O6" s="922">
        <v>967483.5</v>
      </c>
      <c r="P6" s="899">
        <f>Q6/$C$6</f>
        <v>193475.86000000002</v>
      </c>
      <c r="Q6" s="922">
        <v>967379.3</v>
      </c>
      <c r="R6" s="899">
        <f>S6/$C$6</f>
        <v>193607</v>
      </c>
      <c r="S6" s="922">
        <v>968035</v>
      </c>
      <c r="T6" s="899">
        <f>U6/$C$6</f>
        <v>193243.46000000002</v>
      </c>
      <c r="U6" s="922">
        <v>966217.3</v>
      </c>
      <c r="V6" s="899">
        <f>W6/$C$6</f>
        <v>192895</v>
      </c>
      <c r="W6" s="923">
        <v>964475</v>
      </c>
      <c r="X6" s="899">
        <f>Y6/$C$6</f>
        <v>194064</v>
      </c>
      <c r="Y6" s="922">
        <v>970320</v>
      </c>
      <c r="Z6" s="899">
        <f>AA6/$C$6</f>
        <v>194622.2</v>
      </c>
      <c r="AA6" s="922">
        <v>973111</v>
      </c>
      <c r="AB6" s="899">
        <f>AC6/$C$6</f>
        <v>195359</v>
      </c>
      <c r="AC6" s="922">
        <v>976795</v>
      </c>
      <c r="AD6" s="898">
        <f>SUM(G6,I6,K6,M6,O6,Q6,S6,U6,W6,Y6,AA6,AC6)</f>
        <v>11608655.6</v>
      </c>
      <c r="AF6" s="746">
        <f t="shared" ref="AF6:AF12" si="0">SUMIF($B$5:$B$429, AG6, $AD$5:$AD$429)</f>
        <v>112015877.84000006</v>
      </c>
      <c r="AG6" s="727" t="s">
        <v>2650</v>
      </c>
      <c r="AI6" s="898">
        <f>SUMIF($B$5:$B$429, AJ6, $AD$5:$AD$429)</f>
        <v>57435312.179999985</v>
      </c>
      <c r="AJ6" s="830" t="s">
        <v>2696</v>
      </c>
    </row>
    <row r="7" spans="1:38">
      <c r="A7" s="910">
        <v>3</v>
      </c>
      <c r="B7" s="830" t="s">
        <v>2696</v>
      </c>
      <c r="F7" s="919"/>
      <c r="G7" s="921">
        <v>5284738.49</v>
      </c>
      <c r="H7" s="924"/>
      <c r="I7" s="922">
        <v>5665855.4100000001</v>
      </c>
      <c r="J7" s="924"/>
      <c r="K7" s="922">
        <v>6095743.0599999996</v>
      </c>
      <c r="L7" s="924"/>
      <c r="M7" s="922">
        <v>3335957.1</v>
      </c>
      <c r="N7" s="924"/>
      <c r="O7" s="922">
        <v>2015767.5</v>
      </c>
      <c r="P7" s="924"/>
      <c r="Q7" s="922">
        <v>1100880.3799999999</v>
      </c>
      <c r="R7" s="924"/>
      <c r="S7" s="922">
        <v>875303.46000000008</v>
      </c>
      <c r="T7" s="924"/>
      <c r="U7" s="922">
        <v>754930.51000000443</v>
      </c>
      <c r="V7" s="924"/>
      <c r="W7" s="923">
        <v>732277.02000000386</v>
      </c>
      <c r="X7" s="925"/>
      <c r="Y7" s="922">
        <v>1732073.4400000023</v>
      </c>
      <c r="Z7" s="924"/>
      <c r="AA7" s="922">
        <v>3163652.9399999841</v>
      </c>
      <c r="AB7" s="924"/>
      <c r="AC7" s="922">
        <v>4801832.7199999914</v>
      </c>
      <c r="AD7" s="898">
        <f t="shared" ref="AD7:AD27" si="1">SUM(G7:AC7)</f>
        <v>35559012.029999986</v>
      </c>
      <c r="AF7" s="746">
        <f t="shared" si="0"/>
        <v>11825930.41</v>
      </c>
      <c r="AG7" s="727" t="s">
        <v>2652</v>
      </c>
      <c r="AI7" s="898">
        <f t="shared" ref="AI7:AI23" si="2">SUMIF($B$5:$B$429, AJ7, $AD$5:$AD$429)</f>
        <v>112015877.84000006</v>
      </c>
      <c r="AJ7" s="830" t="s">
        <v>2650</v>
      </c>
    </row>
    <row r="8" spans="1:38">
      <c r="A8" s="910">
        <v>4</v>
      </c>
      <c r="B8" s="830" t="s">
        <v>2650</v>
      </c>
      <c r="F8" s="919"/>
      <c r="G8" s="921">
        <v>8467434.1400000006</v>
      </c>
      <c r="H8" s="924"/>
      <c r="I8" s="922">
        <v>9078065.6099999994</v>
      </c>
      <c r="J8" s="924"/>
      <c r="K8" s="922">
        <v>9766852.3100000005</v>
      </c>
      <c r="L8" s="924"/>
      <c r="M8" s="922">
        <v>5345038.21</v>
      </c>
      <c r="N8" s="924"/>
      <c r="O8" s="922">
        <v>3229770.01</v>
      </c>
      <c r="P8" s="924"/>
      <c r="Q8" s="922">
        <v>1763912.6300000004</v>
      </c>
      <c r="R8" s="924"/>
      <c r="S8" s="922">
        <v>1402483.2600000002</v>
      </c>
      <c r="T8" s="924"/>
      <c r="U8" s="922">
        <v>1209632.4000000004</v>
      </c>
      <c r="V8" s="924"/>
      <c r="W8" s="923">
        <v>1173346.4000000015</v>
      </c>
      <c r="X8" s="925"/>
      <c r="Y8" s="922">
        <v>2775201.5199999977</v>
      </c>
      <c r="Z8" s="924"/>
      <c r="AA8" s="922">
        <v>5078352.850000049</v>
      </c>
      <c r="AB8" s="924"/>
      <c r="AC8" s="922">
        <v>7735997.6800000295</v>
      </c>
      <c r="AD8" s="898">
        <f t="shared" si="1"/>
        <v>57026087.02000007</v>
      </c>
      <c r="AF8" s="746">
        <f t="shared" si="0"/>
        <v>1681893.11</v>
      </c>
      <c r="AG8" s="727" t="s">
        <v>2656</v>
      </c>
      <c r="AI8" s="898">
        <f t="shared" si="2"/>
        <v>11825930.41</v>
      </c>
      <c r="AJ8" s="830" t="s">
        <v>2652</v>
      </c>
    </row>
    <row r="9" spans="1:38">
      <c r="A9" s="910">
        <v>5</v>
      </c>
      <c r="B9" s="830" t="s">
        <v>2652</v>
      </c>
      <c r="F9" s="919"/>
      <c r="G9" s="921"/>
      <c r="H9" s="924"/>
      <c r="I9" s="922"/>
      <c r="J9" s="924"/>
      <c r="K9" s="922"/>
      <c r="L9" s="924"/>
      <c r="M9" s="922">
        <v>255227.54</v>
      </c>
      <c r="N9" s="924"/>
      <c r="O9" s="922">
        <v>554960.1</v>
      </c>
      <c r="P9" s="924"/>
      <c r="Q9" s="922">
        <v>308169.32000000007</v>
      </c>
      <c r="R9" s="924"/>
      <c r="S9" s="922">
        <v>245033.45999999996</v>
      </c>
      <c r="T9" s="924"/>
      <c r="U9" s="922">
        <v>211353.62999999971</v>
      </c>
      <c r="V9" s="924"/>
      <c r="W9" s="923">
        <v>205005.51999999987</v>
      </c>
      <c r="X9" s="925"/>
      <c r="Y9" s="922">
        <v>484855.83999999985</v>
      </c>
      <c r="Z9" s="924"/>
      <c r="AA9" s="922">
        <v>1122775.28</v>
      </c>
      <c r="AB9" s="924"/>
      <c r="AC9" s="922">
        <v>2372072.1300000022</v>
      </c>
      <c r="AD9" s="898">
        <f t="shared" si="1"/>
        <v>5759452.8200000022</v>
      </c>
      <c r="AF9" s="746">
        <f t="shared" si="0"/>
        <v>0</v>
      </c>
      <c r="AG9" s="727"/>
      <c r="AI9" s="898">
        <f t="shared" si="2"/>
        <v>931920.4500000003</v>
      </c>
      <c r="AJ9" s="830" t="s">
        <v>2653</v>
      </c>
    </row>
    <row r="10" spans="1:38">
      <c r="A10" s="910">
        <v>6</v>
      </c>
      <c r="B10" s="830" t="s">
        <v>2653</v>
      </c>
      <c r="F10" s="919"/>
      <c r="G10" s="921">
        <v>65749.87</v>
      </c>
      <c r="H10" s="924"/>
      <c r="I10" s="922">
        <v>70592.62</v>
      </c>
      <c r="J10" s="924"/>
      <c r="K10" s="922">
        <v>75950.17</v>
      </c>
      <c r="L10" s="924"/>
      <c r="M10" s="922">
        <v>41473.65</v>
      </c>
      <c r="N10" s="924"/>
      <c r="O10" s="922">
        <v>25103.15</v>
      </c>
      <c r="P10" s="924"/>
      <c r="Q10" s="922">
        <v>13626.939999999999</v>
      </c>
      <c r="R10" s="924"/>
      <c r="S10" s="922">
        <v>10801.74</v>
      </c>
      <c r="T10" s="924"/>
      <c r="U10" s="922">
        <v>9300.3800000000574</v>
      </c>
      <c r="V10" s="924"/>
      <c r="W10" s="923">
        <v>9012.3500000000568</v>
      </c>
      <c r="X10" s="925"/>
      <c r="Y10" s="922">
        <v>21542.869999999966</v>
      </c>
      <c r="Z10" s="924"/>
      <c r="AA10" s="922">
        <v>39179.300000000156</v>
      </c>
      <c r="AB10" s="924"/>
      <c r="AC10" s="922">
        <v>58836.480000000069</v>
      </c>
      <c r="AD10" s="898">
        <f t="shared" si="1"/>
        <v>441169.52000000025</v>
      </c>
      <c r="AF10" s="746">
        <f t="shared" si="0"/>
        <v>0</v>
      </c>
      <c r="AG10" s="727"/>
      <c r="AI10" s="898">
        <f t="shared" si="2"/>
        <v>3879096.7900000024</v>
      </c>
      <c r="AJ10" s="830" t="s">
        <v>2654</v>
      </c>
    </row>
    <row r="11" spans="1:38">
      <c r="A11" s="910">
        <v>7</v>
      </c>
      <c r="B11" s="830" t="s">
        <v>2654</v>
      </c>
      <c r="F11" s="919"/>
      <c r="G11" s="921">
        <v>260496.75</v>
      </c>
      <c r="H11" s="924"/>
      <c r="I11" s="922">
        <v>279285.98</v>
      </c>
      <c r="J11" s="924"/>
      <c r="K11" s="922">
        <v>300472.10000000003</v>
      </c>
      <c r="L11" s="924"/>
      <c r="M11" s="922">
        <v>164421.34</v>
      </c>
      <c r="N11" s="924"/>
      <c r="O11" s="922">
        <v>99366.31</v>
      </c>
      <c r="P11" s="924"/>
      <c r="Q11" s="922">
        <v>54238.939999999995</v>
      </c>
      <c r="R11" s="924"/>
      <c r="S11" s="922">
        <v>43085.749999999993</v>
      </c>
      <c r="T11" s="924"/>
      <c r="U11" s="922">
        <v>37147.089999999902</v>
      </c>
      <c r="V11" s="924"/>
      <c r="W11" s="923">
        <v>36023.059999999896</v>
      </c>
      <c r="X11" s="925"/>
      <c r="Y11" s="922">
        <v>85376.89000000013</v>
      </c>
      <c r="Z11" s="924"/>
      <c r="AA11" s="922">
        <v>164763.37</v>
      </c>
      <c r="AB11" s="924"/>
      <c r="AC11" s="922">
        <v>274743.24000000232</v>
      </c>
      <c r="AD11" s="898">
        <f t="shared" si="1"/>
        <v>1799420.8200000019</v>
      </c>
      <c r="AF11" s="746">
        <f t="shared" si="0"/>
        <v>0</v>
      </c>
      <c r="AG11" s="727"/>
      <c r="AI11" s="898">
        <f t="shared" si="2"/>
        <v>-5710515.6999999983</v>
      </c>
      <c r="AJ11" s="830" t="s">
        <v>2655</v>
      </c>
    </row>
    <row r="12" spans="1:38">
      <c r="A12" s="910">
        <v>8</v>
      </c>
      <c r="B12" s="830" t="s">
        <v>2655</v>
      </c>
      <c r="F12" s="919"/>
      <c r="G12" s="921">
        <v>-502156.72</v>
      </c>
      <c r="H12" s="924"/>
      <c r="I12" s="922">
        <v>-538378.4</v>
      </c>
      <c r="J12" s="924"/>
      <c r="K12" s="922">
        <v>-579222.6</v>
      </c>
      <c r="L12" s="924"/>
      <c r="M12" s="922">
        <v>-317048.08</v>
      </c>
      <c r="N12" s="924"/>
      <c r="O12" s="922">
        <v>-191555.88</v>
      </c>
      <c r="P12" s="924"/>
      <c r="Q12" s="922">
        <v>-104629.59</v>
      </c>
      <c r="R12" s="924"/>
      <c r="S12" s="922">
        <v>-83208.389999999985</v>
      </c>
      <c r="T12" s="924"/>
      <c r="U12" s="922">
        <v>-71775.449999999575</v>
      </c>
      <c r="V12" s="924"/>
      <c r="W12" s="923">
        <v>-69625.289999999601</v>
      </c>
      <c r="X12" s="925"/>
      <c r="Y12" s="922">
        <v>-164594.83000000034</v>
      </c>
      <c r="Z12" s="924"/>
      <c r="AA12" s="922">
        <v>-141379.54000000004</v>
      </c>
      <c r="AB12" s="924"/>
      <c r="AC12" s="922">
        <v>234549.39000000109</v>
      </c>
      <c r="AD12" s="898">
        <f t="shared" si="1"/>
        <v>-2529025.379999999</v>
      </c>
      <c r="AF12" s="746">
        <f t="shared" si="0"/>
        <v>0</v>
      </c>
      <c r="AG12" s="746"/>
      <c r="AI12" s="898">
        <f t="shared" si="2"/>
        <v>1681893.11</v>
      </c>
      <c r="AJ12" s="830" t="s">
        <v>2656</v>
      </c>
    </row>
    <row r="13" spans="1:38">
      <c r="A13" s="910">
        <v>9</v>
      </c>
      <c r="B13" s="830" t="s">
        <v>2656</v>
      </c>
      <c r="F13" s="919"/>
      <c r="G13" s="921">
        <v>150363.18</v>
      </c>
      <c r="H13" s="924"/>
      <c r="I13" s="922">
        <v>161200.32000000001</v>
      </c>
      <c r="J13" s="924"/>
      <c r="K13" s="922">
        <v>173427.29</v>
      </c>
      <c r="L13" s="924"/>
      <c r="M13" s="922">
        <v>94888.52</v>
      </c>
      <c r="N13" s="924"/>
      <c r="O13" s="922">
        <v>57386.93</v>
      </c>
      <c r="P13" s="924"/>
      <c r="Q13" s="922">
        <v>31336.27</v>
      </c>
      <c r="R13" s="924"/>
      <c r="S13" s="922">
        <v>24929.890000000003</v>
      </c>
      <c r="T13" s="924"/>
      <c r="U13" s="922">
        <v>21514.669999999962</v>
      </c>
      <c r="V13" s="924"/>
      <c r="W13" s="923">
        <v>20877.509999999947</v>
      </c>
      <c r="X13" s="925"/>
      <c r="Y13" s="922">
        <v>49293.549999999974</v>
      </c>
      <c r="Z13" s="924"/>
      <c r="AA13" s="922">
        <v>59022.970000000052</v>
      </c>
      <c r="AB13" s="924"/>
      <c r="AC13" s="922">
        <v>2106.0300000000038</v>
      </c>
      <c r="AD13" s="898">
        <f t="shared" si="1"/>
        <v>846347.13</v>
      </c>
      <c r="AF13" s="746">
        <f>SUM(AF6:AF12)</f>
        <v>125523701.36000006</v>
      </c>
      <c r="AG13" s="727" t="s">
        <v>3243</v>
      </c>
      <c r="AI13" s="898">
        <f t="shared" si="2"/>
        <v>7073582.0199999977</v>
      </c>
      <c r="AJ13" s="830" t="s">
        <v>2657</v>
      </c>
    </row>
    <row r="14" spans="1:38">
      <c r="A14" s="910">
        <v>10</v>
      </c>
      <c r="B14" s="830" t="s">
        <v>2657</v>
      </c>
      <c r="F14" s="919"/>
      <c r="G14" s="921">
        <v>534993.67000000004</v>
      </c>
      <c r="H14" s="924"/>
      <c r="I14" s="922">
        <v>573574.09</v>
      </c>
      <c r="J14" s="924"/>
      <c r="K14" s="922">
        <v>617087.46</v>
      </c>
      <c r="L14" s="924"/>
      <c r="M14" s="922">
        <v>337842.75</v>
      </c>
      <c r="N14" s="924"/>
      <c r="O14" s="922">
        <v>204119.38</v>
      </c>
      <c r="P14" s="924"/>
      <c r="Q14" s="922">
        <v>111538.57999999999</v>
      </c>
      <c r="R14" s="924"/>
      <c r="S14" s="922">
        <v>88726.22</v>
      </c>
      <c r="T14" s="924"/>
      <c r="U14" s="922">
        <v>76538.619999999923</v>
      </c>
      <c r="V14" s="924"/>
      <c r="W14" s="923">
        <v>74250.129999999961</v>
      </c>
      <c r="X14" s="925"/>
      <c r="Y14" s="922">
        <v>175382.53999999998</v>
      </c>
      <c r="Z14" s="924"/>
      <c r="AA14" s="922">
        <v>315379.34999999951</v>
      </c>
      <c r="AB14" s="924"/>
      <c r="AC14" s="922">
        <v>464586.02999999875</v>
      </c>
      <c r="AD14" s="898">
        <f t="shared" si="1"/>
        <v>3574018.8199999989</v>
      </c>
      <c r="AF14" s="746">
        <f>AF13-AF4</f>
        <v>357862.18000005186</v>
      </c>
      <c r="AG14" s="727" t="s">
        <v>1807</v>
      </c>
      <c r="AI14" s="746">
        <f t="shared" si="2"/>
        <v>-1965916.9300000009</v>
      </c>
      <c r="AJ14" s="1456" t="s">
        <v>2658</v>
      </c>
    </row>
    <row r="15" spans="1:38">
      <c r="A15" s="910">
        <v>11</v>
      </c>
      <c r="B15" s="895" t="s">
        <v>2658</v>
      </c>
      <c r="F15" s="919"/>
      <c r="G15" s="921">
        <v>-139277.07999999999</v>
      </c>
      <c r="H15" s="924"/>
      <c r="I15" s="922">
        <v>-149321.51</v>
      </c>
      <c r="J15" s="924"/>
      <c r="K15" s="922">
        <v>-160645.72</v>
      </c>
      <c r="L15" s="924"/>
      <c r="M15" s="922">
        <v>-87900.17</v>
      </c>
      <c r="N15" s="924"/>
      <c r="O15" s="922">
        <v>-53115.56</v>
      </c>
      <c r="P15" s="924"/>
      <c r="Q15" s="922">
        <v>-28982.67</v>
      </c>
      <c r="R15" s="924"/>
      <c r="S15" s="922">
        <v>-23027.41</v>
      </c>
      <c r="T15" s="924"/>
      <c r="U15" s="922">
        <v>-19861.46999999995</v>
      </c>
      <c r="V15" s="924"/>
      <c r="W15" s="923">
        <v>-19269.969999999943</v>
      </c>
      <c r="X15" s="925"/>
      <c r="Y15" s="922">
        <v>-45638.790000000045</v>
      </c>
      <c r="Z15" s="924"/>
      <c r="AA15" s="922">
        <v>-86962.85</v>
      </c>
      <c r="AB15" s="924"/>
      <c r="AC15" s="922">
        <v>-142018.98000000106</v>
      </c>
      <c r="AD15" s="898">
        <f t="shared" si="1"/>
        <v>-956022.1800000011</v>
      </c>
      <c r="AF15" s="1674">
        <f>AF14/AF13</f>
        <v>2.8509530560583821E-3</v>
      </c>
      <c r="AG15" s="727" t="s">
        <v>3245</v>
      </c>
      <c r="AI15" s="746">
        <f t="shared" si="2"/>
        <v>-883177.45000000019</v>
      </c>
      <c r="AJ15" s="1456" t="s">
        <v>2659</v>
      </c>
    </row>
    <row r="16" spans="1:38">
      <c r="A16" s="910">
        <v>12</v>
      </c>
      <c r="B16" s="895" t="s">
        <v>2659</v>
      </c>
      <c r="F16" s="919"/>
      <c r="G16" s="926">
        <v>-64759.08</v>
      </c>
      <c r="H16" s="924"/>
      <c r="I16" s="922">
        <v>-69435.16</v>
      </c>
      <c r="J16" s="924"/>
      <c r="K16" s="922">
        <v>-74702.460000000006</v>
      </c>
      <c r="L16" s="924"/>
      <c r="M16" s="922">
        <v>-40874.629999999997</v>
      </c>
      <c r="N16" s="924"/>
      <c r="O16" s="922">
        <v>-24701.53</v>
      </c>
      <c r="P16" s="924"/>
      <c r="Q16" s="922">
        <v>-13475.820000000002</v>
      </c>
      <c r="R16" s="924"/>
      <c r="S16" s="922">
        <v>-10712.03</v>
      </c>
      <c r="T16" s="924"/>
      <c r="U16" s="922">
        <v>-9239.3200000000525</v>
      </c>
      <c r="V16" s="924"/>
      <c r="W16" s="923">
        <v>-8960.5900000000529</v>
      </c>
      <c r="X16" s="925"/>
      <c r="Y16" s="922">
        <v>-21217.219999999987</v>
      </c>
      <c r="Z16" s="924"/>
      <c r="AA16" s="922">
        <v>-37519.840000000193</v>
      </c>
      <c r="AB16" s="924"/>
      <c r="AC16" s="922">
        <v>-53147.17000000018</v>
      </c>
      <c r="AD16" s="898">
        <f t="shared" si="1"/>
        <v>-428744.85000000044</v>
      </c>
      <c r="AF16" s="746"/>
      <c r="AG16" s="727"/>
      <c r="AI16" s="746">
        <f t="shared" si="2"/>
        <v>-1407933.5499999998</v>
      </c>
      <c r="AJ16" s="1456" t="s">
        <v>2660</v>
      </c>
    </row>
    <row r="17" spans="1:37">
      <c r="A17" s="910">
        <v>13</v>
      </c>
      <c r="B17" s="895" t="s">
        <v>2660</v>
      </c>
      <c r="F17" s="919"/>
      <c r="G17" s="921">
        <v>-118658.05</v>
      </c>
      <c r="H17" s="924"/>
      <c r="I17" s="922">
        <v>-127220.94</v>
      </c>
      <c r="J17" s="924"/>
      <c r="K17" s="922">
        <v>-136878.6</v>
      </c>
      <c r="L17" s="924"/>
      <c r="M17" s="922">
        <v>-74853.320000000007</v>
      </c>
      <c r="N17" s="924"/>
      <c r="O17" s="922">
        <v>-45224.77</v>
      </c>
      <c r="P17" s="924"/>
      <c r="Q17" s="922">
        <v>-24684.59</v>
      </c>
      <c r="R17" s="924"/>
      <c r="S17" s="922">
        <v>-19625.54</v>
      </c>
      <c r="T17" s="924"/>
      <c r="U17" s="922">
        <v>-16914.649999999972</v>
      </c>
      <c r="V17" s="924"/>
      <c r="W17" s="923">
        <v>-16398.499999999964</v>
      </c>
      <c r="X17" s="925"/>
      <c r="Y17" s="922">
        <v>-38854.949999999968</v>
      </c>
      <c r="Z17" s="924"/>
      <c r="AA17" s="922">
        <v>-46544.749999999898</v>
      </c>
      <c r="AB17" s="924"/>
      <c r="AC17" s="922">
        <v>-1643.2900000000043</v>
      </c>
      <c r="AD17" s="898">
        <f t="shared" si="1"/>
        <v>-667501.94999999995</v>
      </c>
      <c r="AF17" s="746"/>
      <c r="AG17" s="727"/>
      <c r="AI17" s="746">
        <f t="shared" si="2"/>
        <v>10761199.149999997</v>
      </c>
      <c r="AJ17" s="727" t="s">
        <v>2661</v>
      </c>
    </row>
    <row r="18" spans="1:37">
      <c r="A18" s="910">
        <v>14</v>
      </c>
      <c r="B18" s="830" t="s">
        <v>2661</v>
      </c>
      <c r="F18" s="919"/>
      <c r="G18" s="921">
        <v>731771.17</v>
      </c>
      <c r="H18" s="924"/>
      <c r="I18" s="922">
        <v>785548.47</v>
      </c>
      <c r="J18" s="924"/>
      <c r="K18" s="922">
        <v>856306.87</v>
      </c>
      <c r="L18" s="924"/>
      <c r="M18" s="922">
        <v>498969.66</v>
      </c>
      <c r="N18" s="924"/>
      <c r="O18" s="922">
        <v>323529.15000000002</v>
      </c>
      <c r="P18" s="924"/>
      <c r="Q18" s="922">
        <v>199519.88</v>
      </c>
      <c r="R18" s="924"/>
      <c r="S18" s="922">
        <v>168225.07</v>
      </c>
      <c r="T18" s="924"/>
      <c r="U18" s="922">
        <v>154753.43000000037</v>
      </c>
      <c r="V18" s="924"/>
      <c r="W18" s="923">
        <v>149535.53000000041</v>
      </c>
      <c r="X18" s="925"/>
      <c r="Y18" s="922">
        <v>283745.92999999959</v>
      </c>
      <c r="Z18" s="924"/>
      <c r="AA18" s="922">
        <v>513950.299999999</v>
      </c>
      <c r="AB18" s="924"/>
      <c r="AC18" s="922">
        <v>840306.26999999722</v>
      </c>
      <c r="AD18" s="898">
        <f t="shared" si="1"/>
        <v>5506161.7299999967</v>
      </c>
      <c r="AF18" s="746"/>
      <c r="AG18" s="727"/>
      <c r="AI18" s="898">
        <f t="shared" si="2"/>
        <v>83355</v>
      </c>
      <c r="AJ18" s="830" t="s">
        <v>2662</v>
      </c>
    </row>
    <row r="19" spans="1:37">
      <c r="A19" s="910">
        <v>15</v>
      </c>
      <c r="B19" s="830" t="s">
        <v>2662</v>
      </c>
      <c r="F19" s="919"/>
      <c r="G19" s="921">
        <v>2794.62</v>
      </c>
      <c r="H19" s="924"/>
      <c r="I19" s="922">
        <v>2949.31</v>
      </c>
      <c r="J19" s="924"/>
      <c r="K19" s="922">
        <v>3589.15</v>
      </c>
      <c r="L19" s="924"/>
      <c r="M19" s="922">
        <v>2050.19</v>
      </c>
      <c r="N19" s="924"/>
      <c r="O19" s="922">
        <v>1091.04</v>
      </c>
      <c r="P19" s="924"/>
      <c r="Q19" s="922">
        <v>689.89</v>
      </c>
      <c r="R19" s="924"/>
      <c r="S19" s="922">
        <v>603.13</v>
      </c>
      <c r="T19" s="924"/>
      <c r="U19" s="922"/>
      <c r="V19" s="924"/>
      <c r="W19" s="923"/>
      <c r="X19" s="925"/>
      <c r="Y19" s="922"/>
      <c r="Z19" s="924"/>
      <c r="AA19" s="922"/>
      <c r="AB19" s="924"/>
      <c r="AC19" s="922"/>
      <c r="AD19" s="898">
        <f t="shared" si="1"/>
        <v>13767.33</v>
      </c>
      <c r="AF19" s="746">
        <f>SUMIF($B$5:$B$429, AG19, $AD$5:$AD$429)</f>
        <v>-5710515.6999999983</v>
      </c>
      <c r="AG19" s="727" t="s">
        <v>2655</v>
      </c>
      <c r="AI19" s="898">
        <f t="shared" si="2"/>
        <v>3309.6800000000003</v>
      </c>
      <c r="AJ19" s="830" t="s">
        <v>2663</v>
      </c>
    </row>
    <row r="20" spans="1:37">
      <c r="A20" s="910">
        <v>16</v>
      </c>
      <c r="B20" s="830" t="s">
        <v>2663</v>
      </c>
      <c r="F20" s="919"/>
      <c r="G20" s="921">
        <v>284.5</v>
      </c>
      <c r="H20" s="924"/>
      <c r="I20" s="922">
        <v>270.78000000000003</v>
      </c>
      <c r="J20" s="924"/>
      <c r="K20" s="922">
        <v>336.81</v>
      </c>
      <c r="L20" s="924"/>
      <c r="M20" s="922">
        <v>171.04</v>
      </c>
      <c r="N20" s="924"/>
      <c r="O20" s="922">
        <v>149.83000000000001</v>
      </c>
      <c r="P20" s="924"/>
      <c r="Q20" s="922">
        <v>76.77</v>
      </c>
      <c r="R20" s="924"/>
      <c r="S20" s="922"/>
      <c r="T20" s="924"/>
      <c r="U20" s="922"/>
      <c r="V20" s="924"/>
      <c r="W20" s="923"/>
      <c r="X20" s="925"/>
      <c r="Y20" s="922"/>
      <c r="Z20" s="924"/>
      <c r="AA20" s="922"/>
      <c r="AB20" s="924"/>
      <c r="AC20" s="922"/>
      <c r="AD20" s="898">
        <f t="shared" si="1"/>
        <v>1289.7299999999998</v>
      </c>
      <c r="AF20" s="746">
        <f>SUMIF($B$5:$B$429, AG20, $AD$5:$AD$429)</f>
        <v>931920.4500000003</v>
      </c>
      <c r="AG20" s="727" t="s">
        <v>2653</v>
      </c>
      <c r="AI20" s="898">
        <f t="shared" si="2"/>
        <v>-24356.350000000002</v>
      </c>
      <c r="AJ20" s="830" t="s">
        <v>2664</v>
      </c>
    </row>
    <row r="21" spans="1:37">
      <c r="A21" s="910">
        <v>17</v>
      </c>
      <c r="B21" s="830" t="s">
        <v>2664</v>
      </c>
      <c r="C21" s="927"/>
      <c r="D21" s="927"/>
      <c r="E21" s="927"/>
      <c r="F21" s="919"/>
      <c r="G21" s="921">
        <v>-91.34</v>
      </c>
      <c r="H21" s="924"/>
      <c r="I21" s="922">
        <v>-85.84</v>
      </c>
      <c r="J21" s="924"/>
      <c r="K21" s="922">
        <v>-118.35</v>
      </c>
      <c r="L21" s="924"/>
      <c r="M21" s="922">
        <v>-65.84</v>
      </c>
      <c r="N21" s="924"/>
      <c r="O21" s="922">
        <v>-47.96</v>
      </c>
      <c r="P21" s="924"/>
      <c r="Q21" s="922">
        <v>-27.770000000000003</v>
      </c>
      <c r="R21" s="924"/>
      <c r="S21" s="922">
        <v>46.779999999999994</v>
      </c>
      <c r="T21" s="924"/>
      <c r="U21" s="922">
        <v>-19.919999999999998</v>
      </c>
      <c r="V21" s="924"/>
      <c r="W21" s="923">
        <v>-18.73</v>
      </c>
      <c r="X21" s="925"/>
      <c r="Y21" s="922">
        <v>-116.73000000000002</v>
      </c>
      <c r="Z21" s="924"/>
      <c r="AA21" s="922">
        <v>-63.14</v>
      </c>
      <c r="AB21" s="924"/>
      <c r="AC21" s="922">
        <v>-101.1</v>
      </c>
      <c r="AD21" s="898">
        <f t="shared" si="1"/>
        <v>-709.94</v>
      </c>
      <c r="AF21" s="746">
        <f>SUMIF($B$5:$B$429, AG21, $AD$5:$AD$429)</f>
        <v>0</v>
      </c>
      <c r="AG21" s="727"/>
      <c r="AI21" s="898">
        <f t="shared" si="2"/>
        <v>83357.700000000012</v>
      </c>
      <c r="AJ21" s="910" t="s">
        <v>2665</v>
      </c>
    </row>
    <row r="22" spans="1:37">
      <c r="A22" s="910">
        <v>18</v>
      </c>
      <c r="B22" s="910" t="s">
        <v>2665</v>
      </c>
      <c r="F22" s="919"/>
      <c r="G22" s="921">
        <v>2909.03</v>
      </c>
      <c r="H22" s="924"/>
      <c r="I22" s="922">
        <v>3282.99</v>
      </c>
      <c r="J22" s="924"/>
      <c r="K22" s="922">
        <v>3375.39</v>
      </c>
      <c r="L22" s="924"/>
      <c r="M22" s="922">
        <v>1578.75</v>
      </c>
      <c r="N22" s="924"/>
      <c r="O22" s="922">
        <v>840.65</v>
      </c>
      <c r="P22" s="924"/>
      <c r="Q22" s="922">
        <v>501.37</v>
      </c>
      <c r="R22" s="924"/>
      <c r="S22" s="922">
        <v>529.22</v>
      </c>
      <c r="T22" s="924"/>
      <c r="U22" s="922">
        <v>477.24</v>
      </c>
      <c r="V22" s="924"/>
      <c r="W22" s="923">
        <v>507.70999999999975</v>
      </c>
      <c r="X22" s="925"/>
      <c r="Y22" s="922">
        <v>1107.7100000000003</v>
      </c>
      <c r="Z22" s="924"/>
      <c r="AA22" s="922">
        <v>2233.9499999999998</v>
      </c>
      <c r="AB22" s="924"/>
      <c r="AC22" s="922">
        <v>3312.719999999998</v>
      </c>
      <c r="AD22" s="898">
        <f t="shared" si="1"/>
        <v>20656.729999999996</v>
      </c>
      <c r="AF22" s="746">
        <f>'Revenue Reconcilliation'!T17</f>
        <v>4818520.51</v>
      </c>
      <c r="AG22" s="1457" t="str">
        <f>'Revenue Reconcilliation'!U17</f>
        <v>DEFWA revenues</v>
      </c>
      <c r="AI22" s="898">
        <f t="shared" si="2"/>
        <v>-239912.88000000003</v>
      </c>
      <c r="AJ22" s="830" t="s">
        <v>2677</v>
      </c>
    </row>
    <row r="23" spans="1:37">
      <c r="A23" s="910">
        <v>19</v>
      </c>
      <c r="B23" s="830" t="s">
        <v>2677</v>
      </c>
      <c r="F23" s="919"/>
      <c r="G23" s="921">
        <v>-10.64</v>
      </c>
      <c r="H23" s="924"/>
      <c r="I23" s="922">
        <v>-10.64</v>
      </c>
      <c r="J23" s="924"/>
      <c r="K23" s="922">
        <v>-33.08</v>
      </c>
      <c r="L23" s="924"/>
      <c r="M23" s="922">
        <v>-55.39</v>
      </c>
      <c r="N23" s="924"/>
      <c r="O23" s="922">
        <v>-14.61</v>
      </c>
      <c r="P23" s="924"/>
      <c r="Q23" s="922">
        <v>-10.620000000000001</v>
      </c>
      <c r="R23" s="924"/>
      <c r="S23" s="922">
        <v>-15.3</v>
      </c>
      <c r="T23" s="924"/>
      <c r="U23" s="922"/>
      <c r="V23" s="924"/>
      <c r="W23" s="923"/>
      <c r="X23" s="925"/>
      <c r="Y23" s="922">
        <v>-221.14000000000001</v>
      </c>
      <c r="Z23" s="924"/>
      <c r="AA23" s="922">
        <v>-5.43</v>
      </c>
      <c r="AB23" s="924"/>
      <c r="AC23" s="922">
        <v>-5</v>
      </c>
      <c r="AD23" s="898">
        <f t="shared" si="1"/>
        <v>-381.85</v>
      </c>
      <c r="AF23" s="746">
        <f>SUM(AF19:AF22)</f>
        <v>39925.260000001639</v>
      </c>
      <c r="AG23" s="727" t="s">
        <v>3244</v>
      </c>
      <c r="AI23" s="898">
        <f t="shared" si="2"/>
        <v>239128323.77000001</v>
      </c>
      <c r="AJ23" s="830" t="s">
        <v>2884</v>
      </c>
      <c r="AK23" s="898">
        <f>SUM('Revenue Reconcilliation'!T14:T21)</f>
        <v>6447904.1299999952</v>
      </c>
    </row>
    <row r="24" spans="1:37">
      <c r="A24" s="910">
        <v>20</v>
      </c>
      <c r="B24" s="830" t="s">
        <v>2884</v>
      </c>
      <c r="F24" s="919"/>
      <c r="G24" s="922">
        <f>SUM(G6:G23)</f>
        <v>15637268.009999996</v>
      </c>
      <c r="H24" s="922"/>
      <c r="I24" s="922">
        <f>SUM(I6:I23)</f>
        <v>16698186.09</v>
      </c>
      <c r="J24" s="922"/>
      <c r="K24" s="922">
        <f>SUM(K6:K23)</f>
        <v>17907019.800000004</v>
      </c>
      <c r="L24" s="922"/>
      <c r="M24" s="922">
        <f>SUM(M6:M23)</f>
        <v>10523482.319999995</v>
      </c>
      <c r="N24" s="922"/>
      <c r="O24" s="922">
        <f>SUM(O6:O23)</f>
        <v>7164907.2400000002</v>
      </c>
      <c r="P24" s="922"/>
      <c r="Q24" s="922">
        <f>SUM(Q6:Q23)</f>
        <v>4380059.21</v>
      </c>
      <c r="R24" s="922"/>
      <c r="S24" s="922">
        <f>SUM(S6:S23)</f>
        <v>3691214.3100000005</v>
      </c>
      <c r="T24" s="922"/>
      <c r="U24" s="922">
        <f>SUM(U6:U23)</f>
        <v>3324054.4600000056</v>
      </c>
      <c r="V24" s="922"/>
      <c r="W24" s="922">
        <f>SUM(W6:W23)</f>
        <v>3251037.1500000064</v>
      </c>
      <c r="X24" s="922"/>
      <c r="Y24" s="922">
        <f>SUM(Y6:Y23)</f>
        <v>6308256.6299999999</v>
      </c>
      <c r="Z24" s="922"/>
      <c r="AA24" s="922">
        <f>SUM(AA6:AA23)</f>
        <v>11119945.760000031</v>
      </c>
      <c r="AB24" s="922"/>
      <c r="AC24" s="922">
        <f>SUM(AC6:AC23)</f>
        <v>17568222.150000021</v>
      </c>
      <c r="AD24" s="898">
        <f t="shared" si="1"/>
        <v>117573653.13000005</v>
      </c>
      <c r="AF24" s="836">
        <f>AF23/AF22</f>
        <v>8.2857922711221665E-3</v>
      </c>
      <c r="AG24" s="830"/>
      <c r="AI24" s="928"/>
      <c r="AJ24" s="830"/>
      <c r="AK24" s="898">
        <f>AK23+AI23</f>
        <v>245576227.90000001</v>
      </c>
    </row>
    <row r="25" spans="1:37">
      <c r="A25" s="910">
        <v>21</v>
      </c>
      <c r="B25" s="830" t="s">
        <v>2514</v>
      </c>
      <c r="E25" s="928"/>
      <c r="F25" s="929"/>
      <c r="G25" s="924">
        <v>19425579</v>
      </c>
      <c r="H25" s="924"/>
      <c r="I25" s="924">
        <v>20826493</v>
      </c>
      <c r="J25" s="924"/>
      <c r="K25" s="924">
        <v>22406682</v>
      </c>
      <c r="L25" s="924"/>
      <c r="M25" s="919">
        <v>12262419</v>
      </c>
      <c r="O25" s="924">
        <v>7409574</v>
      </c>
      <c r="P25" s="924"/>
      <c r="Q25" s="924">
        <v>5484878</v>
      </c>
      <c r="R25" s="924"/>
      <c r="S25" s="924">
        <v>3217527</v>
      </c>
      <c r="T25" s="926"/>
      <c r="U25" s="924">
        <v>2775098</v>
      </c>
      <c r="V25" s="926"/>
      <c r="W25" s="930">
        <v>2691847</v>
      </c>
      <c r="X25" s="931"/>
      <c r="Y25" s="924">
        <v>6366761</v>
      </c>
      <c r="Z25" s="926"/>
      <c r="AA25" s="924">
        <v>11628968</v>
      </c>
      <c r="AB25" s="926"/>
      <c r="AC25" s="924">
        <v>17650518</v>
      </c>
      <c r="AD25" s="928">
        <f t="shared" si="1"/>
        <v>132146344</v>
      </c>
      <c r="AG25" s="830"/>
      <c r="AI25" s="928"/>
      <c r="AJ25" s="910"/>
    </row>
    <row r="26" spans="1:37">
      <c r="A26" s="910">
        <v>22</v>
      </c>
      <c r="B26" s="910" t="s">
        <v>2885</v>
      </c>
      <c r="E26" s="928"/>
      <c r="F26" s="929"/>
      <c r="G26" s="924">
        <v>0</v>
      </c>
      <c r="H26" s="924"/>
      <c r="I26" s="924"/>
      <c r="J26" s="924"/>
      <c r="K26" s="924">
        <v>-6</v>
      </c>
      <c r="L26" s="924"/>
      <c r="M26" s="924">
        <v>-61</v>
      </c>
      <c r="N26" s="924"/>
      <c r="O26" s="924">
        <v>-5</v>
      </c>
      <c r="P26" s="924"/>
      <c r="Q26" s="924"/>
      <c r="R26" s="924"/>
      <c r="S26" s="924"/>
      <c r="T26" s="926"/>
      <c r="U26" s="899"/>
      <c r="V26" s="928"/>
      <c r="W26" s="930"/>
      <c r="X26" s="931"/>
      <c r="Y26" s="899">
        <v>-294</v>
      </c>
      <c r="Z26" s="928"/>
      <c r="AA26" s="924"/>
      <c r="AB26" s="926"/>
      <c r="AC26" s="899"/>
      <c r="AD26" s="928">
        <f t="shared" si="1"/>
        <v>-366</v>
      </c>
      <c r="AI26" s="928"/>
      <c r="AJ26" s="910"/>
    </row>
    <row r="27" spans="1:37">
      <c r="A27" s="910">
        <v>23</v>
      </c>
      <c r="B27" s="910" t="s">
        <v>2886</v>
      </c>
      <c r="C27" s="911"/>
      <c r="D27" s="911"/>
      <c r="E27" s="932"/>
      <c r="F27" s="929"/>
      <c r="G27" s="924">
        <f t="shared" ref="G27:O27" si="3">SUM(G25:G26)</f>
        <v>19425579</v>
      </c>
      <c r="H27" s="924">
        <f t="shared" si="3"/>
        <v>0</v>
      </c>
      <c r="I27" s="924">
        <f t="shared" si="3"/>
        <v>20826493</v>
      </c>
      <c r="J27" s="924">
        <f t="shared" si="3"/>
        <v>0</v>
      </c>
      <c r="K27" s="924">
        <f t="shared" si="3"/>
        <v>22406676</v>
      </c>
      <c r="L27" s="924">
        <f t="shared" si="3"/>
        <v>0</v>
      </c>
      <c r="M27" s="924">
        <f t="shared" si="3"/>
        <v>12262358</v>
      </c>
      <c r="N27" s="924">
        <f t="shared" si="3"/>
        <v>0</v>
      </c>
      <c r="O27" s="924">
        <f t="shared" si="3"/>
        <v>7409569</v>
      </c>
      <c r="P27" s="924"/>
      <c r="Q27" s="924">
        <f>SUM(Q25:Q26)</f>
        <v>5484878</v>
      </c>
      <c r="R27" s="924"/>
      <c r="S27" s="924">
        <f>SUM(S25:S26)</f>
        <v>3217527</v>
      </c>
      <c r="T27" s="926"/>
      <c r="U27" s="924">
        <f>SUM(U25:U26)</f>
        <v>2775098</v>
      </c>
      <c r="V27" s="926"/>
      <c r="W27" s="924">
        <f>SUM(W25:W26)</f>
        <v>2691847</v>
      </c>
      <c r="X27" s="926"/>
      <c r="Y27" s="924">
        <f>SUM(Y25:Y26)</f>
        <v>6366467</v>
      </c>
      <c r="Z27" s="926"/>
      <c r="AA27" s="924">
        <f>SUM(AA25:AA26)</f>
        <v>11628968</v>
      </c>
      <c r="AB27" s="926"/>
      <c r="AC27" s="924">
        <f>SUM(AC25:AC26)</f>
        <v>17650518</v>
      </c>
      <c r="AD27" s="928">
        <f t="shared" si="1"/>
        <v>132145978</v>
      </c>
    </row>
    <row r="28" spans="1:37">
      <c r="A28" s="910">
        <v>24</v>
      </c>
      <c r="C28" s="911"/>
      <c r="D28" s="911"/>
      <c r="E28" s="911"/>
      <c r="F28" s="919"/>
      <c r="G28" s="920"/>
      <c r="H28" s="919"/>
      <c r="I28" s="920"/>
      <c r="J28" s="919"/>
      <c r="K28" s="920"/>
      <c r="L28" s="919"/>
      <c r="M28" s="920"/>
    </row>
    <row r="29" spans="1:37">
      <c r="A29" s="910">
        <v>25</v>
      </c>
      <c r="B29" s="918" t="s">
        <v>2694</v>
      </c>
    </row>
    <row r="30" spans="1:37">
      <c r="A30" s="910">
        <v>26</v>
      </c>
      <c r="B30" s="830" t="s">
        <v>2462</v>
      </c>
      <c r="C30" s="898">
        <v>13</v>
      </c>
      <c r="D30" s="898"/>
      <c r="E30" s="898"/>
      <c r="F30" s="899">
        <f>G30/$C$30</f>
        <v>1</v>
      </c>
      <c r="G30" s="898">
        <v>13</v>
      </c>
      <c r="H30" s="899">
        <f>I30/$C$30</f>
        <v>1</v>
      </c>
      <c r="I30" s="922">
        <v>13</v>
      </c>
      <c r="J30" s="899">
        <f>K30/$C$30</f>
        <v>1</v>
      </c>
      <c r="K30" s="922">
        <v>13</v>
      </c>
      <c r="L30" s="899">
        <f>M30/$C$30</f>
        <v>1</v>
      </c>
      <c r="M30" s="922">
        <v>13</v>
      </c>
      <c r="N30" s="899">
        <f>O30/$C$30</f>
        <v>1</v>
      </c>
      <c r="O30" s="922">
        <v>13</v>
      </c>
      <c r="P30" s="899">
        <f>Q30/$C$30</f>
        <v>1</v>
      </c>
      <c r="Q30" s="922">
        <v>13</v>
      </c>
      <c r="R30" s="899">
        <f>S30/$C$30</f>
        <v>1</v>
      </c>
      <c r="S30" s="922">
        <v>13</v>
      </c>
      <c r="T30" s="899">
        <f>U30/$C$30</f>
        <v>1</v>
      </c>
      <c r="U30" s="922">
        <v>13</v>
      </c>
      <c r="V30" s="899">
        <f>W30/$C$30</f>
        <v>1</v>
      </c>
      <c r="W30" s="923">
        <v>13</v>
      </c>
      <c r="X30" s="899">
        <f>Y30/$C$30</f>
        <v>1</v>
      </c>
      <c r="Y30" s="922">
        <v>13</v>
      </c>
      <c r="Z30" s="899">
        <f>AA30/$C$30</f>
        <v>1</v>
      </c>
      <c r="AA30" s="922">
        <v>13</v>
      </c>
      <c r="AB30" s="899">
        <f>AC30/$C$30</f>
        <v>1</v>
      </c>
      <c r="AC30" s="922">
        <v>13</v>
      </c>
      <c r="AD30" s="898">
        <f>SUM(G30,I30,K30,M30,O30,Q30,S30,U30,W30,Y30,AA30,AC30)</f>
        <v>156</v>
      </c>
    </row>
    <row r="31" spans="1:37">
      <c r="A31" s="910">
        <v>27</v>
      </c>
      <c r="B31" s="830" t="s">
        <v>2696</v>
      </c>
      <c r="G31" s="898">
        <v>1137.43</v>
      </c>
      <c r="I31" s="922">
        <v>1070.55</v>
      </c>
      <c r="J31" s="924"/>
      <c r="K31" s="922">
        <v>1269.57</v>
      </c>
      <c r="L31" s="924"/>
      <c r="M31" s="922">
        <v>816.22</v>
      </c>
      <c r="N31" s="924"/>
      <c r="O31" s="922">
        <v>522.54999999999995</v>
      </c>
      <c r="P31" s="924"/>
      <c r="Q31" s="922">
        <v>149.27000000000001</v>
      </c>
      <c r="R31" s="924"/>
      <c r="S31" s="922">
        <v>84.93</v>
      </c>
      <c r="T31" s="924"/>
      <c r="U31" s="922">
        <v>35.869999999999997</v>
      </c>
      <c r="V31" s="924"/>
      <c r="W31" s="923">
        <v>31.94</v>
      </c>
      <c r="X31" s="925"/>
      <c r="Y31" s="922">
        <v>143.25</v>
      </c>
      <c r="Z31" s="924"/>
      <c r="AA31" s="922">
        <v>683.85</v>
      </c>
      <c r="AB31" s="924"/>
      <c r="AC31" s="922">
        <v>915.96</v>
      </c>
      <c r="AD31" s="898">
        <f t="shared" ref="AD31:AD46" si="4">SUM(G31:AC31)</f>
        <v>6861.3900000000012</v>
      </c>
    </row>
    <row r="32" spans="1:37">
      <c r="A32" s="910">
        <v>28</v>
      </c>
      <c r="B32" s="830" t="s">
        <v>2650</v>
      </c>
      <c r="G32" s="898">
        <v>2128.88</v>
      </c>
      <c r="I32" s="922">
        <v>2003.71</v>
      </c>
      <c r="J32" s="924"/>
      <c r="K32" s="922">
        <v>2376.21</v>
      </c>
      <c r="L32" s="924"/>
      <c r="M32" s="922">
        <v>1527.68</v>
      </c>
      <c r="N32" s="924"/>
      <c r="O32" s="922">
        <v>978.03</v>
      </c>
      <c r="P32" s="924"/>
      <c r="Q32" s="922">
        <v>279.38</v>
      </c>
      <c r="R32" s="924"/>
      <c r="S32" s="922">
        <v>158.96</v>
      </c>
      <c r="T32" s="924"/>
      <c r="U32" s="922">
        <v>67.14</v>
      </c>
      <c r="V32" s="924"/>
      <c r="W32" s="923">
        <v>59.77</v>
      </c>
      <c r="X32" s="925"/>
      <c r="Y32" s="922">
        <v>268.11</v>
      </c>
      <c r="Z32" s="924"/>
      <c r="AA32" s="922">
        <v>1279.93</v>
      </c>
      <c r="AB32" s="924"/>
      <c r="AC32" s="922">
        <v>1724.03</v>
      </c>
      <c r="AD32" s="898">
        <f t="shared" si="4"/>
        <v>12851.83</v>
      </c>
    </row>
    <row r="33" spans="1:34">
      <c r="A33" s="910">
        <v>29</v>
      </c>
      <c r="B33" s="830" t="s">
        <v>2652</v>
      </c>
      <c r="I33" s="922"/>
      <c r="J33" s="924"/>
      <c r="K33" s="922"/>
      <c r="L33" s="924"/>
      <c r="M33" s="922"/>
      <c r="N33" s="924"/>
      <c r="O33" s="922">
        <v>171.95</v>
      </c>
      <c r="P33" s="924"/>
      <c r="Q33" s="922">
        <v>49.12</v>
      </c>
      <c r="R33" s="924"/>
      <c r="S33" s="922">
        <v>27.95</v>
      </c>
      <c r="T33" s="924"/>
      <c r="U33" s="922">
        <v>11.8</v>
      </c>
      <c r="V33" s="924"/>
      <c r="W33" s="923">
        <v>10.51</v>
      </c>
      <c r="X33" s="925"/>
      <c r="Y33" s="922">
        <v>47.14</v>
      </c>
      <c r="Z33" s="924"/>
      <c r="AA33" s="922">
        <v>225.02</v>
      </c>
      <c r="AB33" s="924"/>
      <c r="AC33" s="922">
        <v>535.52</v>
      </c>
      <c r="AD33" s="898">
        <f t="shared" si="4"/>
        <v>1079.01</v>
      </c>
    </row>
    <row r="34" spans="1:34">
      <c r="A34" s="910">
        <v>30</v>
      </c>
      <c r="B34" s="830" t="s">
        <v>2653</v>
      </c>
      <c r="G34" s="898">
        <v>13.47</v>
      </c>
      <c r="I34" s="922">
        <v>12.68</v>
      </c>
      <c r="J34" s="924"/>
      <c r="K34" s="922">
        <v>15.03</v>
      </c>
      <c r="L34" s="924"/>
      <c r="M34" s="922">
        <v>9.66</v>
      </c>
      <c r="N34" s="924"/>
      <c r="O34" s="922">
        <v>6.19</v>
      </c>
      <c r="P34" s="924"/>
      <c r="Q34" s="922">
        <v>1.77</v>
      </c>
      <c r="R34" s="924"/>
      <c r="S34" s="922">
        <v>1.01</v>
      </c>
      <c r="T34" s="924"/>
      <c r="U34" s="922">
        <v>0.42</v>
      </c>
      <c r="V34" s="924"/>
      <c r="W34" s="923">
        <v>0.38</v>
      </c>
      <c r="X34" s="925"/>
      <c r="Y34" s="922">
        <v>1.7</v>
      </c>
      <c r="Z34" s="924"/>
      <c r="AA34" s="922">
        <v>8.1</v>
      </c>
      <c r="AB34" s="924"/>
      <c r="AC34" s="922">
        <v>10.65</v>
      </c>
      <c r="AD34" s="898">
        <f t="shared" si="4"/>
        <v>81.060000000000016</v>
      </c>
      <c r="AF34" s="746">
        <f>SUMIF($B$5:$B$429, AG34, $AD$5:$AD$429)</f>
        <v>112015877.84000006</v>
      </c>
      <c r="AG34" s="727" t="s">
        <v>2650</v>
      </c>
      <c r="AH34" s="898" t="s">
        <v>3248</v>
      </c>
    </row>
    <row r="35" spans="1:34">
      <c r="A35" s="910">
        <v>31</v>
      </c>
      <c r="B35" s="830" t="s">
        <v>2654</v>
      </c>
      <c r="G35" s="898">
        <v>44.68</v>
      </c>
      <c r="I35" s="922">
        <v>42.05</v>
      </c>
      <c r="J35" s="924"/>
      <c r="K35" s="922">
        <v>49.87</v>
      </c>
      <c r="L35" s="924"/>
      <c r="M35" s="922">
        <v>32.06</v>
      </c>
      <c r="N35" s="924"/>
      <c r="O35" s="922">
        <v>20.53</v>
      </c>
      <c r="P35" s="924"/>
      <c r="Q35" s="922">
        <v>5.86</v>
      </c>
      <c r="R35" s="924"/>
      <c r="S35" s="922">
        <v>3.34</v>
      </c>
      <c r="T35" s="924"/>
      <c r="U35" s="922">
        <v>1.41</v>
      </c>
      <c r="V35" s="924"/>
      <c r="W35" s="923">
        <v>1.25</v>
      </c>
      <c r="X35" s="925"/>
      <c r="Y35" s="922">
        <v>5.63</v>
      </c>
      <c r="Z35" s="924"/>
      <c r="AA35" s="922">
        <v>26.86</v>
      </c>
      <c r="AB35" s="924"/>
      <c r="AC35" s="922">
        <v>40.25</v>
      </c>
      <c r="AD35" s="898">
        <f t="shared" si="4"/>
        <v>273.79000000000002</v>
      </c>
      <c r="AF35" s="746">
        <f>SUMIF($B$5:$B$429, AG35, $AD$5:$AD$429)</f>
        <v>11825930.41</v>
      </c>
      <c r="AG35" s="727" t="s">
        <v>2652</v>
      </c>
      <c r="AH35" s="898" t="s">
        <v>3248</v>
      </c>
    </row>
    <row r="36" spans="1:34">
      <c r="A36" s="910">
        <v>32</v>
      </c>
      <c r="B36" s="830" t="s">
        <v>2655</v>
      </c>
      <c r="G36" s="898">
        <v>-149.66</v>
      </c>
      <c r="I36" s="922">
        <v>-140.86000000000001</v>
      </c>
      <c r="J36" s="924"/>
      <c r="K36" s="922">
        <v>-167.05</v>
      </c>
      <c r="L36" s="924"/>
      <c r="M36" s="922">
        <v>-107.4</v>
      </c>
      <c r="N36" s="924"/>
      <c r="O36" s="922">
        <v>-68.760000000000005</v>
      </c>
      <c r="P36" s="924"/>
      <c r="Q36" s="922">
        <v>-19.64</v>
      </c>
      <c r="R36" s="924"/>
      <c r="S36" s="922">
        <v>-11.18</v>
      </c>
      <c r="T36" s="924"/>
      <c r="U36" s="922">
        <v>-4.72</v>
      </c>
      <c r="V36" s="924"/>
      <c r="W36" s="923">
        <v>-4.2</v>
      </c>
      <c r="X36" s="925"/>
      <c r="Y36" s="922">
        <v>-18.850000000000001</v>
      </c>
      <c r="Z36" s="924"/>
      <c r="AA36" s="922">
        <v>-89.98</v>
      </c>
      <c r="AB36" s="924"/>
      <c r="AC36" s="922">
        <v>3.21</v>
      </c>
      <c r="AD36" s="898">
        <f t="shared" si="4"/>
        <v>-779.09</v>
      </c>
      <c r="AF36" s="1675">
        <f>SUMIF($B$5:$B$429, AG36, $AD$5:$AD$429)</f>
        <v>1681893.11</v>
      </c>
      <c r="AG36" s="1676" t="s">
        <v>2656</v>
      </c>
      <c r="AH36" s="898" t="s">
        <v>3248</v>
      </c>
    </row>
    <row r="37" spans="1:34">
      <c r="A37" s="910">
        <v>33</v>
      </c>
      <c r="B37" s="830" t="s">
        <v>2656</v>
      </c>
      <c r="G37" s="898">
        <v>38.04</v>
      </c>
      <c r="I37" s="922">
        <v>35.81</v>
      </c>
      <c r="J37" s="924"/>
      <c r="K37" s="922">
        <v>42.46</v>
      </c>
      <c r="L37" s="924"/>
      <c r="M37" s="922">
        <v>27.3</v>
      </c>
      <c r="N37" s="924"/>
      <c r="O37" s="922">
        <v>17.48</v>
      </c>
      <c r="P37" s="924"/>
      <c r="Q37" s="922">
        <v>4.99</v>
      </c>
      <c r="R37" s="924"/>
      <c r="S37" s="922">
        <v>2.84</v>
      </c>
      <c r="T37" s="924"/>
      <c r="U37" s="922">
        <v>1.2</v>
      </c>
      <c r="V37" s="924"/>
      <c r="W37" s="923">
        <v>1.07</v>
      </c>
      <c r="X37" s="925"/>
      <c r="Y37" s="922">
        <v>4.79</v>
      </c>
      <c r="Z37" s="924"/>
      <c r="AA37" s="922">
        <v>22.87</v>
      </c>
      <c r="AB37" s="924"/>
      <c r="AC37" s="922"/>
      <c r="AD37" s="898">
        <f t="shared" si="4"/>
        <v>198.85</v>
      </c>
      <c r="AF37" s="898">
        <f>SUM(AF34:AF36)</f>
        <v>125523701.36000006</v>
      </c>
      <c r="AG37" s="898" t="s">
        <v>3246</v>
      </c>
    </row>
    <row r="38" spans="1:34">
      <c r="A38" s="910">
        <v>34</v>
      </c>
      <c r="B38" s="830" t="s">
        <v>2657</v>
      </c>
      <c r="G38" s="898">
        <v>135.36000000000001</v>
      </c>
      <c r="I38" s="922">
        <v>127.4</v>
      </c>
      <c r="J38" s="924"/>
      <c r="K38" s="922">
        <v>151.08000000000001</v>
      </c>
      <c r="L38" s="924"/>
      <c r="M38" s="922">
        <v>97.13</v>
      </c>
      <c r="N38" s="924"/>
      <c r="O38" s="922">
        <v>62.190000000000012</v>
      </c>
      <c r="P38" s="924"/>
      <c r="Q38" s="922">
        <v>17.760000000000002</v>
      </c>
      <c r="R38" s="924"/>
      <c r="S38" s="922">
        <v>10.11</v>
      </c>
      <c r="T38" s="924"/>
      <c r="U38" s="922">
        <v>4.2699999999999996</v>
      </c>
      <c r="V38" s="924"/>
      <c r="W38" s="923">
        <v>3.8</v>
      </c>
      <c r="X38" s="925"/>
      <c r="Y38" s="922">
        <v>17.05</v>
      </c>
      <c r="Z38" s="924"/>
      <c r="AA38" s="922">
        <v>81.38</v>
      </c>
      <c r="AB38" s="924"/>
      <c r="AC38" s="922">
        <v>104.1</v>
      </c>
      <c r="AD38" s="898">
        <f t="shared" si="4"/>
        <v>811.63</v>
      </c>
    </row>
    <row r="39" spans="1:34">
      <c r="A39" s="910">
        <v>35</v>
      </c>
      <c r="B39" s="830" t="s">
        <v>2658</v>
      </c>
      <c r="G39" s="898">
        <v>-27.08</v>
      </c>
      <c r="I39" s="922">
        <v>-25.49</v>
      </c>
      <c r="J39" s="924"/>
      <c r="K39" s="922">
        <v>-30.23</v>
      </c>
      <c r="L39" s="924"/>
      <c r="M39" s="922">
        <v>-19.43</v>
      </c>
      <c r="N39" s="924"/>
      <c r="O39" s="922">
        <v>-12.44</v>
      </c>
      <c r="P39" s="924"/>
      <c r="Q39" s="922">
        <v>-3.55</v>
      </c>
      <c r="R39" s="924"/>
      <c r="S39" s="922">
        <v>-2.02</v>
      </c>
      <c r="T39" s="924"/>
      <c r="U39" s="922">
        <v>-0.85</v>
      </c>
      <c r="V39" s="924"/>
      <c r="W39" s="923">
        <v>-0.76</v>
      </c>
      <c r="X39" s="925"/>
      <c r="Y39" s="922">
        <v>-3.41</v>
      </c>
      <c r="Z39" s="924"/>
      <c r="AA39" s="922">
        <v>-16.28</v>
      </c>
      <c r="AB39" s="924"/>
      <c r="AC39" s="922">
        <v>-24.5</v>
      </c>
      <c r="AD39" s="898">
        <f t="shared" si="4"/>
        <v>-166.03999999999996</v>
      </c>
      <c r="AF39" s="746">
        <v>125165839.18000001</v>
      </c>
      <c r="AG39" s="746" t="s">
        <v>3247</v>
      </c>
      <c r="AH39" s="898" t="s">
        <v>3249</v>
      </c>
    </row>
    <row r="40" spans="1:34">
      <c r="A40" s="910">
        <v>36</v>
      </c>
      <c r="B40" s="830" t="s">
        <v>2659</v>
      </c>
      <c r="G40" s="898">
        <v>-12.58</v>
      </c>
      <c r="I40" s="922">
        <v>-11.84</v>
      </c>
      <c r="J40" s="924"/>
      <c r="K40" s="922">
        <v>-14.04</v>
      </c>
      <c r="L40" s="924"/>
      <c r="M40" s="922">
        <v>-9.0299999999999994</v>
      </c>
      <c r="N40" s="924"/>
      <c r="O40" s="922">
        <v>-5.78</v>
      </c>
      <c r="P40" s="924"/>
      <c r="Q40" s="922">
        <v>-1.65</v>
      </c>
      <c r="R40" s="924"/>
      <c r="S40" s="922">
        <v>-0.94</v>
      </c>
      <c r="T40" s="924"/>
      <c r="U40" s="922">
        <v>-0.4</v>
      </c>
      <c r="V40" s="924"/>
      <c r="W40" s="923">
        <v>-0.35</v>
      </c>
      <c r="X40" s="925"/>
      <c r="Y40" s="922">
        <v>-1.58</v>
      </c>
      <c r="Z40" s="924"/>
      <c r="AA40" s="922">
        <v>-7.56</v>
      </c>
      <c r="AB40" s="924"/>
      <c r="AC40" s="922">
        <v>-9.1199999999999992</v>
      </c>
      <c r="AD40" s="898">
        <f t="shared" si="4"/>
        <v>-74.87</v>
      </c>
    </row>
    <row r="41" spans="1:34">
      <c r="A41" s="910">
        <v>37</v>
      </c>
      <c r="B41" s="830" t="s">
        <v>2660</v>
      </c>
      <c r="G41" s="898">
        <v>-23.05</v>
      </c>
      <c r="I41" s="922">
        <v>-21.7</v>
      </c>
      <c r="J41" s="924"/>
      <c r="K41" s="922">
        <v>-25.73</v>
      </c>
      <c r="L41" s="924"/>
      <c r="M41" s="922">
        <v>-16.54</v>
      </c>
      <c r="N41" s="924"/>
      <c r="O41" s="922">
        <v>-10.59</v>
      </c>
      <c r="P41" s="924"/>
      <c r="Q41" s="922">
        <v>-3.03</v>
      </c>
      <c r="R41" s="924"/>
      <c r="S41" s="922">
        <v>-1.72</v>
      </c>
      <c r="T41" s="924"/>
      <c r="U41" s="922">
        <v>-0.73</v>
      </c>
      <c r="V41" s="924"/>
      <c r="W41" s="923">
        <v>-0.65</v>
      </c>
      <c r="X41" s="925"/>
      <c r="Y41" s="922">
        <v>-2.9</v>
      </c>
      <c r="Z41" s="924"/>
      <c r="AA41" s="922">
        <v>-13.86</v>
      </c>
      <c r="AB41" s="924"/>
      <c r="AC41" s="922"/>
      <c r="AD41" s="898">
        <f t="shared" si="4"/>
        <v>-120.50000000000003</v>
      </c>
      <c r="AF41" s="898">
        <f>AF37-AF39</f>
        <v>357862.18000005186</v>
      </c>
      <c r="AG41" s="898" t="s">
        <v>3250</v>
      </c>
    </row>
    <row r="42" spans="1:34">
      <c r="A42" s="910">
        <v>38</v>
      </c>
      <c r="B42" s="830" t="s">
        <v>2661</v>
      </c>
      <c r="G42" s="898">
        <v>197.91</v>
      </c>
      <c r="I42" s="922">
        <v>186.32</v>
      </c>
      <c r="J42" s="924"/>
      <c r="K42" s="922">
        <v>220.81</v>
      </c>
      <c r="L42" s="924"/>
      <c r="M42" s="922">
        <v>142.24</v>
      </c>
      <c r="N42" s="924"/>
      <c r="O42" s="898">
        <v>101.66</v>
      </c>
      <c r="P42" s="924"/>
      <c r="Q42" s="922">
        <v>29.6</v>
      </c>
      <c r="R42" s="924"/>
      <c r="S42" s="922">
        <v>17.18</v>
      </c>
      <c r="T42" s="924"/>
      <c r="U42" s="922">
        <v>7.7</v>
      </c>
      <c r="V42" s="924"/>
      <c r="W42" s="923">
        <v>6.95</v>
      </c>
      <c r="X42" s="925"/>
      <c r="Y42" s="922">
        <v>28.44</v>
      </c>
      <c r="Z42" s="924"/>
      <c r="AA42" s="922">
        <v>132.80000000000001</v>
      </c>
      <c r="AB42" s="924"/>
      <c r="AC42" s="922">
        <v>198.79</v>
      </c>
      <c r="AD42" s="898">
        <f t="shared" si="4"/>
        <v>1270.4000000000001</v>
      </c>
    </row>
    <row r="43" spans="1:34">
      <c r="A43" s="910">
        <v>39</v>
      </c>
      <c r="B43" s="830" t="s">
        <v>2884</v>
      </c>
      <c r="C43" s="927"/>
      <c r="D43" s="927"/>
      <c r="E43" s="927"/>
      <c r="G43" s="898">
        <f>SUM(G30:G42)</f>
        <v>3496.4</v>
      </c>
      <c r="H43" s="898"/>
      <c r="I43" s="898">
        <f>SUM(I30:I42)</f>
        <v>3291.6300000000006</v>
      </c>
      <c r="J43" s="898"/>
      <c r="K43" s="898">
        <f>SUM(K30:K42)</f>
        <v>3900.9799999999996</v>
      </c>
      <c r="L43" s="898"/>
      <c r="M43" s="898">
        <f>SUM(M30:M42)</f>
        <v>2512.8900000000003</v>
      </c>
      <c r="N43" s="898"/>
      <c r="O43" s="898">
        <f>SUM(O30:O42)</f>
        <v>1796.0100000000002</v>
      </c>
      <c r="P43" s="898"/>
      <c r="Q43" s="898">
        <f>SUM(Q30:Q42)</f>
        <v>522.88</v>
      </c>
      <c r="R43" s="898"/>
      <c r="S43" s="898">
        <f>SUM(S30:S42)</f>
        <v>303.45999999999992</v>
      </c>
      <c r="T43" s="898"/>
      <c r="U43" s="898">
        <f>SUM(U30:U42)</f>
        <v>136.10999999999999</v>
      </c>
      <c r="V43" s="898"/>
      <c r="W43" s="898">
        <f>SUM(W30:W42)</f>
        <v>122.71</v>
      </c>
      <c r="X43" s="898"/>
      <c r="Y43" s="898">
        <f>SUM(Y30:Y42)</f>
        <v>502.37</v>
      </c>
      <c r="Z43" s="898"/>
      <c r="AA43" s="898">
        <f>SUM(AA30:AA42)</f>
        <v>2346.13</v>
      </c>
      <c r="AB43" s="898"/>
      <c r="AC43" s="898">
        <f>SUM(AC30:AC42)</f>
        <v>3511.89</v>
      </c>
      <c r="AD43" s="898">
        <f t="shared" si="4"/>
        <v>22443.46</v>
      </c>
    </row>
    <row r="44" spans="1:34">
      <c r="A44" s="910">
        <v>40</v>
      </c>
      <c r="B44" s="830" t="s">
        <v>2514</v>
      </c>
      <c r="C44" s="928"/>
      <c r="D44" s="928"/>
      <c r="E44" s="928"/>
      <c r="G44" s="924">
        <v>4915</v>
      </c>
      <c r="H44" s="924"/>
      <c r="I44" s="924">
        <v>4626</v>
      </c>
      <c r="J44" s="924"/>
      <c r="K44" s="924">
        <v>5486</v>
      </c>
      <c r="L44" s="924"/>
      <c r="M44" s="924">
        <v>3527</v>
      </c>
      <c r="N44" s="924"/>
      <c r="O44" s="899">
        <v>2258</v>
      </c>
      <c r="P44" s="924"/>
      <c r="Q44" s="899">
        <v>645</v>
      </c>
      <c r="S44" s="924">
        <v>367</v>
      </c>
      <c r="T44" s="924"/>
      <c r="U44" s="924">
        <v>155</v>
      </c>
      <c r="V44" s="924"/>
      <c r="W44" s="899">
        <v>138</v>
      </c>
      <c r="Y44" s="924">
        <v>619</v>
      </c>
      <c r="Z44" s="924"/>
      <c r="AA44" s="924">
        <v>2955</v>
      </c>
      <c r="AB44" s="924"/>
      <c r="AC44" s="924">
        <v>3958</v>
      </c>
      <c r="AD44" s="928">
        <f t="shared" si="4"/>
        <v>29649</v>
      </c>
      <c r="AE44" s="928"/>
    </row>
    <row r="45" spans="1:34">
      <c r="A45" s="910">
        <v>41</v>
      </c>
      <c r="B45" s="910" t="s">
        <v>2885</v>
      </c>
      <c r="C45" s="928"/>
      <c r="D45" s="928"/>
      <c r="E45" s="928"/>
      <c r="G45" s="899">
        <v>0</v>
      </c>
      <c r="I45" s="899"/>
      <c r="K45" s="899"/>
      <c r="M45" s="899"/>
      <c r="O45" s="899"/>
      <c r="Q45" s="899"/>
      <c r="S45" s="899"/>
      <c r="U45" s="899"/>
      <c r="W45" s="899"/>
      <c r="Y45" s="899"/>
      <c r="AA45" s="899"/>
      <c r="AC45" s="899"/>
      <c r="AD45" s="928">
        <f t="shared" si="4"/>
        <v>0</v>
      </c>
      <c r="AE45" s="928"/>
    </row>
    <row r="46" spans="1:34">
      <c r="A46" s="910">
        <v>42</v>
      </c>
      <c r="B46" s="910" t="s">
        <v>2886</v>
      </c>
      <c r="C46" s="928"/>
      <c r="D46" s="928"/>
      <c r="E46" s="928"/>
      <c r="G46" s="924">
        <f>SUM(G44:G45)</f>
        <v>4915</v>
      </c>
      <c r="H46" s="924"/>
      <c r="I46" s="924">
        <f>SUM(I44:I45)</f>
        <v>4626</v>
      </c>
      <c r="J46" s="924"/>
      <c r="K46" s="924">
        <f>SUM(K44:K45)</f>
        <v>5486</v>
      </c>
      <c r="L46" s="924"/>
      <c r="M46" s="924">
        <f>SUM(M44:M45)</f>
        <v>3527</v>
      </c>
      <c r="N46" s="924"/>
      <c r="O46" s="924">
        <f>SUM(O44:O45)</f>
        <v>2258</v>
      </c>
      <c r="P46" s="924"/>
      <c r="Q46" s="924">
        <f>SUM(Q44:Q45)</f>
        <v>645</v>
      </c>
      <c r="R46" s="924"/>
      <c r="S46" s="924">
        <f>SUM(S44:S45)</f>
        <v>367</v>
      </c>
      <c r="T46" s="924"/>
      <c r="U46" s="924">
        <f>SUM(U44:U45)</f>
        <v>155</v>
      </c>
      <c r="V46" s="924"/>
      <c r="W46" s="924">
        <f>SUM(W44:W45)</f>
        <v>138</v>
      </c>
      <c r="X46" s="924"/>
      <c r="Y46" s="924">
        <f>SUM(Y44:Y45)</f>
        <v>619</v>
      </c>
      <c r="Z46" s="924"/>
      <c r="AA46" s="924">
        <f>SUM(AA44:AA45)</f>
        <v>2955</v>
      </c>
      <c r="AB46" s="924"/>
      <c r="AC46" s="924">
        <f>SUM(AC44:AC45)</f>
        <v>3958</v>
      </c>
      <c r="AD46" s="928">
        <f t="shared" si="4"/>
        <v>29649</v>
      </c>
      <c r="AE46" s="928"/>
    </row>
    <row r="47" spans="1:34">
      <c r="A47" s="910">
        <v>43</v>
      </c>
      <c r="B47" s="849"/>
    </row>
    <row r="48" spans="1:34">
      <c r="A48" s="910">
        <v>44</v>
      </c>
      <c r="B48" s="918" t="s">
        <v>2887</v>
      </c>
      <c r="C48" s="911"/>
      <c r="D48" s="911"/>
      <c r="E48" s="911"/>
    </row>
    <row r="49" spans="1:30">
      <c r="A49" s="910">
        <v>45</v>
      </c>
      <c r="B49" s="910" t="s">
        <v>2462</v>
      </c>
      <c r="C49" s="898">
        <v>13</v>
      </c>
      <c r="D49" s="898"/>
      <c r="E49" s="898"/>
      <c r="F49" s="899">
        <f>G49/$C$49</f>
        <v>26645.346153846152</v>
      </c>
      <c r="G49" s="922">
        <v>346389.5</v>
      </c>
      <c r="H49" s="899">
        <f>I49/$C$49</f>
        <v>26686.23076923077</v>
      </c>
      <c r="I49" s="922">
        <v>346921</v>
      </c>
      <c r="J49" s="899">
        <f>K49/$C$49</f>
        <v>26758</v>
      </c>
      <c r="K49" s="922">
        <v>347854</v>
      </c>
      <c r="L49" s="899">
        <f>M49/$C$49</f>
        <v>26748</v>
      </c>
      <c r="M49" s="922">
        <v>347724</v>
      </c>
      <c r="N49" s="899">
        <f>O49/$C$49</f>
        <v>26667</v>
      </c>
      <c r="O49" s="922">
        <v>346671</v>
      </c>
      <c r="P49" s="899">
        <f>Q49/$C$49</f>
        <v>26544.684615384616</v>
      </c>
      <c r="Q49" s="922">
        <v>345080.9</v>
      </c>
      <c r="R49" s="899">
        <f>S49/$C$49</f>
        <v>26486</v>
      </c>
      <c r="S49" s="922">
        <v>344318</v>
      </c>
      <c r="T49" s="899">
        <f>U49/$C$49</f>
        <v>26349.484615384616</v>
      </c>
      <c r="U49" s="922">
        <v>342543.3</v>
      </c>
      <c r="V49" s="899">
        <f>W49/$C$49</f>
        <v>26416.76923076923</v>
      </c>
      <c r="W49" s="923">
        <v>343418</v>
      </c>
      <c r="X49" s="899">
        <f>Y49/$C$49</f>
        <v>26506</v>
      </c>
      <c r="Y49" s="922">
        <v>344578</v>
      </c>
      <c r="Z49" s="899">
        <f>AA49/$C$49</f>
        <v>26674</v>
      </c>
      <c r="AA49" s="922">
        <v>346762</v>
      </c>
      <c r="AB49" s="899">
        <f>AC49/$C$49</f>
        <v>26842</v>
      </c>
      <c r="AC49" s="922">
        <v>348946</v>
      </c>
      <c r="AD49" s="898">
        <f>SUM(G49,I49,K49,M49,O49,Q49,S49,U49,W49,Y49,AA49,AC49)</f>
        <v>4151205.6999999997</v>
      </c>
    </row>
    <row r="50" spans="1:30">
      <c r="A50" s="910">
        <v>46</v>
      </c>
      <c r="B50" s="910" t="s">
        <v>2696</v>
      </c>
      <c r="C50" s="911"/>
      <c r="D50" s="911"/>
      <c r="E50" s="911"/>
      <c r="G50" s="922">
        <v>3043133.11</v>
      </c>
      <c r="H50" s="924"/>
      <c r="I50" s="922">
        <v>3244574.11</v>
      </c>
      <c r="J50" s="924"/>
      <c r="K50" s="922">
        <v>3697205.87</v>
      </c>
      <c r="L50" s="924"/>
      <c r="M50" s="922">
        <v>2113981.9</v>
      </c>
      <c r="N50" s="924"/>
      <c r="O50" s="922">
        <v>1248101.71</v>
      </c>
      <c r="P50" s="924"/>
      <c r="Q50" s="922">
        <v>805125.81</v>
      </c>
      <c r="R50" s="924"/>
      <c r="S50" s="922">
        <v>709410.36999999988</v>
      </c>
      <c r="T50" s="924"/>
      <c r="U50" s="922">
        <v>648655.99999999977</v>
      </c>
      <c r="V50" s="924"/>
      <c r="W50" s="923">
        <v>620869.32999999984</v>
      </c>
      <c r="X50" s="925"/>
      <c r="Y50" s="922">
        <v>1126102.9199999995</v>
      </c>
      <c r="Z50" s="924"/>
      <c r="AA50" s="922">
        <v>1834162.29</v>
      </c>
      <c r="AB50" s="924"/>
      <c r="AC50" s="922">
        <v>2778115.3400000008</v>
      </c>
      <c r="AD50" s="898">
        <f t="shared" ref="AD50:AD71" si="5">SUM(G50:AC50)</f>
        <v>21869438.759999998</v>
      </c>
    </row>
    <row r="51" spans="1:30">
      <c r="A51" s="910">
        <v>47</v>
      </c>
      <c r="B51" s="910" t="s">
        <v>2650</v>
      </c>
      <c r="C51" s="911"/>
      <c r="D51" s="911"/>
      <c r="E51" s="911"/>
      <c r="G51" s="922">
        <v>5695732.8799999999</v>
      </c>
      <c r="H51" s="924"/>
      <c r="I51" s="922">
        <v>6072667.0999999996</v>
      </c>
      <c r="J51" s="924"/>
      <c r="K51" s="922">
        <v>6919920.0599999996</v>
      </c>
      <c r="L51" s="924"/>
      <c r="M51" s="922">
        <v>3956663.83</v>
      </c>
      <c r="N51" s="924"/>
      <c r="O51" s="922">
        <v>2336042.31</v>
      </c>
      <c r="P51" s="924"/>
      <c r="Q51" s="922">
        <v>1506927.76</v>
      </c>
      <c r="R51" s="924"/>
      <c r="S51" s="922">
        <v>1327779.3800000004</v>
      </c>
      <c r="T51" s="924"/>
      <c r="U51" s="922">
        <v>1214029.4399999997</v>
      </c>
      <c r="V51" s="924"/>
      <c r="W51" s="923">
        <v>1162037.7099999997</v>
      </c>
      <c r="X51" s="925"/>
      <c r="Y51" s="922">
        <v>2107687.9400000004</v>
      </c>
      <c r="Z51" s="924"/>
      <c r="AA51" s="922">
        <v>3439252.3499999996</v>
      </c>
      <c r="AB51" s="924"/>
      <c r="AC51" s="922">
        <v>5228298.07</v>
      </c>
      <c r="AD51" s="898">
        <f t="shared" si="5"/>
        <v>40967038.829999998</v>
      </c>
    </row>
    <row r="52" spans="1:30">
      <c r="A52" s="910">
        <v>48</v>
      </c>
      <c r="B52" s="910" t="s">
        <v>2652</v>
      </c>
      <c r="C52" s="911"/>
      <c r="D52" s="911"/>
      <c r="E52" s="911"/>
      <c r="H52" s="924"/>
      <c r="J52" s="924"/>
      <c r="L52" s="924"/>
      <c r="M52" s="922">
        <v>169287.6</v>
      </c>
      <c r="N52" s="924"/>
      <c r="O52" s="922">
        <v>399777.48</v>
      </c>
      <c r="P52" s="924"/>
      <c r="Q52" s="922">
        <v>264933.54000000004</v>
      </c>
      <c r="R52" s="924"/>
      <c r="S52" s="922">
        <v>233440.89</v>
      </c>
      <c r="T52" s="924"/>
      <c r="U52" s="922">
        <v>211826.21000000008</v>
      </c>
      <c r="V52" s="924"/>
      <c r="W52" s="923">
        <v>204391.63000000006</v>
      </c>
      <c r="X52" s="925"/>
      <c r="Y52" s="922">
        <v>370487.53999999992</v>
      </c>
      <c r="Z52" s="924"/>
      <c r="AA52" s="922">
        <v>756718.7</v>
      </c>
      <c r="AB52" s="924"/>
      <c r="AC52" s="922">
        <v>1607536.5399999998</v>
      </c>
      <c r="AD52" s="898">
        <f t="shared" si="5"/>
        <v>4218400.13</v>
      </c>
    </row>
    <row r="53" spans="1:30">
      <c r="A53" s="910">
        <v>49</v>
      </c>
      <c r="B53" s="910" t="s">
        <v>2653</v>
      </c>
      <c r="C53" s="911"/>
      <c r="D53" s="911"/>
      <c r="E53" s="911"/>
      <c r="G53" s="922">
        <v>35947.120000000003</v>
      </c>
      <c r="H53" s="924"/>
      <c r="I53" s="922">
        <v>38418.400000000001</v>
      </c>
      <c r="J53" s="924"/>
      <c r="K53" s="922">
        <v>43772.91</v>
      </c>
      <c r="L53" s="924"/>
      <c r="M53" s="922">
        <v>25027.25</v>
      </c>
      <c r="N53" s="924"/>
      <c r="O53" s="922">
        <v>14776.33</v>
      </c>
      <c r="P53" s="924"/>
      <c r="Q53" s="922">
        <v>9531.93</v>
      </c>
      <c r="R53" s="924"/>
      <c r="S53" s="922">
        <v>8397.619999999999</v>
      </c>
      <c r="T53" s="924"/>
      <c r="U53" s="922">
        <v>7678.4000000000033</v>
      </c>
      <c r="V53" s="924"/>
      <c r="W53" s="923">
        <v>7350.1100000000024</v>
      </c>
      <c r="X53" s="925"/>
      <c r="Y53" s="922">
        <v>13332.320000000003</v>
      </c>
      <c r="Z53" s="924"/>
      <c r="AA53" s="922">
        <v>21586.01999999999</v>
      </c>
      <c r="AB53" s="924"/>
      <c r="AC53" s="922">
        <v>32306.319999999985</v>
      </c>
      <c r="AD53" s="898">
        <f t="shared" si="5"/>
        <v>258124.72999999995</v>
      </c>
    </row>
    <row r="54" spans="1:30">
      <c r="A54" s="910">
        <v>50</v>
      </c>
      <c r="B54" s="910" t="s">
        <v>2654</v>
      </c>
      <c r="C54" s="911"/>
      <c r="D54" s="911"/>
      <c r="E54" s="911"/>
      <c r="G54" s="922">
        <v>119531.57</v>
      </c>
      <c r="H54" s="924"/>
      <c r="I54" s="922">
        <v>127465.11</v>
      </c>
      <c r="J54" s="924"/>
      <c r="K54" s="922">
        <v>145225.26999999999</v>
      </c>
      <c r="L54" s="924"/>
      <c r="M54" s="922">
        <v>83040.78</v>
      </c>
      <c r="N54" s="924"/>
      <c r="O54" s="922">
        <v>49025.94</v>
      </c>
      <c r="P54" s="924"/>
      <c r="Q54" s="922">
        <v>31627.169999999995</v>
      </c>
      <c r="R54" s="924"/>
      <c r="S54" s="922">
        <v>27868.83</v>
      </c>
      <c r="T54" s="924"/>
      <c r="U54" s="922">
        <v>25485.169999999991</v>
      </c>
      <c r="V54" s="924"/>
      <c r="W54" s="923">
        <v>24396.319999999992</v>
      </c>
      <c r="X54" s="925"/>
      <c r="Y54" s="922">
        <v>44235.089999999975</v>
      </c>
      <c r="Z54" s="924"/>
      <c r="AA54" s="922">
        <v>74834.229999999981</v>
      </c>
      <c r="AB54" s="924"/>
      <c r="AC54" s="922">
        <v>121781.20000000004</v>
      </c>
      <c r="AD54" s="898">
        <f t="shared" si="5"/>
        <v>874516.67999999993</v>
      </c>
    </row>
    <row r="55" spans="1:30">
      <c r="A55" s="910">
        <v>51</v>
      </c>
      <c r="B55" s="910" t="s">
        <v>2655</v>
      </c>
      <c r="C55" s="911"/>
      <c r="D55" s="911"/>
      <c r="E55" s="911"/>
      <c r="G55" s="922">
        <v>-400392.57</v>
      </c>
      <c r="H55" s="924"/>
      <c r="I55" s="922">
        <v>-427018.91</v>
      </c>
      <c r="J55" s="924"/>
      <c r="K55" s="922">
        <v>-486473.95</v>
      </c>
      <c r="L55" s="924"/>
      <c r="M55" s="922">
        <v>-278139.68</v>
      </c>
      <c r="N55" s="924"/>
      <c r="O55" s="922">
        <v>-164195.39000000001</v>
      </c>
      <c r="P55" s="924"/>
      <c r="Q55" s="922">
        <v>-105928.81999999999</v>
      </c>
      <c r="R55" s="924"/>
      <c r="S55" s="922">
        <v>-93334.520000000019</v>
      </c>
      <c r="T55" s="924"/>
      <c r="U55" s="922">
        <v>-85359.949999999953</v>
      </c>
      <c r="V55" s="924"/>
      <c r="W55" s="923">
        <v>-81715.559999999939</v>
      </c>
      <c r="X55" s="925"/>
      <c r="Y55" s="922">
        <v>-148163.54999999996</v>
      </c>
      <c r="Z55" s="924"/>
      <c r="AA55" s="922">
        <v>-160388.16999999998</v>
      </c>
      <c r="AB55" s="924"/>
      <c r="AC55" s="922">
        <v>903.59999999999809</v>
      </c>
      <c r="AD55" s="898">
        <f t="shared" si="5"/>
        <v>-2430207.4699999997</v>
      </c>
    </row>
    <row r="56" spans="1:30">
      <c r="A56" s="910">
        <v>52</v>
      </c>
      <c r="B56" s="910" t="s">
        <v>2656</v>
      </c>
      <c r="C56" s="911"/>
      <c r="D56" s="911"/>
      <c r="E56" s="911"/>
      <c r="G56" s="922">
        <v>101809.68</v>
      </c>
      <c r="H56" s="924"/>
      <c r="I56" s="922">
        <v>108365.08</v>
      </c>
      <c r="J56" s="924"/>
      <c r="K56" s="922">
        <v>123656.18</v>
      </c>
      <c r="L56" s="924"/>
      <c r="M56" s="922">
        <v>70716.63</v>
      </c>
      <c r="N56" s="924"/>
      <c r="O56" s="922">
        <v>41777.57</v>
      </c>
      <c r="P56" s="924"/>
      <c r="Q56" s="922">
        <v>26932.63</v>
      </c>
      <c r="R56" s="924"/>
      <c r="S56" s="922">
        <v>23731.69</v>
      </c>
      <c r="T56" s="924"/>
      <c r="U56" s="922">
        <v>21705.099999999995</v>
      </c>
      <c r="V56" s="924"/>
      <c r="W56" s="923">
        <v>20722.989999999994</v>
      </c>
      <c r="X56" s="925"/>
      <c r="Y56" s="922">
        <v>37667.489999999991</v>
      </c>
      <c r="Z56" s="924"/>
      <c r="AA56" s="922">
        <v>41304.189999999988</v>
      </c>
      <c r="AB56" s="924"/>
      <c r="AC56" s="922">
        <v>2186.3700000000003</v>
      </c>
      <c r="AD56" s="898">
        <f t="shared" si="5"/>
        <v>620575.6</v>
      </c>
    </row>
    <row r="57" spans="1:30">
      <c r="A57" s="910">
        <v>53</v>
      </c>
      <c r="B57" s="910" t="s">
        <v>2657</v>
      </c>
      <c r="C57" s="911"/>
      <c r="D57" s="911"/>
      <c r="E57" s="911"/>
      <c r="G57" s="922">
        <v>362138.87</v>
      </c>
      <c r="H57" s="924"/>
      <c r="I57" s="922">
        <v>386164.47999999998</v>
      </c>
      <c r="J57" s="924"/>
      <c r="K57" s="922">
        <v>439985.22</v>
      </c>
      <c r="L57" s="924"/>
      <c r="M57" s="922">
        <v>251584.73</v>
      </c>
      <c r="N57" s="924"/>
      <c r="O57" s="922">
        <v>148533.14000000001</v>
      </c>
      <c r="P57" s="924"/>
      <c r="Q57" s="922">
        <v>95825.010000000009</v>
      </c>
      <c r="R57" s="924"/>
      <c r="S57" s="922">
        <v>84432.98</v>
      </c>
      <c r="T57" s="924"/>
      <c r="U57" s="922">
        <v>77214.429999999978</v>
      </c>
      <c r="V57" s="924"/>
      <c r="W57" s="923">
        <v>73909.429999999978</v>
      </c>
      <c r="X57" s="925"/>
      <c r="Y57" s="922">
        <v>134020.01999999999</v>
      </c>
      <c r="Z57" s="924"/>
      <c r="AA57" s="922">
        <v>215070.60000000003</v>
      </c>
      <c r="AB57" s="924"/>
      <c r="AC57" s="922">
        <v>316077.83000000013</v>
      </c>
      <c r="AD57" s="898">
        <f t="shared" si="5"/>
        <v>2584956.7399999998</v>
      </c>
    </row>
    <row r="58" spans="1:30">
      <c r="A58" s="910">
        <v>54</v>
      </c>
      <c r="B58" s="895" t="s">
        <v>2658</v>
      </c>
      <c r="C58" s="911"/>
      <c r="D58" s="911"/>
      <c r="E58" s="911"/>
      <c r="G58" s="922">
        <v>-72457.02</v>
      </c>
      <c r="H58" s="924"/>
      <c r="I58" s="922">
        <v>-77254.61</v>
      </c>
      <c r="J58" s="924"/>
      <c r="K58" s="922">
        <v>-88029.26</v>
      </c>
      <c r="L58" s="924"/>
      <c r="M58" s="922">
        <v>-50339.95</v>
      </c>
      <c r="N58" s="924"/>
      <c r="O58" s="922">
        <v>-29723.7</v>
      </c>
      <c r="P58" s="924"/>
      <c r="Q58" s="922">
        <v>-19175.649999999998</v>
      </c>
      <c r="R58" s="924"/>
      <c r="S58" s="922">
        <v>-16898.310000000001</v>
      </c>
      <c r="T58" s="924"/>
      <c r="U58" s="922">
        <v>-15453.979999999996</v>
      </c>
      <c r="V58" s="924"/>
      <c r="W58" s="923">
        <v>-14789.809999999998</v>
      </c>
      <c r="X58" s="925"/>
      <c r="Y58" s="922">
        <v>-26817.559999999983</v>
      </c>
      <c r="Z58" s="924"/>
      <c r="AA58" s="922">
        <v>-45433.739999999983</v>
      </c>
      <c r="AB58" s="924"/>
      <c r="AC58" s="922">
        <v>-74120.73000000001</v>
      </c>
      <c r="AD58" s="898">
        <f t="shared" si="5"/>
        <v>-530494.32000000007</v>
      </c>
    </row>
    <row r="59" spans="1:30">
      <c r="A59" s="910">
        <v>55</v>
      </c>
      <c r="B59" s="895" t="s">
        <v>2659</v>
      </c>
      <c r="C59" s="911"/>
      <c r="D59" s="911"/>
      <c r="E59" s="911"/>
      <c r="G59" s="922">
        <v>-33663.89</v>
      </c>
      <c r="H59" s="924"/>
      <c r="I59" s="922">
        <v>-35892.94</v>
      </c>
      <c r="J59" s="924"/>
      <c r="K59" s="922">
        <v>-40899.730000000003</v>
      </c>
      <c r="L59" s="924"/>
      <c r="M59" s="922">
        <v>-23390.41</v>
      </c>
      <c r="N59" s="924"/>
      <c r="O59" s="922">
        <v>-13811.68</v>
      </c>
      <c r="P59" s="924"/>
      <c r="Q59" s="922">
        <v>-8911.5300000000007</v>
      </c>
      <c r="R59" s="924"/>
      <c r="S59" s="922">
        <v>-7851.45</v>
      </c>
      <c r="T59" s="924"/>
      <c r="U59" s="922">
        <v>-7180.2700000000023</v>
      </c>
      <c r="V59" s="924"/>
      <c r="W59" s="923">
        <v>-6871.5700000000033</v>
      </c>
      <c r="X59" s="925"/>
      <c r="Y59" s="922">
        <v>-12461.680000000002</v>
      </c>
      <c r="Z59" s="924"/>
      <c r="AA59" s="922">
        <v>-19624.76999999999</v>
      </c>
      <c r="AB59" s="924"/>
      <c r="AC59" s="922">
        <v>-27721.739999999991</v>
      </c>
      <c r="AD59" s="898">
        <f t="shared" si="5"/>
        <v>-238281.65999999997</v>
      </c>
    </row>
    <row r="60" spans="1:30">
      <c r="A60" s="910">
        <v>56</v>
      </c>
      <c r="B60" s="895" t="s">
        <v>2660</v>
      </c>
      <c r="C60" s="911"/>
      <c r="D60" s="911"/>
      <c r="E60" s="911"/>
      <c r="G60" s="922">
        <v>-61672.34</v>
      </c>
      <c r="H60" s="924"/>
      <c r="I60" s="922">
        <v>-65754.990000000005</v>
      </c>
      <c r="J60" s="924"/>
      <c r="K60" s="922">
        <v>-74928.210000000006</v>
      </c>
      <c r="L60" s="924"/>
      <c r="M60" s="922">
        <v>-42837.9</v>
      </c>
      <c r="N60" s="924"/>
      <c r="O60" s="922">
        <v>-25287.45</v>
      </c>
      <c r="P60" s="924"/>
      <c r="Q60" s="922">
        <v>-16310.159999999998</v>
      </c>
      <c r="R60" s="924"/>
      <c r="S60" s="922">
        <v>-14370.519999999999</v>
      </c>
      <c r="T60" s="924"/>
      <c r="U60" s="922">
        <v>-13142.660000000003</v>
      </c>
      <c r="V60" s="924"/>
      <c r="W60" s="923">
        <v>-12575.130000000001</v>
      </c>
      <c r="X60" s="925"/>
      <c r="Y60" s="922">
        <v>-22817.559999999994</v>
      </c>
      <c r="Z60" s="924"/>
      <c r="AA60" s="922">
        <v>-25025.549999999996</v>
      </c>
      <c r="AB60" s="924"/>
      <c r="AC60" s="922">
        <v>-1322.44</v>
      </c>
      <c r="AD60" s="898">
        <f t="shared" si="5"/>
        <v>-376044.91</v>
      </c>
    </row>
    <row r="61" spans="1:30">
      <c r="A61" s="910">
        <v>57</v>
      </c>
      <c r="B61" s="910" t="s">
        <v>2661</v>
      </c>
      <c r="C61" s="911"/>
      <c r="D61" s="911"/>
      <c r="E61" s="911"/>
      <c r="G61" s="922">
        <v>508749.79</v>
      </c>
      <c r="H61" s="924"/>
      <c r="I61" s="922">
        <v>539085.73</v>
      </c>
      <c r="J61" s="924"/>
      <c r="K61" s="922">
        <v>618758.54</v>
      </c>
      <c r="L61" s="924"/>
      <c r="M61" s="922">
        <v>370794.55</v>
      </c>
      <c r="N61" s="924"/>
      <c r="O61" s="922">
        <v>236251.01</v>
      </c>
      <c r="P61" s="924"/>
      <c r="Q61" s="922">
        <v>162696.03000000003</v>
      </c>
      <c r="R61" s="924"/>
      <c r="S61" s="922">
        <v>146219.82</v>
      </c>
      <c r="T61" s="924"/>
      <c r="U61" s="922">
        <v>138579.78999999998</v>
      </c>
      <c r="V61" s="924"/>
      <c r="W61" s="923">
        <v>132201.38999999993</v>
      </c>
      <c r="X61" s="925"/>
      <c r="Y61" s="922">
        <v>213050.90000000002</v>
      </c>
      <c r="Z61" s="924"/>
      <c r="AA61" s="922">
        <v>359652.6999999999</v>
      </c>
      <c r="AB61" s="924"/>
      <c r="AC61" s="922">
        <v>590707.9500000003</v>
      </c>
      <c r="AD61" s="898">
        <f t="shared" si="5"/>
        <v>4016748.2</v>
      </c>
    </row>
    <row r="62" spans="1:30">
      <c r="A62" s="910">
        <v>58</v>
      </c>
      <c r="B62" s="910" t="s">
        <v>2676</v>
      </c>
      <c r="C62" s="911"/>
      <c r="D62" s="911"/>
      <c r="E62" s="911"/>
      <c r="G62" s="922">
        <v>230.49</v>
      </c>
      <c r="H62" s="924"/>
      <c r="I62" s="922">
        <v>490.65</v>
      </c>
      <c r="J62" s="924"/>
      <c r="K62" s="922">
        <v>679.51</v>
      </c>
      <c r="L62" s="924"/>
      <c r="M62" s="922">
        <v>256.18</v>
      </c>
      <c r="N62" s="924"/>
      <c r="O62" s="922">
        <v>383.94</v>
      </c>
      <c r="P62" s="924"/>
      <c r="Q62" s="898">
        <v>276.02</v>
      </c>
      <c r="S62" s="898">
        <v>206.44</v>
      </c>
      <c r="U62" s="922"/>
      <c r="V62" s="924"/>
      <c r="AA62" s="922"/>
      <c r="AB62" s="924"/>
      <c r="AC62" s="922"/>
      <c r="AD62" s="898">
        <f t="shared" si="5"/>
        <v>2523.23</v>
      </c>
    </row>
    <row r="63" spans="1:30">
      <c r="A63" s="910">
        <v>59</v>
      </c>
      <c r="B63" s="910" t="s">
        <v>2662</v>
      </c>
      <c r="C63" s="911"/>
      <c r="D63" s="911"/>
      <c r="E63" s="911"/>
      <c r="G63" s="922">
        <v>10275.44</v>
      </c>
      <c r="H63" s="924"/>
      <c r="I63" s="922">
        <v>10756.13</v>
      </c>
      <c r="J63" s="924"/>
      <c r="K63" s="922">
        <v>13913.13</v>
      </c>
      <c r="L63" s="924"/>
      <c r="M63" s="922">
        <v>8102.33</v>
      </c>
      <c r="N63" s="924"/>
      <c r="O63" s="922">
        <v>4542.17</v>
      </c>
      <c r="P63" s="924"/>
      <c r="Q63" s="922">
        <v>4080.56</v>
      </c>
      <c r="R63" s="924"/>
      <c r="S63" s="922">
        <v>3306.29</v>
      </c>
      <c r="T63" s="924"/>
      <c r="U63" s="922"/>
      <c r="V63" s="924"/>
      <c r="W63" s="923"/>
      <c r="X63" s="925"/>
      <c r="Y63" s="922"/>
      <c r="Z63" s="924"/>
      <c r="AA63" s="922"/>
      <c r="AB63" s="924"/>
      <c r="AC63" s="922"/>
      <c r="AD63" s="898">
        <f t="shared" si="5"/>
        <v>54976.049999999996</v>
      </c>
    </row>
    <row r="64" spans="1:30">
      <c r="A64" s="910">
        <v>60</v>
      </c>
      <c r="B64" s="910" t="s">
        <v>2663</v>
      </c>
      <c r="C64" s="911"/>
      <c r="D64" s="911"/>
      <c r="E64" s="911"/>
      <c r="G64" s="922">
        <v>120.71</v>
      </c>
      <c r="H64" s="924"/>
      <c r="I64" s="922">
        <v>115.52</v>
      </c>
      <c r="J64" s="924"/>
      <c r="K64" s="922">
        <v>154.36000000000001</v>
      </c>
      <c r="L64" s="924"/>
      <c r="M64" s="922">
        <v>89.62</v>
      </c>
      <c r="N64" s="924"/>
      <c r="O64" s="922">
        <v>65.64</v>
      </c>
      <c r="P64" s="924"/>
      <c r="Q64" s="922">
        <v>40.32</v>
      </c>
      <c r="R64" s="924"/>
      <c r="S64" s="922">
        <v>31.98</v>
      </c>
      <c r="T64" s="924"/>
      <c r="U64" s="922"/>
      <c r="V64" s="924"/>
      <c r="Y64" s="922"/>
      <c r="Z64" s="924"/>
      <c r="AA64" s="922"/>
      <c r="AB64" s="924"/>
      <c r="AC64" s="922"/>
      <c r="AD64" s="898">
        <f t="shared" si="5"/>
        <v>618.15000000000009</v>
      </c>
    </row>
    <row r="65" spans="1:32">
      <c r="A65" s="910">
        <v>61</v>
      </c>
      <c r="B65" s="910" t="s">
        <v>2664</v>
      </c>
      <c r="C65" s="911"/>
      <c r="D65" s="911"/>
      <c r="E65" s="911"/>
      <c r="G65" s="922">
        <v>-582.53</v>
      </c>
      <c r="H65" s="924"/>
      <c r="I65" s="922">
        <v>-556.05000000000007</v>
      </c>
      <c r="J65" s="924"/>
      <c r="K65" s="922">
        <v>-580.69000000000005</v>
      </c>
      <c r="L65" s="924"/>
      <c r="M65" s="922">
        <v>-477.2</v>
      </c>
      <c r="N65" s="924"/>
      <c r="O65" s="922">
        <v>-337.71</v>
      </c>
      <c r="P65" s="924"/>
      <c r="Q65" s="922">
        <v>-249.10000000000002</v>
      </c>
      <c r="R65" s="924"/>
      <c r="S65" s="922">
        <v>-275.26000000000005</v>
      </c>
      <c r="T65" s="924"/>
      <c r="U65" s="922">
        <v>-243.63</v>
      </c>
      <c r="V65" s="924"/>
      <c r="W65" s="898">
        <v>-235.66000000000003</v>
      </c>
      <c r="Y65" s="922">
        <v>-380.81</v>
      </c>
      <c r="Z65" s="924"/>
      <c r="AA65" s="922">
        <v>-477.34</v>
      </c>
      <c r="AB65" s="924"/>
      <c r="AC65" s="922">
        <v>-599.15000000000009</v>
      </c>
      <c r="AD65" s="898">
        <f t="shared" si="5"/>
        <v>-4995.1299999999992</v>
      </c>
    </row>
    <row r="66" spans="1:32">
      <c r="A66" s="910">
        <v>62</v>
      </c>
      <c r="B66" s="910" t="s">
        <v>2665</v>
      </c>
      <c r="C66" s="911"/>
      <c r="D66" s="911"/>
      <c r="E66" s="911"/>
      <c r="G66" s="922">
        <v>4778.21</v>
      </c>
      <c r="H66" s="924"/>
      <c r="I66" s="922">
        <v>5460.31</v>
      </c>
      <c r="J66" s="924"/>
      <c r="K66" s="922">
        <v>5836.23</v>
      </c>
      <c r="L66" s="924"/>
      <c r="M66" s="922">
        <v>2656.94</v>
      </c>
      <c r="N66" s="924"/>
      <c r="O66" s="922">
        <v>1619.56</v>
      </c>
      <c r="P66" s="924"/>
      <c r="Q66" s="922">
        <v>1010.86</v>
      </c>
      <c r="R66" s="924"/>
      <c r="S66" s="922">
        <v>1131.05</v>
      </c>
      <c r="T66" s="924"/>
      <c r="U66" s="922">
        <v>988.67000000000007</v>
      </c>
      <c r="V66" s="924"/>
      <c r="W66" s="898">
        <v>1034.55</v>
      </c>
      <c r="Y66" s="922">
        <v>2005.58</v>
      </c>
      <c r="Z66" s="924"/>
      <c r="AA66" s="922">
        <v>3652.5499999999997</v>
      </c>
      <c r="AB66" s="924"/>
      <c r="AC66" s="922">
        <v>5462.85</v>
      </c>
      <c r="AD66" s="898">
        <f t="shared" si="5"/>
        <v>35637.360000000001</v>
      </c>
    </row>
    <row r="67" spans="1:32">
      <c r="A67" s="910">
        <v>63</v>
      </c>
      <c r="B67" s="910" t="s">
        <v>2677</v>
      </c>
      <c r="C67" s="911"/>
      <c r="D67" s="911"/>
      <c r="E67" s="911"/>
      <c r="G67" s="922">
        <v>-22688.880000000001</v>
      </c>
      <c r="H67" s="924"/>
      <c r="I67" s="922">
        <v>-22517.51</v>
      </c>
      <c r="J67" s="924"/>
      <c r="K67" s="922">
        <v>-24248</v>
      </c>
      <c r="L67" s="924"/>
      <c r="M67" s="922">
        <v>-28012.93</v>
      </c>
      <c r="N67" s="924"/>
      <c r="O67" s="922">
        <v>-17757.850000000002</v>
      </c>
      <c r="P67" s="924"/>
      <c r="Q67" s="922">
        <v>-10623.69</v>
      </c>
      <c r="R67" s="924"/>
      <c r="S67" s="922">
        <v>-8597.8799999999992</v>
      </c>
      <c r="T67" s="924"/>
      <c r="U67" s="922">
        <v>-8834.2100000000009</v>
      </c>
      <c r="V67" s="924"/>
      <c r="W67" s="898">
        <v>-8016.5599999999995</v>
      </c>
      <c r="Y67" s="922">
        <v>-9779.85</v>
      </c>
      <c r="Z67" s="924"/>
      <c r="AA67" s="922">
        <v>-13851.45</v>
      </c>
      <c r="AB67" s="924"/>
      <c r="AC67" s="922">
        <v>-24364.500000000004</v>
      </c>
      <c r="AD67" s="898">
        <f t="shared" si="5"/>
        <v>-199293.31000000003</v>
      </c>
    </row>
    <row r="68" spans="1:32">
      <c r="A68" s="910">
        <v>64</v>
      </c>
      <c r="B68" s="830" t="s">
        <v>2884</v>
      </c>
      <c r="C68" s="911"/>
      <c r="D68" s="911"/>
      <c r="E68" s="911"/>
      <c r="G68" s="922">
        <f>SUM(G49:G67)</f>
        <v>9637380.1399999987</v>
      </c>
      <c r="H68" s="922"/>
      <c r="I68" s="922">
        <f>SUM(I49:I67)</f>
        <v>10251488.610000001</v>
      </c>
      <c r="J68" s="922"/>
      <c r="K68" s="922">
        <f>SUM(K49:K67)</f>
        <v>11641801.439999999</v>
      </c>
      <c r="L68" s="922"/>
      <c r="M68" s="922">
        <f>SUM(M49:M67)</f>
        <v>6976728.2700000005</v>
      </c>
      <c r="N68" s="922"/>
      <c r="O68" s="922">
        <f>SUM(O49:O67)</f>
        <v>4576454.0200000005</v>
      </c>
      <c r="P68" s="922"/>
      <c r="Q68" s="922">
        <f>SUM(Q49:Q67)</f>
        <v>3092889.59</v>
      </c>
      <c r="R68" s="922"/>
      <c r="S68" s="922">
        <f>SUM(S49:S67)</f>
        <v>2768947.4</v>
      </c>
      <c r="T68" s="922"/>
      <c r="U68" s="922">
        <f>SUM(U49:U67)</f>
        <v>2558491.8099999996</v>
      </c>
      <c r="V68" s="922"/>
      <c r="W68" s="922">
        <f>SUM(W49:W67)</f>
        <v>2466127.1699999995</v>
      </c>
      <c r="X68" s="922"/>
      <c r="Y68" s="922">
        <f>SUM(Y49:Y67)</f>
        <v>4172746.7899999996</v>
      </c>
      <c r="Z68" s="922"/>
      <c r="AA68" s="922">
        <f>SUM(AA49:AA67)</f>
        <v>6828194.6100000003</v>
      </c>
      <c r="AB68" s="922"/>
      <c r="AC68" s="922">
        <f>SUM(AC49:AC67)</f>
        <v>10904193.51</v>
      </c>
      <c r="AD68" s="898">
        <f t="shared" si="5"/>
        <v>75875443.360000014</v>
      </c>
    </row>
    <row r="69" spans="1:32">
      <c r="A69" s="910">
        <v>65</v>
      </c>
      <c r="B69" s="830" t="s">
        <v>2514</v>
      </c>
      <c r="C69" s="911"/>
      <c r="D69" s="911"/>
      <c r="E69" s="932"/>
      <c r="F69" s="928"/>
      <c r="G69" s="926">
        <v>13149828</v>
      </c>
      <c r="H69" s="926"/>
      <c r="I69" s="926">
        <v>14020283</v>
      </c>
      <c r="J69" s="926"/>
      <c r="K69" s="926">
        <v>15976171</v>
      </c>
      <c r="L69" s="926"/>
      <c r="M69" s="926">
        <v>9134821</v>
      </c>
      <c r="N69" s="926"/>
      <c r="O69" s="926">
        <v>5393236</v>
      </c>
      <c r="P69" s="926"/>
      <c r="Q69" s="926">
        <v>4959622</v>
      </c>
      <c r="R69" s="926"/>
      <c r="S69" s="926">
        <v>3065477</v>
      </c>
      <c r="T69" s="926"/>
      <c r="U69" s="926">
        <v>2802979</v>
      </c>
      <c r="V69" s="926"/>
      <c r="W69" s="930">
        <v>2682876</v>
      </c>
      <c r="X69" s="931"/>
      <c r="Y69" s="924">
        <v>4866062</v>
      </c>
      <c r="Z69" s="926"/>
      <c r="AA69" s="926">
        <v>7925684</v>
      </c>
      <c r="AB69" s="926"/>
      <c r="AC69" s="926">
        <v>12004649</v>
      </c>
      <c r="AD69" s="928">
        <f t="shared" si="5"/>
        <v>95981688</v>
      </c>
    </row>
    <row r="70" spans="1:32">
      <c r="A70" s="910">
        <v>66</v>
      </c>
      <c r="B70" s="910" t="s">
        <v>2885</v>
      </c>
      <c r="C70" s="911"/>
      <c r="D70" s="911"/>
      <c r="E70" s="932"/>
      <c r="F70" s="928"/>
      <c r="G70" s="926">
        <v>-31861</v>
      </c>
      <c r="H70" s="926"/>
      <c r="I70" s="926">
        <v>-32056</v>
      </c>
      <c r="J70" s="926"/>
      <c r="K70" s="931">
        <v>-34346</v>
      </c>
      <c r="L70" s="928"/>
      <c r="M70" s="931">
        <v>-38274</v>
      </c>
      <c r="N70" s="928"/>
      <c r="O70" s="926">
        <v>-22706</v>
      </c>
      <c r="P70" s="926"/>
      <c r="Q70" s="926">
        <v>-13595</v>
      </c>
      <c r="R70" s="926"/>
      <c r="S70" s="926">
        <v>-10949</v>
      </c>
      <c r="T70" s="926"/>
      <c r="U70" s="926">
        <v>-11209</v>
      </c>
      <c r="V70" s="926"/>
      <c r="W70" s="899">
        <v>-10187</v>
      </c>
      <c r="X70" s="928"/>
      <c r="Y70" s="924">
        <v>-12610</v>
      </c>
      <c r="Z70" s="926"/>
      <c r="AA70" s="926">
        <v>-17014</v>
      </c>
      <c r="AB70" s="926"/>
      <c r="AC70" s="926">
        <v>-27943</v>
      </c>
      <c r="AD70" s="928">
        <f t="shared" si="5"/>
        <v>-262750</v>
      </c>
    </row>
    <row r="71" spans="1:32">
      <c r="A71" s="910">
        <v>67</v>
      </c>
      <c r="B71" s="910" t="s">
        <v>2886</v>
      </c>
      <c r="C71" s="911"/>
      <c r="D71" s="911"/>
      <c r="E71" s="932"/>
      <c r="F71" s="928"/>
      <c r="G71" s="926">
        <f>SUM(G69:G70)</f>
        <v>13117967</v>
      </c>
      <c r="H71" s="926"/>
      <c r="I71" s="926">
        <f>SUM(I69:I70)</f>
        <v>13988227</v>
      </c>
      <c r="J71" s="926"/>
      <c r="K71" s="926">
        <f>SUM(K69:K70)</f>
        <v>15941825</v>
      </c>
      <c r="L71" s="926"/>
      <c r="M71" s="926">
        <f>SUM(M69:M70)</f>
        <v>9096547</v>
      </c>
      <c r="N71" s="926"/>
      <c r="O71" s="926">
        <f>SUM(O69:O70)</f>
        <v>5370530</v>
      </c>
      <c r="P71" s="926"/>
      <c r="Q71" s="926">
        <f>SUM(Q69:Q70)</f>
        <v>4946027</v>
      </c>
      <c r="R71" s="926"/>
      <c r="S71" s="926">
        <f>SUM(S69:S70)</f>
        <v>3054528</v>
      </c>
      <c r="T71" s="926"/>
      <c r="U71" s="926">
        <f>SUM(U69:U70)</f>
        <v>2791770</v>
      </c>
      <c r="V71" s="926"/>
      <c r="W71" s="924">
        <f>SUM(W69:W70)</f>
        <v>2672689</v>
      </c>
      <c r="X71" s="926"/>
      <c r="Y71" s="924">
        <f>SUM(Y69:Y70)</f>
        <v>4853452</v>
      </c>
      <c r="Z71" s="926"/>
      <c r="AA71" s="926">
        <f>SUM(AA69:AA70)</f>
        <v>7908670</v>
      </c>
      <c r="AB71" s="926"/>
      <c r="AC71" s="926">
        <f>SUM(AC69:AC70)</f>
        <v>11976706</v>
      </c>
      <c r="AD71" s="928">
        <f t="shared" si="5"/>
        <v>95718938</v>
      </c>
    </row>
    <row r="72" spans="1:32">
      <c r="A72" s="910">
        <v>68</v>
      </c>
      <c r="C72" s="911"/>
      <c r="D72" s="911"/>
      <c r="E72" s="932"/>
      <c r="F72" s="928"/>
      <c r="G72" s="928"/>
      <c r="H72" s="928"/>
      <c r="I72" s="928"/>
      <c r="J72" s="928"/>
      <c r="K72" s="928"/>
      <c r="L72" s="928"/>
      <c r="M72" s="928"/>
      <c r="N72" s="928"/>
      <c r="O72" s="928"/>
      <c r="P72" s="928"/>
      <c r="Q72" s="928"/>
      <c r="R72" s="928"/>
      <c r="S72" s="928"/>
      <c r="T72" s="928"/>
      <c r="U72" s="928"/>
      <c r="V72" s="928"/>
      <c r="W72" s="928"/>
      <c r="X72" s="928"/>
      <c r="Y72" s="928"/>
      <c r="Z72" s="928"/>
      <c r="AA72" s="928"/>
      <c r="AB72" s="928"/>
      <c r="AC72" s="928"/>
      <c r="AD72" s="928"/>
    </row>
    <row r="73" spans="1:32">
      <c r="A73" s="910">
        <v>69</v>
      </c>
      <c r="B73" s="849" t="s">
        <v>2888</v>
      </c>
      <c r="C73" s="911"/>
      <c r="D73" s="911"/>
      <c r="E73" s="911"/>
    </row>
    <row r="74" spans="1:32">
      <c r="A74" s="910">
        <v>70</v>
      </c>
      <c r="B74" s="910" t="s">
        <v>2462</v>
      </c>
      <c r="C74" s="898">
        <v>125</v>
      </c>
      <c r="D74" s="898"/>
      <c r="E74" s="898"/>
      <c r="F74" s="899">
        <f>G74/$C$74</f>
        <v>0</v>
      </c>
      <c r="G74" s="922"/>
      <c r="H74" s="899">
        <f>I74/$C$74</f>
        <v>0</v>
      </c>
      <c r="I74" s="922"/>
      <c r="J74" s="899">
        <f>K74/$C$74</f>
        <v>0</v>
      </c>
      <c r="K74" s="922"/>
      <c r="L74" s="899">
        <f>M74/$C$74</f>
        <v>0</v>
      </c>
      <c r="M74" s="922"/>
      <c r="N74" s="899">
        <f>O74/$C$74</f>
        <v>0</v>
      </c>
      <c r="O74" s="922"/>
      <c r="P74" s="899">
        <f>Q74/$C$74</f>
        <v>0</v>
      </c>
      <c r="Q74" s="922"/>
      <c r="R74" s="899">
        <f>S74/$C$74</f>
        <v>0</v>
      </c>
      <c r="S74" s="922"/>
      <c r="T74" s="899">
        <f>U74/$C$74</f>
        <v>0</v>
      </c>
      <c r="U74" s="922"/>
      <c r="V74" s="899">
        <f>W74/$C$74</f>
        <v>0</v>
      </c>
      <c r="W74" s="923"/>
      <c r="X74" s="899">
        <f>Y74/$C$74</f>
        <v>0</v>
      </c>
      <c r="Y74" s="922"/>
      <c r="Z74" s="899">
        <f>AA74/$C$74</f>
        <v>7</v>
      </c>
      <c r="AA74" s="922">
        <v>875</v>
      </c>
      <c r="AB74" s="933">
        <f>AC74/$C$74</f>
        <v>7</v>
      </c>
      <c r="AC74" s="922">
        <v>875</v>
      </c>
      <c r="AD74" s="898">
        <f>SUM(G74,I74,K74,M74,O74,Q74,S74,U74,W74,Y74,AA74,AC74)</f>
        <v>1750</v>
      </c>
      <c r="AF74" s="925">
        <f>(AB74+Z74+X74+V74+T74+R74+F74+H74+P74+N74+J74+L74)/12</f>
        <v>1.1666666666666667</v>
      </c>
    </row>
    <row r="75" spans="1:32">
      <c r="A75" s="910">
        <v>71</v>
      </c>
      <c r="B75" s="830" t="s">
        <v>2688</v>
      </c>
      <c r="C75" s="934">
        <v>0.14330000000000001</v>
      </c>
      <c r="D75" s="898"/>
      <c r="E75" s="898"/>
      <c r="F75" s="899">
        <f>G75/$C$75</f>
        <v>0</v>
      </c>
      <c r="G75" s="922"/>
      <c r="H75" s="899">
        <f>I75/$C$75</f>
        <v>0</v>
      </c>
      <c r="I75" s="922"/>
      <c r="J75" s="899">
        <f>K75/$C$75</f>
        <v>0</v>
      </c>
      <c r="K75" s="922"/>
      <c r="L75" s="899">
        <f>M75/$C$75</f>
        <v>0</v>
      </c>
      <c r="M75" s="922"/>
      <c r="N75" s="899">
        <f>O75/$C$75</f>
        <v>0</v>
      </c>
      <c r="O75" s="922"/>
      <c r="P75" s="899">
        <f>Q75/$C$75</f>
        <v>0</v>
      </c>
      <c r="Q75" s="922"/>
      <c r="R75" s="899">
        <f>S75/$C$75</f>
        <v>0</v>
      </c>
      <c r="S75" s="922"/>
      <c r="T75" s="899">
        <f>U75/$C$75</f>
        <v>0</v>
      </c>
      <c r="U75" s="922"/>
      <c r="V75" s="899">
        <f>W75/$C$75</f>
        <v>0</v>
      </c>
      <c r="W75" s="923"/>
      <c r="X75" s="899">
        <f>Y75/$C$75</f>
        <v>0</v>
      </c>
      <c r="Y75" s="922"/>
      <c r="Z75" s="899">
        <f>AA75/$C$75</f>
        <v>130279.97208653174</v>
      </c>
      <c r="AA75" s="922">
        <v>18669.12</v>
      </c>
      <c r="AB75" s="899">
        <f>AC75/$C$75</f>
        <v>137081.99581297973</v>
      </c>
      <c r="AC75" s="922">
        <v>19643.849999999999</v>
      </c>
      <c r="AD75" s="898">
        <f>SUM(G75,I75,K75,M75,O75,Q75,S75,U75,W75,Y75,AA75,AC75)</f>
        <v>38312.97</v>
      </c>
    </row>
    <row r="76" spans="1:32">
      <c r="A76" s="910">
        <v>72</v>
      </c>
      <c r="B76" s="910" t="s">
        <v>2689</v>
      </c>
      <c r="C76" s="934">
        <v>0.10983999999999999</v>
      </c>
      <c r="D76" s="898"/>
      <c r="E76" s="898"/>
      <c r="F76" s="899">
        <f>G76/$C$76</f>
        <v>0</v>
      </c>
      <c r="G76" s="922"/>
      <c r="H76" s="899">
        <f>I76/$C$76</f>
        <v>0</v>
      </c>
      <c r="I76" s="922"/>
      <c r="J76" s="899">
        <f>K76/$C$76</f>
        <v>0</v>
      </c>
      <c r="K76" s="922"/>
      <c r="L76" s="899">
        <f>M76/$C$76</f>
        <v>0</v>
      </c>
      <c r="M76" s="922"/>
      <c r="N76" s="899">
        <f>O76/$C$76</f>
        <v>0</v>
      </c>
      <c r="O76" s="922"/>
      <c r="P76" s="899">
        <f>Q76/$C$76</f>
        <v>0</v>
      </c>
      <c r="Q76" s="922"/>
      <c r="R76" s="899">
        <f>S76/$C$76</f>
        <v>0</v>
      </c>
      <c r="S76" s="922"/>
      <c r="T76" s="899">
        <f>U76/$C$76</f>
        <v>0</v>
      </c>
      <c r="U76" s="922"/>
      <c r="V76" s="899">
        <f>W76/$C$76</f>
        <v>0</v>
      </c>
      <c r="W76" s="923"/>
      <c r="X76" s="899">
        <f>Y76/$C$76</f>
        <v>0</v>
      </c>
      <c r="Y76" s="922"/>
      <c r="Z76" s="899">
        <f>AA76/$C$76</f>
        <v>320076.01966496726</v>
      </c>
      <c r="AA76" s="922">
        <v>35157.15</v>
      </c>
      <c r="AB76" s="899">
        <f>AC76/$C$76</f>
        <v>361024.94537509111</v>
      </c>
      <c r="AC76" s="922">
        <v>39654.980000000003</v>
      </c>
      <c r="AD76" s="898">
        <f>SUM(G76,I76,K76,M76,O76,Q76,S76,U76,W76,Y76,AA76,AC76)</f>
        <v>74812.13</v>
      </c>
    </row>
    <row r="77" spans="1:32">
      <c r="A77" s="910">
        <v>73</v>
      </c>
      <c r="B77" s="830" t="s">
        <v>2889</v>
      </c>
      <c r="C77" s="934">
        <v>2.7089999999999999E-2</v>
      </c>
      <c r="D77" s="911"/>
      <c r="E77" s="911"/>
      <c r="F77" s="899">
        <f>G77/$C$77</f>
        <v>0</v>
      </c>
      <c r="G77" s="922"/>
      <c r="H77" s="899">
        <f>I77/$C$77</f>
        <v>0</v>
      </c>
      <c r="I77" s="922"/>
      <c r="J77" s="899">
        <f>K77/$C$77</f>
        <v>0</v>
      </c>
      <c r="K77" s="922"/>
      <c r="L77" s="899">
        <f>M77/$C$77</f>
        <v>0</v>
      </c>
      <c r="M77" s="922"/>
      <c r="N77" s="899">
        <f>O77/$C$77</f>
        <v>0</v>
      </c>
      <c r="O77" s="922"/>
      <c r="P77" s="899">
        <f>Q77/$C$77</f>
        <v>0</v>
      </c>
      <c r="Q77" s="922"/>
      <c r="R77" s="899">
        <f>S77/$C$77</f>
        <v>0</v>
      </c>
      <c r="S77" s="922"/>
      <c r="T77" s="899">
        <f>U77/$C$77</f>
        <v>0</v>
      </c>
      <c r="U77" s="922"/>
      <c r="V77" s="899">
        <f>W77/$C$77</f>
        <v>0</v>
      </c>
      <c r="W77" s="923"/>
      <c r="X77" s="899">
        <f>Y77/$C$77</f>
        <v>0</v>
      </c>
      <c r="Y77" s="922"/>
      <c r="Z77" s="899">
        <f>AA77/$C$77</f>
        <v>897005.16795865633</v>
      </c>
      <c r="AA77" s="922">
        <v>24299.87</v>
      </c>
      <c r="AB77" s="899">
        <f>AC77/$C$77</f>
        <v>1000636.3971945368</v>
      </c>
      <c r="AC77" s="922">
        <v>27107.24</v>
      </c>
      <c r="AD77" s="898">
        <f>SUM(G77,I77,K77,M77,O77,Q77,S77,U77,W77,Y77,AA77,AC77)</f>
        <v>51407.11</v>
      </c>
    </row>
    <row r="78" spans="1:32">
      <c r="A78" s="910">
        <v>74</v>
      </c>
      <c r="B78" s="910" t="s">
        <v>2650</v>
      </c>
      <c r="C78" s="911"/>
      <c r="D78" s="911"/>
      <c r="E78" s="911"/>
      <c r="G78" s="922"/>
      <c r="H78" s="924"/>
      <c r="I78" s="922"/>
      <c r="J78" s="924"/>
      <c r="K78" s="922"/>
      <c r="L78" s="924"/>
      <c r="M78" s="922"/>
      <c r="N78" s="924"/>
      <c r="O78" s="922"/>
      <c r="P78" s="924"/>
      <c r="Q78" s="922"/>
      <c r="R78" s="924"/>
      <c r="S78" s="922"/>
      <c r="T78" s="924"/>
      <c r="U78" s="922"/>
      <c r="V78" s="924"/>
      <c r="W78" s="923"/>
      <c r="X78" s="925"/>
      <c r="Y78" s="922"/>
      <c r="Z78" s="924"/>
      <c r="AA78" s="922">
        <v>565217.92999999993</v>
      </c>
      <c r="AB78" s="924"/>
      <c r="AC78" s="922">
        <v>632424.59</v>
      </c>
      <c r="AD78" s="898">
        <f>SUM(G78,I78,K78,M78,O78,Q78,S78,U78,W78,Y78,AA78,AC78)</f>
        <v>1197642.52</v>
      </c>
    </row>
    <row r="79" spans="1:32">
      <c r="A79" s="910">
        <v>75</v>
      </c>
      <c r="B79" s="910" t="s">
        <v>2652</v>
      </c>
      <c r="C79" s="911"/>
      <c r="D79" s="911"/>
      <c r="E79" s="911"/>
      <c r="G79" s="922"/>
      <c r="H79" s="924"/>
      <c r="I79" s="922"/>
      <c r="J79" s="924"/>
      <c r="K79" s="922"/>
      <c r="L79" s="924"/>
      <c r="M79" s="922"/>
      <c r="N79" s="924"/>
      <c r="O79" s="922"/>
      <c r="P79" s="924"/>
      <c r="Q79" s="922"/>
      <c r="R79" s="924"/>
      <c r="S79" s="922"/>
      <c r="T79" s="924"/>
      <c r="U79" s="922"/>
      <c r="V79" s="924"/>
      <c r="W79" s="923"/>
      <c r="X79" s="925"/>
      <c r="Y79" s="922"/>
      <c r="Z79" s="924"/>
      <c r="AA79" s="922">
        <v>102601.54</v>
      </c>
      <c r="AB79" s="924"/>
      <c r="AC79" s="922">
        <v>202779.91999999998</v>
      </c>
      <c r="AD79" s="898">
        <f t="shared" ref="AD79:AD98" si="6">SUM(G79:AC79)</f>
        <v>305381.45999999996</v>
      </c>
    </row>
    <row r="80" spans="1:32">
      <c r="A80" s="910">
        <v>76</v>
      </c>
      <c r="B80" s="910" t="s">
        <v>2653</v>
      </c>
      <c r="C80" s="911"/>
      <c r="D80" s="911"/>
      <c r="E80" s="911"/>
      <c r="G80" s="922"/>
      <c r="H80" s="924"/>
      <c r="I80" s="922"/>
      <c r="J80" s="924"/>
      <c r="K80" s="922"/>
      <c r="L80" s="924"/>
      <c r="M80" s="922"/>
      <c r="N80" s="924"/>
      <c r="O80" s="922"/>
      <c r="P80" s="924"/>
      <c r="Q80" s="922"/>
      <c r="R80" s="924"/>
      <c r="S80" s="922"/>
      <c r="T80" s="924"/>
      <c r="U80" s="922"/>
      <c r="V80" s="924"/>
      <c r="W80" s="923"/>
      <c r="X80" s="925"/>
      <c r="Y80" s="922"/>
      <c r="Z80" s="924"/>
      <c r="AA80" s="830">
        <v>1940.21</v>
      </c>
      <c r="AB80" s="924"/>
      <c r="AC80" s="922">
        <v>2113.2399999999998</v>
      </c>
      <c r="AD80" s="898">
        <f t="shared" si="6"/>
        <v>4053.45</v>
      </c>
    </row>
    <row r="81" spans="1:30">
      <c r="A81" s="910">
        <v>77</v>
      </c>
      <c r="B81" s="910" t="s">
        <v>2654</v>
      </c>
      <c r="C81" s="911"/>
      <c r="D81" s="911"/>
      <c r="E81" s="911"/>
      <c r="G81" s="922"/>
      <c r="H81" s="924"/>
      <c r="I81" s="922"/>
      <c r="J81" s="924"/>
      <c r="K81" s="922"/>
      <c r="L81" s="924"/>
      <c r="M81" s="922"/>
      <c r="N81" s="924"/>
      <c r="O81" s="922"/>
      <c r="P81" s="924"/>
      <c r="Q81" s="922"/>
      <c r="R81" s="924"/>
      <c r="S81" s="922"/>
      <c r="T81" s="924"/>
      <c r="U81" s="922"/>
      <c r="V81" s="924"/>
      <c r="W81" s="923"/>
      <c r="X81" s="925"/>
      <c r="Y81" s="922"/>
      <c r="Z81" s="924"/>
      <c r="AA81" s="922">
        <v>6373.0199999999995</v>
      </c>
      <c r="AB81" s="924"/>
      <c r="AC81" s="922">
        <v>8512.869999999999</v>
      </c>
      <c r="AD81" s="898">
        <f t="shared" si="6"/>
        <v>14885.89</v>
      </c>
    </row>
    <row r="82" spans="1:30">
      <c r="A82" s="910">
        <v>78</v>
      </c>
      <c r="B82" s="910" t="s">
        <v>2655</v>
      </c>
      <c r="C82" s="911"/>
      <c r="D82" s="911"/>
      <c r="E82" s="911"/>
      <c r="G82" s="922"/>
      <c r="H82" s="924"/>
      <c r="I82" s="922"/>
      <c r="J82" s="924"/>
      <c r="K82" s="922"/>
      <c r="L82" s="924"/>
      <c r="M82" s="922"/>
      <c r="N82" s="924"/>
      <c r="O82" s="922"/>
      <c r="P82" s="924"/>
      <c r="Q82" s="922"/>
      <c r="R82" s="924"/>
      <c r="S82" s="922"/>
      <c r="T82" s="924"/>
      <c r="U82" s="922"/>
      <c r="V82" s="924"/>
      <c r="W82" s="923"/>
      <c r="X82" s="925"/>
      <c r="Y82" s="922"/>
      <c r="Z82" s="924"/>
      <c r="AA82" s="922">
        <v>-68284.259999999995</v>
      </c>
      <c r="AB82" s="924"/>
      <c r="AC82" s="922">
        <v>-29285.439999999999</v>
      </c>
      <c r="AD82" s="898">
        <f t="shared" si="6"/>
        <v>-97569.7</v>
      </c>
    </row>
    <row r="83" spans="1:30">
      <c r="A83" s="910">
        <v>79</v>
      </c>
      <c r="B83" s="910" t="s">
        <v>2656</v>
      </c>
      <c r="C83" s="911"/>
      <c r="D83" s="911"/>
      <c r="E83" s="911"/>
      <c r="G83" s="922"/>
      <c r="H83" s="924"/>
      <c r="I83" s="922"/>
      <c r="J83" s="924"/>
      <c r="K83" s="922"/>
      <c r="L83" s="924"/>
      <c r="M83" s="922"/>
      <c r="N83" s="924"/>
      <c r="O83" s="922"/>
      <c r="P83" s="924"/>
      <c r="Q83" s="922"/>
      <c r="R83" s="924"/>
      <c r="S83" s="922"/>
      <c r="T83" s="924"/>
      <c r="U83" s="922"/>
      <c r="V83" s="924"/>
      <c r="W83" s="923"/>
      <c r="X83" s="925"/>
      <c r="Y83" s="922"/>
      <c r="Z83" s="924"/>
      <c r="AA83" s="922">
        <v>10428.570000000002</v>
      </c>
      <c r="AB83" s="924"/>
      <c r="AC83" s="922"/>
      <c r="AD83" s="898">
        <f t="shared" si="6"/>
        <v>10428.570000000002</v>
      </c>
    </row>
    <row r="84" spans="1:30">
      <c r="A84" s="910">
        <v>80</v>
      </c>
      <c r="B84" s="910" t="s">
        <v>2657</v>
      </c>
      <c r="C84" s="911"/>
      <c r="D84" s="911"/>
      <c r="E84" s="911"/>
      <c r="G84" s="922"/>
      <c r="H84" s="924"/>
      <c r="I84" s="922"/>
      <c r="J84" s="924"/>
      <c r="K84" s="922"/>
      <c r="L84" s="924"/>
      <c r="M84" s="922"/>
      <c r="N84" s="924"/>
      <c r="O84" s="922"/>
      <c r="P84" s="924"/>
      <c r="Q84" s="922"/>
      <c r="R84" s="924"/>
      <c r="S84" s="922"/>
      <c r="T84" s="924"/>
      <c r="U84" s="922"/>
      <c r="V84" s="924"/>
      <c r="W84" s="923"/>
      <c r="X84" s="925"/>
      <c r="Y84" s="922"/>
      <c r="Z84" s="924"/>
      <c r="AA84" s="922">
        <v>37106.33</v>
      </c>
      <c r="AB84" s="924"/>
      <c r="AC84" s="922">
        <v>39416.93</v>
      </c>
      <c r="AD84" s="898">
        <f t="shared" si="6"/>
        <v>76523.260000000009</v>
      </c>
    </row>
    <row r="85" spans="1:30">
      <c r="A85" s="910">
        <v>81</v>
      </c>
      <c r="B85" s="895" t="s">
        <v>2658</v>
      </c>
      <c r="C85" s="911"/>
      <c r="D85" s="911"/>
      <c r="E85" s="911"/>
      <c r="G85" s="922"/>
      <c r="H85" s="924"/>
      <c r="I85" s="922"/>
      <c r="J85" s="924"/>
      <c r="K85" s="922"/>
      <c r="L85" s="924"/>
      <c r="M85" s="922"/>
      <c r="N85" s="924"/>
      <c r="O85" s="922"/>
      <c r="P85" s="924"/>
      <c r="Q85" s="922"/>
      <c r="R85" s="924"/>
      <c r="S85" s="922"/>
      <c r="T85" s="924"/>
      <c r="U85" s="922"/>
      <c r="V85" s="924"/>
      <c r="W85" s="923"/>
      <c r="X85" s="925"/>
      <c r="Y85" s="922"/>
      <c r="Z85" s="924"/>
      <c r="AA85" s="922">
        <v>-3853.45</v>
      </c>
      <c r="AB85" s="924"/>
      <c r="AC85" s="922">
        <v>-4810.96</v>
      </c>
      <c r="AD85" s="898">
        <f t="shared" si="6"/>
        <v>-8664.41</v>
      </c>
    </row>
    <row r="86" spans="1:30">
      <c r="A86" s="910">
        <v>82</v>
      </c>
      <c r="B86" s="895" t="s">
        <v>2659</v>
      </c>
      <c r="C86" s="911"/>
      <c r="D86" s="911"/>
      <c r="E86" s="911"/>
      <c r="G86" s="922"/>
      <c r="H86" s="924"/>
      <c r="I86" s="922"/>
      <c r="J86" s="924"/>
      <c r="K86" s="922"/>
      <c r="L86" s="924"/>
      <c r="M86" s="922"/>
      <c r="N86" s="924"/>
      <c r="O86" s="922"/>
      <c r="P86" s="924"/>
      <c r="Q86" s="922"/>
      <c r="R86" s="924"/>
      <c r="S86" s="922"/>
      <c r="T86" s="924"/>
      <c r="U86" s="922"/>
      <c r="V86" s="924"/>
      <c r="W86" s="923"/>
      <c r="X86" s="925"/>
      <c r="Y86" s="922"/>
      <c r="Z86" s="924"/>
      <c r="AA86" s="922">
        <v>-1791.9799999999998</v>
      </c>
      <c r="AB86" s="924"/>
      <c r="AC86" s="922">
        <v>-1794</v>
      </c>
      <c r="AD86" s="898">
        <f t="shared" si="6"/>
        <v>-3585.9799999999996</v>
      </c>
    </row>
    <row r="87" spans="1:30">
      <c r="A87" s="910">
        <v>83</v>
      </c>
      <c r="B87" s="895" t="s">
        <v>2660</v>
      </c>
      <c r="C87" s="911"/>
      <c r="D87" s="911"/>
      <c r="E87" s="911"/>
      <c r="G87" s="922"/>
      <c r="H87" s="924"/>
      <c r="I87" s="922"/>
      <c r="J87" s="924"/>
      <c r="K87" s="922"/>
      <c r="L87" s="924"/>
      <c r="M87" s="922"/>
      <c r="N87" s="924"/>
      <c r="O87" s="922"/>
      <c r="P87" s="924"/>
      <c r="Q87" s="922"/>
      <c r="R87" s="924"/>
      <c r="S87" s="922"/>
      <c r="T87" s="924"/>
      <c r="U87" s="922"/>
      <c r="V87" s="924"/>
      <c r="W87" s="923"/>
      <c r="X87" s="925"/>
      <c r="Y87" s="922"/>
      <c r="Z87" s="924"/>
      <c r="AA87" s="922">
        <v>-3274.0999999999995</v>
      </c>
      <c r="AB87" s="924"/>
      <c r="AC87" s="922"/>
      <c r="AD87" s="898">
        <f t="shared" si="6"/>
        <v>-3274.0999999999995</v>
      </c>
    </row>
    <row r="88" spans="1:30">
      <c r="A88" s="910">
        <v>84</v>
      </c>
      <c r="B88" s="910" t="s">
        <v>2661</v>
      </c>
      <c r="C88" s="911"/>
      <c r="D88" s="911"/>
      <c r="E88" s="911"/>
      <c r="G88" s="922"/>
      <c r="H88" s="924"/>
      <c r="I88" s="922"/>
      <c r="J88" s="924"/>
      <c r="K88" s="922"/>
      <c r="L88" s="924"/>
      <c r="M88" s="922"/>
      <c r="N88" s="924"/>
      <c r="O88" s="922"/>
      <c r="P88" s="924"/>
      <c r="Q88" s="922"/>
      <c r="R88" s="924"/>
      <c r="S88" s="922"/>
      <c r="T88" s="924"/>
      <c r="U88" s="922"/>
      <c r="V88" s="924"/>
      <c r="W88" s="923"/>
      <c r="X88" s="925"/>
      <c r="Y88" s="922"/>
      <c r="Z88" s="924"/>
      <c r="AA88" s="922">
        <v>28314.41</v>
      </c>
      <c r="AB88" s="924"/>
      <c r="AC88" s="922">
        <v>36523.379999999997</v>
      </c>
      <c r="AD88" s="898">
        <f t="shared" si="6"/>
        <v>64837.789999999994</v>
      </c>
    </row>
    <row r="89" spans="1:30">
      <c r="A89" s="910">
        <v>85</v>
      </c>
      <c r="B89" s="910" t="s">
        <v>2676</v>
      </c>
      <c r="C89" s="911"/>
      <c r="D89" s="911"/>
      <c r="E89" s="911"/>
      <c r="G89" s="922"/>
      <c r="H89" s="924"/>
      <c r="I89" s="922"/>
      <c r="J89" s="924"/>
      <c r="K89" s="922"/>
      <c r="L89" s="924"/>
      <c r="M89" s="922"/>
      <c r="N89" s="924"/>
      <c r="O89" s="922"/>
      <c r="P89" s="924"/>
      <c r="U89" s="922"/>
      <c r="V89" s="924"/>
      <c r="AA89" s="922"/>
      <c r="AB89" s="924"/>
      <c r="AC89" s="922"/>
      <c r="AD89" s="898">
        <f t="shared" si="6"/>
        <v>0</v>
      </c>
    </row>
    <row r="90" spans="1:30">
      <c r="A90" s="910">
        <v>86</v>
      </c>
      <c r="B90" s="910" t="s">
        <v>2662</v>
      </c>
      <c r="C90" s="911"/>
      <c r="D90" s="911"/>
      <c r="E90" s="911"/>
      <c r="G90" s="922"/>
      <c r="H90" s="924"/>
      <c r="I90" s="922"/>
      <c r="J90" s="924"/>
      <c r="K90" s="922"/>
      <c r="L90" s="924"/>
      <c r="M90" s="922"/>
      <c r="N90" s="924"/>
      <c r="O90" s="922"/>
      <c r="P90" s="924"/>
      <c r="Q90" s="922"/>
      <c r="R90" s="924"/>
      <c r="S90" s="922"/>
      <c r="T90" s="924"/>
      <c r="U90" s="922"/>
      <c r="V90" s="924"/>
      <c r="W90" s="923"/>
      <c r="X90" s="925"/>
      <c r="Y90" s="922"/>
      <c r="Z90" s="924"/>
      <c r="AA90" s="922"/>
      <c r="AB90" s="924"/>
      <c r="AC90" s="922"/>
      <c r="AD90" s="898">
        <f t="shared" si="6"/>
        <v>0</v>
      </c>
    </row>
    <row r="91" spans="1:30">
      <c r="A91" s="910">
        <v>87</v>
      </c>
      <c r="B91" s="910" t="s">
        <v>2663</v>
      </c>
      <c r="C91" s="911"/>
      <c r="D91" s="911"/>
      <c r="E91" s="911"/>
      <c r="G91" s="922"/>
      <c r="H91" s="924"/>
      <c r="I91" s="922"/>
      <c r="J91" s="924"/>
      <c r="K91" s="922"/>
      <c r="L91" s="924"/>
      <c r="M91" s="922"/>
      <c r="N91" s="924"/>
      <c r="O91" s="922"/>
      <c r="P91" s="924"/>
      <c r="Q91" s="922"/>
      <c r="R91" s="924"/>
      <c r="S91" s="922"/>
      <c r="T91" s="924"/>
      <c r="U91" s="922"/>
      <c r="V91" s="924"/>
      <c r="Y91" s="922"/>
      <c r="Z91" s="924"/>
      <c r="AA91" s="922"/>
      <c r="AB91" s="924"/>
      <c r="AC91" s="922"/>
      <c r="AD91" s="898">
        <f t="shared" si="6"/>
        <v>0</v>
      </c>
    </row>
    <row r="92" spans="1:30">
      <c r="A92" s="910">
        <v>88</v>
      </c>
      <c r="B92" s="910" t="s">
        <v>2664</v>
      </c>
      <c r="C92" s="911"/>
      <c r="D92" s="911"/>
      <c r="E92" s="911"/>
      <c r="G92" s="922"/>
      <c r="H92" s="924"/>
      <c r="I92" s="922"/>
      <c r="J92" s="924"/>
      <c r="K92" s="922"/>
      <c r="L92" s="924"/>
      <c r="M92" s="922"/>
      <c r="N92" s="924"/>
      <c r="O92" s="922"/>
      <c r="P92" s="924"/>
      <c r="Q92" s="922"/>
      <c r="R92" s="924"/>
      <c r="S92" s="922"/>
      <c r="T92" s="924"/>
      <c r="U92" s="922"/>
      <c r="V92" s="924"/>
      <c r="Y92" s="922"/>
      <c r="Z92" s="924"/>
      <c r="AA92" s="922"/>
      <c r="AB92" s="924"/>
      <c r="AC92" s="922"/>
      <c r="AD92" s="898">
        <f t="shared" si="6"/>
        <v>0</v>
      </c>
    </row>
    <row r="93" spans="1:30">
      <c r="A93" s="910">
        <v>89</v>
      </c>
      <c r="B93" s="910" t="s">
        <v>2665</v>
      </c>
      <c r="C93" s="911"/>
      <c r="D93" s="911"/>
      <c r="E93" s="911"/>
      <c r="G93" s="922"/>
      <c r="H93" s="924"/>
      <c r="I93" s="922"/>
      <c r="J93" s="924"/>
      <c r="K93" s="922"/>
      <c r="L93" s="924"/>
      <c r="M93" s="922"/>
      <c r="N93" s="924"/>
      <c r="O93" s="922"/>
      <c r="P93" s="924"/>
      <c r="Q93" s="922"/>
      <c r="R93" s="924"/>
      <c r="S93" s="922"/>
      <c r="T93" s="924"/>
      <c r="U93" s="922"/>
      <c r="V93" s="924"/>
      <c r="Y93" s="922"/>
      <c r="Z93" s="924"/>
      <c r="AA93" s="922"/>
      <c r="AB93" s="924"/>
      <c r="AC93" s="922"/>
      <c r="AD93" s="898">
        <f t="shared" si="6"/>
        <v>0</v>
      </c>
    </row>
    <row r="94" spans="1:30">
      <c r="A94" s="910">
        <v>90</v>
      </c>
      <c r="B94" s="910" t="s">
        <v>2677</v>
      </c>
      <c r="C94" s="911"/>
      <c r="D94" s="911"/>
      <c r="E94" s="911"/>
      <c r="G94" s="922"/>
      <c r="H94" s="924"/>
      <c r="I94" s="922"/>
      <c r="J94" s="924"/>
      <c r="K94" s="922"/>
      <c r="L94" s="924"/>
      <c r="M94" s="922"/>
      <c r="N94" s="924"/>
      <c r="O94" s="922"/>
      <c r="P94" s="924"/>
      <c r="Q94" s="922"/>
      <c r="R94" s="924"/>
      <c r="S94" s="922"/>
      <c r="T94" s="924"/>
      <c r="U94" s="922"/>
      <c r="V94" s="924"/>
      <c r="Y94" s="922"/>
      <c r="Z94" s="924"/>
      <c r="AA94" s="922"/>
      <c r="AB94" s="924"/>
      <c r="AC94" s="922"/>
      <c r="AD94" s="898">
        <f t="shared" si="6"/>
        <v>0</v>
      </c>
    </row>
    <row r="95" spans="1:30">
      <c r="A95" s="910">
        <v>91</v>
      </c>
      <c r="B95" s="830" t="s">
        <v>2884</v>
      </c>
      <c r="C95" s="911"/>
      <c r="D95" s="911"/>
      <c r="E95" s="911"/>
      <c r="G95" s="922"/>
      <c r="H95" s="922"/>
      <c r="I95" s="922"/>
      <c r="J95" s="922"/>
      <c r="K95" s="922"/>
      <c r="L95" s="922"/>
      <c r="M95" s="922"/>
      <c r="N95" s="922"/>
      <c r="O95" s="922"/>
      <c r="P95" s="922"/>
      <c r="Q95" s="922"/>
      <c r="R95" s="922"/>
      <c r="S95" s="922"/>
      <c r="T95" s="922"/>
      <c r="U95" s="922"/>
      <c r="V95" s="922"/>
      <c r="W95" s="922"/>
      <c r="X95" s="922"/>
      <c r="Y95" s="922"/>
      <c r="Z95" s="922"/>
      <c r="AA95" s="922">
        <f>SUM(AA74:AA94)</f>
        <v>753779.36</v>
      </c>
      <c r="AB95" s="922"/>
      <c r="AC95" s="922">
        <f>SUM(AC74:AC94)</f>
        <v>973161.6</v>
      </c>
      <c r="AD95" s="898">
        <f t="shared" si="6"/>
        <v>1726940.96</v>
      </c>
    </row>
    <row r="96" spans="1:30">
      <c r="A96" s="910">
        <v>92</v>
      </c>
      <c r="B96" s="830" t="s">
        <v>2514</v>
      </c>
      <c r="C96" s="911"/>
      <c r="D96" s="911"/>
      <c r="E96" s="932"/>
      <c r="F96" s="928"/>
      <c r="G96" s="926"/>
      <c r="H96" s="926"/>
      <c r="I96" s="926"/>
      <c r="J96" s="926"/>
      <c r="K96" s="926"/>
      <c r="L96" s="926"/>
      <c r="M96" s="926"/>
      <c r="N96" s="926"/>
      <c r="O96" s="926"/>
      <c r="P96" s="926"/>
      <c r="Q96" s="926"/>
      <c r="R96" s="926"/>
      <c r="S96" s="926"/>
      <c r="T96" s="926"/>
      <c r="U96" s="926"/>
      <c r="V96" s="926"/>
      <c r="W96" s="931"/>
      <c r="X96" s="931"/>
      <c r="Y96" s="926"/>
      <c r="Z96" s="926"/>
      <c r="AA96" s="924">
        <v>1347361</v>
      </c>
      <c r="AB96" s="926"/>
      <c r="AC96" s="924">
        <v>1498743</v>
      </c>
      <c r="AD96" s="935">
        <f t="shared" si="6"/>
        <v>2846104</v>
      </c>
    </row>
    <row r="97" spans="1:32">
      <c r="A97" s="910">
        <v>93</v>
      </c>
      <c r="B97" s="910" t="s">
        <v>2885</v>
      </c>
      <c r="C97" s="911"/>
      <c r="D97" s="911"/>
      <c r="E97" s="932"/>
      <c r="F97" s="928"/>
      <c r="G97" s="926"/>
      <c r="H97" s="926"/>
      <c r="I97" s="926"/>
      <c r="J97" s="926"/>
      <c r="K97" s="928"/>
      <c r="L97" s="928"/>
      <c r="M97" s="928"/>
      <c r="N97" s="928"/>
      <c r="O97" s="926"/>
      <c r="P97" s="926"/>
      <c r="Q97" s="926"/>
      <c r="R97" s="926"/>
      <c r="S97" s="926"/>
      <c r="T97" s="926"/>
      <c r="U97" s="926"/>
      <c r="V97" s="926"/>
      <c r="W97" s="928"/>
      <c r="X97" s="928"/>
      <c r="Y97" s="926"/>
      <c r="Z97" s="926"/>
      <c r="AA97" s="924"/>
      <c r="AB97" s="926"/>
      <c r="AC97" s="924"/>
      <c r="AD97" s="935">
        <f t="shared" si="6"/>
        <v>0</v>
      </c>
    </row>
    <row r="98" spans="1:32">
      <c r="A98" s="910">
        <v>94</v>
      </c>
      <c r="B98" s="910" t="s">
        <v>2886</v>
      </c>
      <c r="C98" s="911"/>
      <c r="D98" s="911"/>
      <c r="E98" s="932"/>
      <c r="F98" s="928"/>
      <c r="G98" s="926"/>
      <c r="H98" s="926"/>
      <c r="I98" s="926">
        <f>SUM(I96:I97)</f>
        <v>0</v>
      </c>
      <c r="J98" s="926"/>
      <c r="K98" s="926">
        <f>SUM(K96:K97)</f>
        <v>0</v>
      </c>
      <c r="L98" s="926"/>
      <c r="M98" s="926">
        <f>SUM(M96:M97)</f>
        <v>0</v>
      </c>
      <c r="N98" s="926"/>
      <c r="O98" s="926">
        <f>SUM(O96:O97)</f>
        <v>0</v>
      </c>
      <c r="P98" s="926"/>
      <c r="Q98" s="926">
        <f>SUM(Q96:Q97)</f>
        <v>0</v>
      </c>
      <c r="R98" s="926"/>
      <c r="S98" s="926">
        <f>SUM(S96:S97)</f>
        <v>0</v>
      </c>
      <c r="T98" s="926"/>
      <c r="U98" s="926">
        <f>SUM(U96:U97)</f>
        <v>0</v>
      </c>
      <c r="V98" s="926"/>
      <c r="W98" s="926">
        <f>SUM(W96:W97)</f>
        <v>0</v>
      </c>
      <c r="X98" s="926"/>
      <c r="Y98" s="926">
        <f>SUM(Y96:Y97)</f>
        <v>0</v>
      </c>
      <c r="Z98" s="926"/>
      <c r="AA98" s="924">
        <f>SUM(AA96:AA97)</f>
        <v>1347361</v>
      </c>
      <c r="AB98" s="926"/>
      <c r="AC98" s="924">
        <f>SUM(AC96:AC97)</f>
        <v>1498743</v>
      </c>
      <c r="AD98" s="935">
        <f t="shared" si="6"/>
        <v>2846104</v>
      </c>
    </row>
    <row r="99" spans="1:32">
      <c r="A99" s="910">
        <v>95</v>
      </c>
      <c r="C99" s="911"/>
      <c r="D99" s="911"/>
      <c r="E99" s="932"/>
      <c r="F99" s="928"/>
      <c r="G99" s="928"/>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row>
    <row r="100" spans="1:32">
      <c r="A100" s="910">
        <v>96</v>
      </c>
      <c r="B100" s="918" t="s">
        <v>2890</v>
      </c>
    </row>
    <row r="101" spans="1:32">
      <c r="A101" s="910">
        <v>97</v>
      </c>
      <c r="B101" s="830" t="s">
        <v>2462</v>
      </c>
      <c r="C101" s="898">
        <v>60</v>
      </c>
      <c r="D101" s="898"/>
      <c r="E101" s="898"/>
      <c r="F101" s="899">
        <f>G101/$C$101</f>
        <v>480</v>
      </c>
      <c r="G101" s="921">
        <v>28800</v>
      </c>
      <c r="H101" s="899">
        <f>I101/$C$101</f>
        <v>478</v>
      </c>
      <c r="I101" s="922">
        <v>28680</v>
      </c>
      <c r="J101" s="899">
        <f>K101/$C$101</f>
        <v>488</v>
      </c>
      <c r="K101" s="922">
        <v>29280</v>
      </c>
      <c r="L101" s="899">
        <f>M101/$C$101</f>
        <v>480</v>
      </c>
      <c r="M101" s="922">
        <v>28800</v>
      </c>
      <c r="N101" s="899">
        <f>O101/$C$101</f>
        <v>474</v>
      </c>
      <c r="O101" s="922">
        <v>28440</v>
      </c>
      <c r="P101" s="899">
        <f>Q101/$C$101</f>
        <v>482</v>
      </c>
      <c r="Q101" s="922">
        <v>28920</v>
      </c>
      <c r="R101" s="899">
        <f>S101/$C$101</f>
        <v>477</v>
      </c>
      <c r="S101" s="922">
        <v>28620</v>
      </c>
      <c r="T101" s="899">
        <f>U101/$C$101</f>
        <v>488</v>
      </c>
      <c r="U101" s="922">
        <v>29280</v>
      </c>
      <c r="V101" s="899">
        <f>W101/$C$101</f>
        <v>479</v>
      </c>
      <c r="W101" s="923">
        <v>28740</v>
      </c>
      <c r="X101" s="899">
        <f>Y101/$C$101</f>
        <v>476</v>
      </c>
      <c r="Y101" s="922">
        <v>28560</v>
      </c>
      <c r="Z101" s="899">
        <f>AA101/$C$101</f>
        <v>482</v>
      </c>
      <c r="AA101" s="922">
        <v>28920</v>
      </c>
      <c r="AB101" s="899">
        <f>AC101/$C$101</f>
        <v>487</v>
      </c>
      <c r="AC101" s="922">
        <v>29220</v>
      </c>
      <c r="AD101" s="898">
        <f>SUM(G101,I101,K101,M101,O101,Q101,S101,U101,W101,Y101,AA101,AC101)</f>
        <v>346260</v>
      </c>
    </row>
    <row r="102" spans="1:32">
      <c r="A102" s="910">
        <v>98</v>
      </c>
      <c r="B102" s="830" t="s">
        <v>2681</v>
      </c>
      <c r="C102" s="910">
        <v>0.17851</v>
      </c>
      <c r="F102" s="899">
        <f>G102/$C$102</f>
        <v>191473.41885608647</v>
      </c>
      <c r="G102" s="921">
        <v>34179.919999999998</v>
      </c>
      <c r="H102" s="899">
        <f>I102/$C$102</f>
        <v>194768.36031594867</v>
      </c>
      <c r="I102" s="922">
        <v>34768.1</v>
      </c>
      <c r="J102" s="899">
        <f>K102/$C$102</f>
        <v>206171.19489104254</v>
      </c>
      <c r="K102" s="922">
        <v>36803.620000000003</v>
      </c>
      <c r="L102" s="899">
        <f>M102/$C$102</f>
        <v>180644.66976639963</v>
      </c>
      <c r="M102" s="922">
        <v>32246.880000000001</v>
      </c>
      <c r="N102" s="899">
        <f>O102/$C$102</f>
        <v>137895.52406027674</v>
      </c>
      <c r="O102" s="922">
        <v>24615.73</v>
      </c>
      <c r="P102" s="899">
        <f>Q102/$C$102</f>
        <v>105357.51498515491</v>
      </c>
      <c r="Q102" s="922">
        <v>18807.370000000003</v>
      </c>
      <c r="R102" s="899">
        <f>S102/$C$102</f>
        <v>88550.221276118988</v>
      </c>
      <c r="S102" s="922">
        <v>15807.1</v>
      </c>
      <c r="T102" s="899">
        <f>U102/$C$102</f>
        <v>84408.100386532969</v>
      </c>
      <c r="U102" s="922">
        <v>15067.69</v>
      </c>
      <c r="V102" s="899">
        <f>W102/$C$102</f>
        <v>90582.432356730715</v>
      </c>
      <c r="W102" s="923">
        <v>16169.87</v>
      </c>
      <c r="X102" s="899">
        <f>Y102/$C$102</f>
        <v>129677.44103971767</v>
      </c>
      <c r="Y102" s="922">
        <v>23148.720000000001</v>
      </c>
      <c r="Z102" s="899">
        <f>AA102/$C$102</f>
        <v>172551.95787350848</v>
      </c>
      <c r="AA102" s="922">
        <v>30802.25</v>
      </c>
      <c r="AB102" s="899">
        <f>AC102/$C$102</f>
        <v>190723.32082236288</v>
      </c>
      <c r="AC102" s="922">
        <v>34046.019999999997</v>
      </c>
      <c r="AD102" s="898">
        <f>SUM(G102,I102,K102,M102,O102,Q102,S102,U102,W102,Y102,AA102,AC102)</f>
        <v>316463.27</v>
      </c>
      <c r="AF102" s="902"/>
    </row>
    <row r="103" spans="1:32">
      <c r="A103" s="910">
        <v>99</v>
      </c>
      <c r="B103" s="830" t="s">
        <v>2682</v>
      </c>
      <c r="C103" s="910">
        <v>0.14457</v>
      </c>
      <c r="F103" s="899">
        <f>G103/$C$103</f>
        <v>688140.62391920865</v>
      </c>
      <c r="G103" s="921">
        <v>99484.49</v>
      </c>
      <c r="H103" s="899">
        <f>I103/$C$103</f>
        <v>709661.68638030009</v>
      </c>
      <c r="I103" s="922">
        <v>102595.79</v>
      </c>
      <c r="J103" s="899">
        <f>K103/$C$103</f>
        <v>770116.48336446017</v>
      </c>
      <c r="K103" s="922">
        <v>111335.74</v>
      </c>
      <c r="L103" s="899">
        <f>M103/$C$103</f>
        <v>577002.69765511516</v>
      </c>
      <c r="M103" s="922">
        <v>83417.279999999999</v>
      </c>
      <c r="N103" s="899">
        <f>O103/$C$103</f>
        <v>401254.8246524175</v>
      </c>
      <c r="O103" s="922">
        <v>58009.41</v>
      </c>
      <c r="P103" s="899">
        <f>Q103/$C$103</f>
        <v>300279.44940167386</v>
      </c>
      <c r="Q103" s="922">
        <v>43411.399999999994</v>
      </c>
      <c r="R103" s="899">
        <f>S103/$C$103</f>
        <v>273632.56553918513</v>
      </c>
      <c r="S103" s="922">
        <v>39559.06</v>
      </c>
      <c r="T103" s="899">
        <f>U103/$C$103</f>
        <v>272914.15923082241</v>
      </c>
      <c r="U103" s="922">
        <v>39455.199999999997</v>
      </c>
      <c r="V103" s="899">
        <f>W103/$C$103</f>
        <v>293937.8847617071</v>
      </c>
      <c r="W103" s="923">
        <v>42494.6</v>
      </c>
      <c r="X103" s="899">
        <f>Y103/$C$103</f>
        <v>398691.08390399109</v>
      </c>
      <c r="Y103" s="922">
        <v>57638.77</v>
      </c>
      <c r="Z103" s="899">
        <f>AA103/$C$103</f>
        <v>536978.55710036657</v>
      </c>
      <c r="AA103" s="922">
        <v>77630.990000000005</v>
      </c>
      <c r="AB103" s="899">
        <f>AC103/$C$103</f>
        <v>663264.02434806665</v>
      </c>
      <c r="AC103" s="922">
        <v>95888.08</v>
      </c>
      <c r="AD103" s="898">
        <f>SUM(G103,I103,K103,M103,O103,Q103,S103,U103,W103,Y103,AA103,AC103)</f>
        <v>850920.81</v>
      </c>
      <c r="AF103" s="902"/>
    </row>
    <row r="104" spans="1:32">
      <c r="A104" s="910">
        <v>100</v>
      </c>
      <c r="B104" s="830" t="s">
        <v>2683</v>
      </c>
      <c r="C104" s="910">
        <v>0.13944000000000001</v>
      </c>
      <c r="F104" s="899">
        <f>G104/$C$104</f>
        <v>554113.81239242689</v>
      </c>
      <c r="G104" s="921">
        <v>77265.63</v>
      </c>
      <c r="H104" s="899">
        <f>I104/$C$104</f>
        <v>711733.00344234076</v>
      </c>
      <c r="I104" s="922">
        <v>99244.05</v>
      </c>
      <c r="J104" s="899">
        <f>K104/$C$104</f>
        <v>818456.18187033839</v>
      </c>
      <c r="K104" s="922">
        <v>114125.53</v>
      </c>
      <c r="L104" s="899">
        <f>M104/$C$104</f>
        <v>573665.80608146871</v>
      </c>
      <c r="M104" s="922">
        <v>79991.960000000006</v>
      </c>
      <c r="N104" s="899">
        <f>O104/$C$104</f>
        <v>250735.08318990245</v>
      </c>
      <c r="O104" s="922">
        <v>34962.5</v>
      </c>
      <c r="P104" s="899">
        <f>Q104/$C$104</f>
        <v>173406.7699368904</v>
      </c>
      <c r="Q104" s="922">
        <v>24179.84</v>
      </c>
      <c r="R104" s="899">
        <f>S104/$C$104</f>
        <v>174990.89213998851</v>
      </c>
      <c r="S104" s="922">
        <v>24400.73</v>
      </c>
      <c r="T104" s="899">
        <f>U104/$C$104</f>
        <v>207087.06253585772</v>
      </c>
      <c r="U104" s="922">
        <v>28876.22</v>
      </c>
      <c r="V104" s="899">
        <f>W104/$C$104</f>
        <v>267470.09466437175</v>
      </c>
      <c r="W104" s="923">
        <v>37296.03</v>
      </c>
      <c r="X104" s="899">
        <f>Y104/$C$104</f>
        <v>745993.83247274812</v>
      </c>
      <c r="Y104" s="922">
        <v>104021.38</v>
      </c>
      <c r="Z104" s="899">
        <f>AA104/$C$104</f>
        <v>449103.98737808369</v>
      </c>
      <c r="AA104" s="922">
        <v>62623.06</v>
      </c>
      <c r="AB104" s="899">
        <f>AC104/$C$104</f>
        <v>568661.79001721169</v>
      </c>
      <c r="AC104" s="922">
        <v>79294.2</v>
      </c>
      <c r="AD104" s="898">
        <f>SUM(G104,I104,K104,M104,O104,Q104,S104,U104,W104,Y104,AA104,AC104)</f>
        <v>766281.12999999989</v>
      </c>
      <c r="AF104" s="902"/>
    </row>
    <row r="105" spans="1:32">
      <c r="A105" s="910">
        <v>101</v>
      </c>
      <c r="B105" s="830" t="s">
        <v>2650</v>
      </c>
      <c r="G105" s="921">
        <v>601443.54</v>
      </c>
      <c r="I105" s="922">
        <v>677974.58</v>
      </c>
      <c r="K105" s="922">
        <v>752891.57</v>
      </c>
      <c r="M105" s="922">
        <v>558484.69999999995</v>
      </c>
      <c r="O105" s="922">
        <v>331354.37</v>
      </c>
      <c r="Q105" s="922">
        <v>242906.7</v>
      </c>
      <c r="S105" s="922">
        <v>225342.18</v>
      </c>
      <c r="U105" s="922">
        <v>236767.61</v>
      </c>
      <c r="W105" s="923">
        <v>273507.42000000004</v>
      </c>
      <c r="Y105" s="922">
        <v>534591.62000000023</v>
      </c>
      <c r="AA105" s="922">
        <v>486912.31999999989</v>
      </c>
      <c r="AC105" s="922">
        <v>600205.27999999991</v>
      </c>
      <c r="AD105" s="898">
        <f t="shared" ref="AD105:AD125" si="7">SUM(G105:AC105)</f>
        <v>5522381.8900000006</v>
      </c>
      <c r="AF105" s="936"/>
    </row>
    <row r="106" spans="1:32">
      <c r="A106" s="910">
        <v>102</v>
      </c>
      <c r="B106" s="910" t="s">
        <v>2652</v>
      </c>
      <c r="G106" s="921">
        <v>0</v>
      </c>
      <c r="I106" s="922">
        <v>0</v>
      </c>
      <c r="K106" s="922"/>
      <c r="M106" s="922">
        <v>24582.84</v>
      </c>
      <c r="O106" s="922">
        <v>58691.88</v>
      </c>
      <c r="Q106" s="922">
        <v>44093.799999999996</v>
      </c>
      <c r="S106" s="922">
        <v>40905.33</v>
      </c>
      <c r="U106" s="922">
        <v>42978.03</v>
      </c>
      <c r="W106" s="923">
        <v>49648.66</v>
      </c>
      <c r="Y106" s="922">
        <v>97042.14999999998</v>
      </c>
      <c r="AA106" s="922">
        <v>109060.06</v>
      </c>
      <c r="AC106" s="922">
        <v>189981.33000000002</v>
      </c>
      <c r="AD106" s="898">
        <f t="shared" si="7"/>
        <v>656984.07999999996</v>
      </c>
    </row>
    <row r="107" spans="1:32">
      <c r="A107" s="910">
        <v>103</v>
      </c>
      <c r="B107" s="830" t="s">
        <v>2653</v>
      </c>
      <c r="C107" s="911"/>
      <c r="D107" s="911"/>
      <c r="E107" s="911"/>
      <c r="G107" s="921">
        <v>2432.42</v>
      </c>
      <c r="H107" s="924"/>
      <c r="I107" s="922">
        <v>2747.35</v>
      </c>
      <c r="J107" s="924"/>
      <c r="K107" s="922">
        <v>3050.81</v>
      </c>
      <c r="L107" s="924"/>
      <c r="M107" s="922">
        <v>2263.2400000000002</v>
      </c>
      <c r="N107" s="924"/>
      <c r="O107" s="922">
        <v>1342.73</v>
      </c>
      <c r="P107" s="924"/>
      <c r="Q107" s="922">
        <v>984.41</v>
      </c>
      <c r="R107" s="924"/>
      <c r="S107" s="922">
        <v>913.29</v>
      </c>
      <c r="T107" s="924"/>
      <c r="U107" s="922">
        <v>959.59999999999991</v>
      </c>
      <c r="V107" s="924"/>
      <c r="W107" s="923">
        <v>1108.3800000000001</v>
      </c>
      <c r="X107" s="925"/>
      <c r="Y107" s="922">
        <v>2166.39</v>
      </c>
      <c r="Z107" s="924"/>
      <c r="AA107" s="922">
        <v>1959.16</v>
      </c>
      <c r="AB107" s="924"/>
      <c r="AC107" s="922">
        <v>2377.1499999999996</v>
      </c>
      <c r="AD107" s="898">
        <f t="shared" si="7"/>
        <v>22304.93</v>
      </c>
    </row>
    <row r="108" spans="1:32">
      <c r="A108" s="910">
        <v>104</v>
      </c>
      <c r="B108" s="830" t="s">
        <v>2654</v>
      </c>
      <c r="G108" s="921">
        <v>9806.5400000000009</v>
      </c>
      <c r="H108" s="924"/>
      <c r="I108" s="922">
        <v>11054.43</v>
      </c>
      <c r="J108" s="924"/>
      <c r="K108" s="922">
        <v>12275.6</v>
      </c>
      <c r="L108" s="924"/>
      <c r="M108" s="922">
        <v>9106.31</v>
      </c>
      <c r="N108" s="924"/>
      <c r="O108" s="922">
        <v>5402.92</v>
      </c>
      <c r="P108" s="924"/>
      <c r="Q108" s="922">
        <v>3960.65</v>
      </c>
      <c r="R108" s="924"/>
      <c r="S108" s="922">
        <v>3674.27</v>
      </c>
      <c r="T108" s="924"/>
      <c r="U108" s="922">
        <v>3860.54</v>
      </c>
      <c r="V108" s="924"/>
      <c r="W108" s="923">
        <v>4459.51</v>
      </c>
      <c r="X108" s="925"/>
      <c r="Y108" s="922">
        <v>8716.64</v>
      </c>
      <c r="Z108" s="924"/>
      <c r="AA108" s="922">
        <v>8523.77</v>
      </c>
      <c r="AB108" s="924"/>
      <c r="AC108" s="922">
        <v>12077.42</v>
      </c>
      <c r="AD108" s="898">
        <f t="shared" si="7"/>
        <v>92918.6</v>
      </c>
    </row>
    <row r="109" spans="1:32">
      <c r="A109" s="910">
        <v>105</v>
      </c>
      <c r="B109" s="830" t="s">
        <v>2655</v>
      </c>
      <c r="G109" s="921">
        <v>4602.1400000000003</v>
      </c>
      <c r="H109" s="924"/>
      <c r="I109" s="922">
        <v>5187.8</v>
      </c>
      <c r="J109" s="924"/>
      <c r="K109" s="922">
        <v>5761.59</v>
      </c>
      <c r="L109" s="924"/>
      <c r="M109" s="922">
        <v>4273.4800000000005</v>
      </c>
      <c r="N109" s="924"/>
      <c r="O109" s="922">
        <v>2535.5500000000002</v>
      </c>
      <c r="P109" s="924"/>
      <c r="Q109" s="922">
        <v>1858.73</v>
      </c>
      <c r="R109" s="924"/>
      <c r="S109" s="922">
        <v>1724.1600000000003</v>
      </c>
      <c r="T109" s="924"/>
      <c r="U109" s="922">
        <v>1811.77</v>
      </c>
      <c r="V109" s="924"/>
      <c r="W109" s="923">
        <v>2092.7599999999998</v>
      </c>
      <c r="X109" s="925"/>
      <c r="Y109" s="922">
        <v>4090.6800000000003</v>
      </c>
      <c r="Z109" s="924"/>
      <c r="AA109" s="922">
        <v>528.36</v>
      </c>
      <c r="AB109" s="924"/>
      <c r="AC109" s="922">
        <v>-7939.2400000000007</v>
      </c>
      <c r="AD109" s="898">
        <f t="shared" si="7"/>
        <v>26527.780000000002</v>
      </c>
    </row>
    <row r="110" spans="1:32">
      <c r="A110" s="910">
        <v>106</v>
      </c>
      <c r="B110" s="830" t="s">
        <v>2656</v>
      </c>
      <c r="G110" s="921">
        <v>11097.09</v>
      </c>
      <c r="H110" s="924"/>
      <c r="I110" s="922">
        <v>12509.01</v>
      </c>
      <c r="J110" s="924"/>
      <c r="K110" s="922">
        <v>13896.08</v>
      </c>
      <c r="L110" s="924"/>
      <c r="M110" s="922">
        <v>10304.44</v>
      </c>
      <c r="N110" s="924"/>
      <c r="O110" s="922">
        <v>6113.83</v>
      </c>
      <c r="P110" s="924"/>
      <c r="Q110" s="922">
        <v>4481.7800000000007</v>
      </c>
      <c r="R110" s="924"/>
      <c r="S110" s="922">
        <v>4157.6899999999996</v>
      </c>
      <c r="T110" s="924"/>
      <c r="U110" s="922">
        <v>4368.6400000000003</v>
      </c>
      <c r="V110" s="924"/>
      <c r="W110" s="923">
        <v>5046.45</v>
      </c>
      <c r="X110" s="925"/>
      <c r="Y110" s="922">
        <v>9863.4600000000009</v>
      </c>
      <c r="Z110" s="924"/>
      <c r="AA110" s="922">
        <v>6241.96</v>
      </c>
      <c r="AB110" s="924"/>
      <c r="AC110" s="922">
        <v>327.35000000000002</v>
      </c>
      <c r="AD110" s="898">
        <f t="shared" si="7"/>
        <v>88407.780000000028</v>
      </c>
    </row>
    <row r="111" spans="1:32">
      <c r="A111" s="910">
        <v>107</v>
      </c>
      <c r="B111" s="830" t="s">
        <v>2657</v>
      </c>
      <c r="G111" s="921">
        <v>39484.480000000003</v>
      </c>
      <c r="H111" s="924"/>
      <c r="I111" s="922">
        <v>44508.81</v>
      </c>
      <c r="J111" s="924"/>
      <c r="K111" s="922">
        <v>49425.47</v>
      </c>
      <c r="L111" s="924"/>
      <c r="M111" s="922">
        <v>36664.18</v>
      </c>
      <c r="N111" s="924"/>
      <c r="O111" s="922">
        <v>21753.43</v>
      </c>
      <c r="P111" s="924"/>
      <c r="Q111" s="922">
        <v>15946.84</v>
      </c>
      <c r="R111" s="924"/>
      <c r="S111" s="922">
        <v>14793.689999999999</v>
      </c>
      <c r="T111" s="924"/>
      <c r="U111" s="922">
        <v>15543.800000000001</v>
      </c>
      <c r="V111" s="924"/>
      <c r="W111" s="923">
        <v>17955.849999999999</v>
      </c>
      <c r="X111" s="925"/>
      <c r="Y111" s="922">
        <v>35095.83</v>
      </c>
      <c r="Z111" s="924"/>
      <c r="AA111" s="922">
        <v>31471.769999999997</v>
      </c>
      <c r="AB111" s="924"/>
      <c r="AC111" s="922">
        <v>37467.89</v>
      </c>
      <c r="AD111" s="898">
        <f t="shared" si="7"/>
        <v>360112.04000000004</v>
      </c>
    </row>
    <row r="112" spans="1:32">
      <c r="A112" s="910">
        <v>108</v>
      </c>
      <c r="B112" s="895" t="s">
        <v>2658</v>
      </c>
      <c r="G112" s="921">
        <v>-5003.67</v>
      </c>
      <c r="H112" s="924"/>
      <c r="I112" s="922">
        <v>-5640.33</v>
      </c>
      <c r="J112" s="924"/>
      <c r="K112" s="922">
        <v>-6263.66</v>
      </c>
      <c r="L112" s="924"/>
      <c r="M112" s="922">
        <v>-4646.1400000000003</v>
      </c>
      <c r="N112" s="924"/>
      <c r="O112" s="922">
        <v>-2756.57</v>
      </c>
      <c r="P112" s="924"/>
      <c r="Q112" s="922">
        <v>-2020.7399999999998</v>
      </c>
      <c r="R112" s="924"/>
      <c r="S112" s="922">
        <v>-1874.58</v>
      </c>
      <c r="T112" s="924"/>
      <c r="U112" s="922">
        <v>-1969.6800000000003</v>
      </c>
      <c r="V112" s="924"/>
      <c r="W112" s="923">
        <v>-2275.35</v>
      </c>
      <c r="X112" s="925"/>
      <c r="Y112" s="922">
        <v>-4447.4500000000007</v>
      </c>
      <c r="Z112" s="924"/>
      <c r="AA112" s="922">
        <v>-4195.0200000000004</v>
      </c>
      <c r="AB112" s="924"/>
      <c r="AC112" s="922">
        <v>-5558.53</v>
      </c>
      <c r="AD112" s="898">
        <f t="shared" si="7"/>
        <v>-46651.72</v>
      </c>
    </row>
    <row r="113" spans="1:33">
      <c r="A113" s="910">
        <v>109</v>
      </c>
      <c r="B113" s="895" t="s">
        <v>2659</v>
      </c>
      <c r="G113" s="921">
        <v>-2322.67</v>
      </c>
      <c r="H113" s="924"/>
      <c r="I113" s="922">
        <v>-2618.2600000000002</v>
      </c>
      <c r="J113" s="924"/>
      <c r="K113" s="922">
        <v>-2907.45</v>
      </c>
      <c r="L113" s="924"/>
      <c r="M113" s="922">
        <v>-2156.62</v>
      </c>
      <c r="N113" s="924"/>
      <c r="O113" s="922">
        <v>-1279.5</v>
      </c>
      <c r="P113" s="924"/>
      <c r="Q113" s="922">
        <v>-938</v>
      </c>
      <c r="R113" s="924"/>
      <c r="S113" s="922">
        <v>-870.09999999999991</v>
      </c>
      <c r="T113" s="924"/>
      <c r="U113" s="922">
        <v>-914.29</v>
      </c>
      <c r="V113" s="924"/>
      <c r="W113" s="923">
        <v>-1056.1600000000001</v>
      </c>
      <c r="X113" s="925"/>
      <c r="Y113" s="922">
        <v>-2064.39</v>
      </c>
      <c r="Z113" s="924"/>
      <c r="AA113" s="922">
        <v>-1819.9099999999999</v>
      </c>
      <c r="AB113" s="924"/>
      <c r="AC113" s="922">
        <v>-2081.1099999999997</v>
      </c>
      <c r="AD113" s="898">
        <f t="shared" si="7"/>
        <v>-21028.46</v>
      </c>
    </row>
    <row r="114" spans="1:33">
      <c r="A114" s="910">
        <v>110</v>
      </c>
      <c r="B114" s="895" t="s">
        <v>2660</v>
      </c>
      <c r="G114" s="921">
        <v>-4258.0600000000004</v>
      </c>
      <c r="H114" s="924"/>
      <c r="I114" s="922">
        <v>-4799.99</v>
      </c>
      <c r="J114" s="924"/>
      <c r="K114" s="922">
        <v>-5330.42</v>
      </c>
      <c r="L114" s="924"/>
      <c r="M114" s="922">
        <v>-3953.94</v>
      </c>
      <c r="N114" s="924"/>
      <c r="O114" s="922">
        <v>-2345.96</v>
      </c>
      <c r="P114" s="924"/>
      <c r="Q114" s="922">
        <v>-1719.6799999999998</v>
      </c>
      <c r="R114" s="924"/>
      <c r="S114" s="922">
        <v>-1595.35</v>
      </c>
      <c r="T114" s="924"/>
      <c r="U114" s="922">
        <v>-1676.2200000000003</v>
      </c>
      <c r="V114" s="924"/>
      <c r="W114" s="923">
        <v>-1936.36</v>
      </c>
      <c r="X114" s="925"/>
      <c r="Y114" s="922">
        <v>-3784.8500000000004</v>
      </c>
      <c r="Z114" s="924"/>
      <c r="AA114" s="922">
        <v>-2395.1200000000003</v>
      </c>
      <c r="AB114" s="924"/>
      <c r="AC114" s="922">
        <v>-125.62</v>
      </c>
      <c r="AD114" s="898">
        <f t="shared" si="7"/>
        <v>-33921.570000000007</v>
      </c>
    </row>
    <row r="115" spans="1:33">
      <c r="A115" s="910">
        <v>111</v>
      </c>
      <c r="B115" s="830" t="s">
        <v>2661</v>
      </c>
      <c r="G115" s="921">
        <v>37590.300000000003</v>
      </c>
      <c r="H115" s="924"/>
      <c r="I115" s="922">
        <v>40785.26</v>
      </c>
      <c r="J115" s="924"/>
      <c r="K115" s="922">
        <v>45969.41</v>
      </c>
      <c r="L115" s="924"/>
      <c r="M115" s="922">
        <v>35246.53</v>
      </c>
      <c r="N115" s="924"/>
      <c r="O115" s="922">
        <v>24006.959999999999</v>
      </c>
      <c r="P115" s="924"/>
      <c r="Q115" s="922">
        <v>17917.07</v>
      </c>
      <c r="R115" s="924"/>
      <c r="S115" s="922">
        <v>15695.86</v>
      </c>
      <c r="T115" s="924"/>
      <c r="U115" s="922">
        <v>16031.109999999999</v>
      </c>
      <c r="V115" s="924"/>
      <c r="W115" s="923">
        <v>14916.25</v>
      </c>
      <c r="X115" s="925"/>
      <c r="Y115" s="922">
        <v>22245.35</v>
      </c>
      <c r="Z115" s="924"/>
      <c r="AA115" s="922">
        <v>31874.27</v>
      </c>
      <c r="AB115" s="924"/>
      <c r="AC115" s="922">
        <v>44716.34</v>
      </c>
      <c r="AD115" s="898">
        <f t="shared" si="7"/>
        <v>346994.70999999996</v>
      </c>
    </row>
    <row r="116" spans="1:33">
      <c r="A116" s="910">
        <v>112</v>
      </c>
      <c r="B116" s="830" t="s">
        <v>2676</v>
      </c>
      <c r="G116" s="921">
        <v>142.76</v>
      </c>
      <c r="H116" s="924"/>
      <c r="I116" s="922">
        <v>66.83</v>
      </c>
      <c r="J116" s="924"/>
      <c r="K116" s="922">
        <v>176.72</v>
      </c>
      <c r="L116" s="924"/>
      <c r="M116" s="922">
        <v>215.7</v>
      </c>
      <c r="N116" s="924"/>
      <c r="O116" s="922">
        <v>70.31</v>
      </c>
      <c r="P116" s="924"/>
      <c r="Q116" s="922">
        <v>77.86</v>
      </c>
      <c r="R116" s="924"/>
      <c r="S116" s="922">
        <v>58.29</v>
      </c>
      <c r="T116" s="924"/>
      <c r="U116" s="922"/>
      <c r="V116" s="924"/>
      <c r="Y116" s="922"/>
      <c r="Z116" s="924"/>
      <c r="AA116" s="922"/>
      <c r="AB116" s="924"/>
      <c r="AC116" s="922"/>
      <c r="AD116" s="898">
        <f t="shared" si="7"/>
        <v>808.46999999999991</v>
      </c>
    </row>
    <row r="117" spans="1:33">
      <c r="A117" s="910">
        <v>113</v>
      </c>
      <c r="B117" s="830" t="s">
        <v>2684</v>
      </c>
      <c r="G117" s="921">
        <v>240</v>
      </c>
      <c r="H117" s="924"/>
      <c r="I117" s="922">
        <v>240</v>
      </c>
      <c r="J117" s="924"/>
      <c r="K117" s="922">
        <v>240</v>
      </c>
      <c r="L117" s="924"/>
      <c r="M117" s="922">
        <v>60</v>
      </c>
      <c r="N117" s="924"/>
      <c r="O117" s="910"/>
      <c r="AC117" s="922"/>
      <c r="AD117" s="898">
        <f t="shared" si="7"/>
        <v>780</v>
      </c>
    </row>
    <row r="118" spans="1:33">
      <c r="A118" s="910">
        <v>114</v>
      </c>
      <c r="B118" s="830" t="s">
        <v>2662</v>
      </c>
      <c r="C118" s="927"/>
      <c r="D118" s="927"/>
      <c r="E118" s="927"/>
      <c r="G118" s="921">
        <v>173.11</v>
      </c>
      <c r="H118" s="924"/>
      <c r="I118" s="922">
        <v>174.14</v>
      </c>
      <c r="J118" s="924"/>
      <c r="K118" s="922">
        <v>168.07</v>
      </c>
      <c r="L118" s="924"/>
      <c r="M118" s="922">
        <v>167.48</v>
      </c>
      <c r="N118" s="924"/>
      <c r="O118" s="898">
        <v>122.4</v>
      </c>
      <c r="P118" s="924"/>
      <c r="Q118" s="922">
        <v>46.66</v>
      </c>
      <c r="R118" s="924"/>
      <c r="S118" s="922">
        <v>42.11</v>
      </c>
      <c r="T118" s="924"/>
      <c r="U118" s="922"/>
      <c r="V118" s="924"/>
      <c r="Y118" s="922"/>
      <c r="Z118" s="924"/>
      <c r="AA118" s="922"/>
      <c r="AB118" s="924"/>
      <c r="AC118" s="922"/>
      <c r="AD118" s="898">
        <f t="shared" si="7"/>
        <v>893.96999999999991</v>
      </c>
    </row>
    <row r="119" spans="1:33">
      <c r="A119" s="910">
        <v>115</v>
      </c>
      <c r="B119" s="830" t="s">
        <v>2663</v>
      </c>
      <c r="G119" s="921">
        <v>165.64</v>
      </c>
      <c r="H119" s="924"/>
      <c r="I119" s="922">
        <v>1.2</v>
      </c>
      <c r="J119" s="924"/>
      <c r="K119" s="922">
        <v>369.29</v>
      </c>
      <c r="L119" s="924"/>
      <c r="M119" s="922">
        <v>831.45</v>
      </c>
      <c r="N119" s="924"/>
      <c r="O119" s="922">
        <v>1.2</v>
      </c>
      <c r="P119" s="924"/>
      <c r="Q119" s="922">
        <v>1.69</v>
      </c>
      <c r="R119" s="924"/>
      <c r="S119" s="922">
        <v>1.2</v>
      </c>
      <c r="T119" s="924"/>
      <c r="U119" s="922"/>
      <c r="V119" s="924"/>
      <c r="Y119" s="922"/>
      <c r="Z119" s="924"/>
      <c r="AA119" s="922"/>
      <c r="AB119" s="924"/>
      <c r="AC119" s="922"/>
      <c r="AD119" s="898">
        <f t="shared" si="7"/>
        <v>1371.67</v>
      </c>
    </row>
    <row r="120" spans="1:33">
      <c r="A120" s="910">
        <v>116</v>
      </c>
      <c r="B120" s="830" t="s">
        <v>2665</v>
      </c>
      <c r="C120" s="927"/>
      <c r="D120" s="927"/>
      <c r="E120" s="927"/>
      <c r="G120" s="921">
        <v>1565</v>
      </c>
      <c r="H120" s="924"/>
      <c r="I120" s="922">
        <v>1913.37</v>
      </c>
      <c r="J120" s="924"/>
      <c r="K120" s="922">
        <v>2917.96</v>
      </c>
      <c r="L120" s="924"/>
      <c r="M120" s="922">
        <v>983.91</v>
      </c>
      <c r="N120" s="924"/>
      <c r="O120" s="922">
        <v>665.58</v>
      </c>
      <c r="P120" s="924"/>
      <c r="Q120" s="922">
        <v>324.17</v>
      </c>
      <c r="R120" s="924"/>
      <c r="S120" s="922">
        <v>310.14999999999998</v>
      </c>
      <c r="T120" s="924"/>
      <c r="U120" s="922">
        <v>795.43</v>
      </c>
      <c r="V120" s="924"/>
      <c r="W120" s="898">
        <v>486.85</v>
      </c>
      <c r="Y120" s="922">
        <v>1835.21</v>
      </c>
      <c r="Z120" s="924"/>
      <c r="AA120" s="922">
        <v>1740.86</v>
      </c>
      <c r="AB120" s="924"/>
      <c r="AC120" s="922">
        <v>1987.5500000000002</v>
      </c>
      <c r="AD120" s="898">
        <f t="shared" si="7"/>
        <v>15526.04</v>
      </c>
    </row>
    <row r="121" spans="1:33">
      <c r="A121" s="910">
        <v>117</v>
      </c>
      <c r="B121" s="830" t="s">
        <v>2677</v>
      </c>
      <c r="H121" s="924"/>
      <c r="M121" s="910"/>
      <c r="N121" s="924"/>
      <c r="Q121" s="922"/>
      <c r="R121" s="924"/>
      <c r="U121" s="922"/>
      <c r="V121" s="924"/>
      <c r="AC121" s="898">
        <v>-63.6</v>
      </c>
      <c r="AD121" s="898">
        <f t="shared" si="7"/>
        <v>-63.6</v>
      </c>
    </row>
    <row r="122" spans="1:33">
      <c r="A122" s="910">
        <v>118</v>
      </c>
      <c r="B122" s="830" t="s">
        <v>2884</v>
      </c>
      <c r="C122" s="911"/>
      <c r="D122" s="911"/>
      <c r="E122" s="911"/>
      <c r="G122" s="921">
        <f>SUM(G101:G121)</f>
        <v>936888.66</v>
      </c>
      <c r="H122" s="921"/>
      <c r="I122" s="921">
        <f>SUM(I101:I121)</f>
        <v>1049392.1400000001</v>
      </c>
      <c r="J122" s="921"/>
      <c r="K122" s="921">
        <f>SUM(K101:K121)</f>
        <v>1164185.9300000004</v>
      </c>
      <c r="L122" s="921"/>
      <c r="M122" s="921">
        <f>SUM(M101:M120)</f>
        <v>896883.67999999993</v>
      </c>
      <c r="N122" s="921"/>
      <c r="O122" s="921">
        <f>SUM(O101:O120)</f>
        <v>591706.77000000014</v>
      </c>
      <c r="P122" s="922"/>
      <c r="Q122" s="922">
        <f>SUM(Q101:Q121)</f>
        <v>443240.55</v>
      </c>
      <c r="R122" s="922"/>
      <c r="S122" s="922">
        <f>SUM(S101:S121)</f>
        <v>411665.08</v>
      </c>
      <c r="T122" s="922"/>
      <c r="U122" s="922">
        <f>SUM(U101:U121)</f>
        <v>431235.45</v>
      </c>
      <c r="V122" s="922"/>
      <c r="W122" s="922">
        <f>SUM(W101:W121)</f>
        <v>488654.76000000013</v>
      </c>
      <c r="X122" s="922"/>
      <c r="Y122" s="922">
        <f>SUM(Y101:Y121)</f>
        <v>918719.51000000024</v>
      </c>
      <c r="Z122" s="922"/>
      <c r="AA122" s="922">
        <f>SUM(AA101:AA121)</f>
        <v>869878.77999999991</v>
      </c>
      <c r="AB122" s="922"/>
      <c r="AC122" s="922">
        <f>SUM(AC101:AC121)</f>
        <v>1111820.5099999998</v>
      </c>
      <c r="AD122" s="898">
        <f t="shared" si="7"/>
        <v>9314271.8200000003</v>
      </c>
    </row>
    <row r="123" spans="1:33">
      <c r="A123" s="910">
        <v>119</v>
      </c>
      <c r="B123" s="830" t="s">
        <v>2514</v>
      </c>
      <c r="C123" s="928"/>
      <c r="D123" s="928"/>
      <c r="E123" s="928"/>
      <c r="F123" s="928"/>
      <c r="G123" s="924">
        <v>1433715</v>
      </c>
      <c r="H123" s="924"/>
      <c r="I123" s="935">
        <v>1616149</v>
      </c>
      <c r="J123" s="924"/>
      <c r="K123" s="935">
        <v>1794729</v>
      </c>
      <c r="L123" s="924"/>
      <c r="M123" s="924">
        <v>1331310</v>
      </c>
      <c r="N123" s="924"/>
      <c r="O123" s="924">
        <v>789879</v>
      </c>
      <c r="P123" s="924"/>
      <c r="Q123" s="924">
        <v>579038</v>
      </c>
      <c r="R123" s="924"/>
      <c r="S123" s="924">
        <v>537168</v>
      </c>
      <c r="T123" s="924"/>
      <c r="U123" s="924">
        <v>564404</v>
      </c>
      <c r="V123" s="924"/>
      <c r="W123" s="930">
        <v>651984</v>
      </c>
      <c r="X123" s="930"/>
      <c r="Y123" s="924">
        <v>1274354</v>
      </c>
      <c r="Z123" s="926"/>
      <c r="AA123" s="924">
        <v>1158623</v>
      </c>
      <c r="AB123" s="926"/>
      <c r="AC123" s="924">
        <v>1422636</v>
      </c>
      <c r="AD123" s="928">
        <f t="shared" si="7"/>
        <v>13153989</v>
      </c>
    </row>
    <row r="124" spans="1:33">
      <c r="A124" s="910">
        <v>120</v>
      </c>
      <c r="B124" s="910" t="s">
        <v>2885</v>
      </c>
      <c r="C124" s="928"/>
      <c r="D124" s="928"/>
      <c r="E124" s="928"/>
      <c r="F124" s="928"/>
      <c r="G124" s="924"/>
      <c r="H124" s="924"/>
      <c r="I124" s="899"/>
      <c r="K124" s="899"/>
      <c r="M124" s="899"/>
      <c r="O124" s="899"/>
      <c r="Q124" s="899"/>
      <c r="S124" s="899"/>
      <c r="U124" s="899"/>
      <c r="W124" s="899"/>
      <c r="Y124" s="899"/>
      <c r="Z124" s="928"/>
      <c r="AA124" s="899"/>
      <c r="AB124" s="928"/>
      <c r="AC124" s="899"/>
      <c r="AD124" s="928">
        <f t="shared" si="7"/>
        <v>0</v>
      </c>
    </row>
    <row r="125" spans="1:33">
      <c r="A125" s="910">
        <v>121</v>
      </c>
      <c r="B125" s="910" t="s">
        <v>2886</v>
      </c>
      <c r="C125" s="928"/>
      <c r="D125" s="928"/>
      <c r="E125" s="928"/>
      <c r="F125" s="928"/>
      <c r="G125" s="924">
        <f>SUM(G123:G124)</f>
        <v>1433715</v>
      </c>
      <c r="H125" s="924">
        <f>SUM(H123:H124)</f>
        <v>0</v>
      </c>
      <c r="I125" s="924">
        <f>SUM(I123:I124)</f>
        <v>1616149</v>
      </c>
      <c r="J125" s="924"/>
      <c r="K125" s="924">
        <f>SUM(K123:K124)</f>
        <v>1794729</v>
      </c>
      <c r="L125" s="924"/>
      <c r="M125" s="924">
        <f>SUM(M123:M124)</f>
        <v>1331310</v>
      </c>
      <c r="N125" s="924"/>
      <c r="O125" s="924">
        <f>SUM(O123:O124)</f>
        <v>789879</v>
      </c>
      <c r="P125" s="924"/>
      <c r="Q125" s="924">
        <f>SUM(Q123:Q124)</f>
        <v>579038</v>
      </c>
      <c r="R125" s="924"/>
      <c r="S125" s="924">
        <f>SUM(S123:S124)</f>
        <v>537168</v>
      </c>
      <c r="T125" s="924"/>
      <c r="U125" s="924">
        <f>SUM(U123:U124)</f>
        <v>564404</v>
      </c>
      <c r="V125" s="924"/>
      <c r="W125" s="924">
        <f>SUM(W123:W124)</f>
        <v>651984</v>
      </c>
      <c r="X125" s="924"/>
      <c r="Y125" s="924">
        <f>SUM(Y123:Y124)</f>
        <v>1274354</v>
      </c>
      <c r="Z125" s="926"/>
      <c r="AA125" s="924">
        <f>SUM(AA123:AA124)</f>
        <v>1158623</v>
      </c>
      <c r="AB125" s="926"/>
      <c r="AC125" s="924">
        <f>SUM(AC123:AC124)</f>
        <v>1422636</v>
      </c>
      <c r="AD125" s="928">
        <f t="shared" si="7"/>
        <v>13153989</v>
      </c>
    </row>
    <row r="126" spans="1:33" ht="14.25" customHeight="1">
      <c r="A126" s="910">
        <v>122</v>
      </c>
      <c r="B126" s="837"/>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8"/>
      <c r="AA126" s="928"/>
      <c r="AB126" s="928"/>
      <c r="AC126" s="928"/>
      <c r="AD126" s="928"/>
    </row>
    <row r="127" spans="1:33">
      <c r="A127" s="910">
        <v>123</v>
      </c>
      <c r="B127" s="918" t="s">
        <v>2891</v>
      </c>
    </row>
    <row r="128" spans="1:33">
      <c r="A128" s="910">
        <v>124</v>
      </c>
      <c r="B128" s="830" t="s">
        <v>2462</v>
      </c>
      <c r="C128" s="898">
        <v>125</v>
      </c>
      <c r="D128" s="898"/>
      <c r="E128" s="898"/>
      <c r="F128" s="899">
        <f>G128/$C$154</f>
        <v>75</v>
      </c>
      <c r="G128" s="898">
        <v>9375</v>
      </c>
      <c r="H128" s="899">
        <f>I128/$C$154</f>
        <v>75</v>
      </c>
      <c r="I128" s="898">
        <v>9375</v>
      </c>
      <c r="J128" s="899">
        <f>K128/$C$154</f>
        <v>77</v>
      </c>
      <c r="K128" s="921">
        <v>9625</v>
      </c>
      <c r="L128" s="899">
        <f>M128/$C$154</f>
        <v>72</v>
      </c>
      <c r="M128" s="898">
        <v>9000</v>
      </c>
      <c r="N128" s="899">
        <f>O128/$C$154</f>
        <v>73</v>
      </c>
      <c r="O128" s="898">
        <v>9125</v>
      </c>
      <c r="P128" s="899">
        <f>Q128/$C$154</f>
        <v>73</v>
      </c>
      <c r="Q128" s="898">
        <v>9125</v>
      </c>
      <c r="R128" s="899">
        <f>S128/$C$154</f>
        <v>72</v>
      </c>
      <c r="S128" s="898">
        <v>9000</v>
      </c>
      <c r="T128" s="899">
        <f>U128/$C$154</f>
        <v>75</v>
      </c>
      <c r="U128" s="898">
        <v>9375</v>
      </c>
      <c r="V128" s="899">
        <f>W128/$C$154</f>
        <v>75</v>
      </c>
      <c r="W128" s="898">
        <v>9375</v>
      </c>
      <c r="X128" s="899">
        <f>Y128/$C$154</f>
        <v>75</v>
      </c>
      <c r="Y128" s="898">
        <v>9375</v>
      </c>
      <c r="Z128" s="899">
        <f>AA128/$C$154</f>
        <v>76</v>
      </c>
      <c r="AA128" s="898">
        <v>9500</v>
      </c>
      <c r="AB128" s="899">
        <f>AC128/$C$154</f>
        <v>75</v>
      </c>
      <c r="AC128" s="898">
        <v>9375</v>
      </c>
      <c r="AD128" s="898">
        <f>SUM(G128,I128,K128,M128,O128,Q128,S128,U128,W128,Y128,AA128,AC128)</f>
        <v>111625</v>
      </c>
      <c r="AF128" s="925">
        <f>(AB128+Z128+X128+V128+T128+R128+F128+H128+P128+N128+J128+L128)/12</f>
        <v>74.416666666666671</v>
      </c>
      <c r="AG128" s="925">
        <f>AF128+AF154</f>
        <v>87.666666666666671</v>
      </c>
    </row>
    <row r="129" spans="1:33">
      <c r="A129" s="910">
        <v>125</v>
      </c>
      <c r="B129" s="830" t="s">
        <v>2688</v>
      </c>
      <c r="C129" s="934">
        <v>0.14330000000000001</v>
      </c>
      <c r="F129" s="899">
        <f>G129/$C$129</f>
        <v>956712.77041172364</v>
      </c>
      <c r="G129" s="898">
        <v>137096.94</v>
      </c>
      <c r="H129" s="899">
        <f>I129/$C$129</f>
        <v>992342.98674110253</v>
      </c>
      <c r="I129" s="898">
        <v>142202.75</v>
      </c>
      <c r="J129" s="899">
        <f>K129/$C$129</f>
        <v>1038441.8702023725</v>
      </c>
      <c r="K129" s="921">
        <v>148808.72</v>
      </c>
      <c r="L129" s="899">
        <f>M129/$C$129</f>
        <v>707224.49406838801</v>
      </c>
      <c r="M129" s="898">
        <v>101345.27</v>
      </c>
      <c r="N129" s="899">
        <f>O129/$C$129</f>
        <v>476949.82554082345</v>
      </c>
      <c r="O129" s="898">
        <v>68346.91</v>
      </c>
      <c r="P129" s="899">
        <f>Q129/$C$129</f>
        <v>342106.21074668528</v>
      </c>
      <c r="Q129" s="898">
        <v>49023.82</v>
      </c>
      <c r="R129" s="899">
        <f>S129/$C$129</f>
        <v>279030.77459874388</v>
      </c>
      <c r="S129" s="898">
        <v>39985.11</v>
      </c>
      <c r="T129" s="899">
        <f>U129/$C$129</f>
        <v>293248.08094905788</v>
      </c>
      <c r="U129" s="898">
        <v>42022.45</v>
      </c>
      <c r="V129" s="899">
        <f>W129/$C$129</f>
        <v>252242.14933705513</v>
      </c>
      <c r="W129" s="898">
        <v>36146.300000000003</v>
      </c>
      <c r="X129" s="899">
        <f>Y129/$C$129</f>
        <v>438816.88764829026</v>
      </c>
      <c r="Y129" s="898">
        <v>62882.46</v>
      </c>
      <c r="Z129" s="899">
        <f>AA129/$C$129</f>
        <v>678678.15771109553</v>
      </c>
      <c r="AA129" s="898">
        <v>97254.58</v>
      </c>
      <c r="AB129" s="899">
        <f>AC129/$C$129</f>
        <v>887875.15701325878</v>
      </c>
      <c r="AC129" s="898">
        <v>127232.51</v>
      </c>
      <c r="AD129" s="898">
        <f>SUM(G129,I129,K129,M129,O129,Q129,S129,U129,W129,Y129,AA129,AC129)</f>
        <v>1052347.8199999998</v>
      </c>
      <c r="AF129" s="923"/>
      <c r="AG129" s="923"/>
    </row>
    <row r="130" spans="1:33">
      <c r="A130" s="910">
        <v>126</v>
      </c>
      <c r="B130" s="910" t="s">
        <v>2689</v>
      </c>
      <c r="C130" s="934">
        <v>0.10983999999999999</v>
      </c>
      <c r="F130" s="899">
        <f>G130/$C$130</f>
        <v>366371.99563000735</v>
      </c>
      <c r="G130" s="898">
        <v>40242.300000000003</v>
      </c>
      <c r="H130" s="899">
        <f>I130/$C$130</f>
        <v>366846.04879825207</v>
      </c>
      <c r="I130" s="898">
        <v>40294.370000000003</v>
      </c>
      <c r="J130" s="899">
        <f>K130/$C$130</f>
        <v>408688.18281136197</v>
      </c>
      <c r="K130" s="921">
        <v>44890.31</v>
      </c>
      <c r="L130" s="899">
        <f>M130/$C$130</f>
        <v>259621.9956300073</v>
      </c>
      <c r="M130" s="898">
        <v>28516.880000000001</v>
      </c>
      <c r="N130" s="899">
        <f>O130/$C$130</f>
        <v>201408.86744355428</v>
      </c>
      <c r="O130" s="898">
        <v>22122.75</v>
      </c>
      <c r="P130" s="899">
        <f>Q130/$C$130</f>
        <v>137839.85797523672</v>
      </c>
      <c r="Q130" s="898">
        <v>15140.33</v>
      </c>
      <c r="R130" s="899">
        <f>S130/$C$130</f>
        <v>127062.09031318282</v>
      </c>
      <c r="S130" s="898">
        <v>13956.5</v>
      </c>
      <c r="T130" s="899">
        <f>U130/$C$130</f>
        <v>107677.98616168974</v>
      </c>
      <c r="U130" s="898">
        <v>11827.35</v>
      </c>
      <c r="V130" s="899">
        <f>W130/$C$130</f>
        <v>94595.957756737072</v>
      </c>
      <c r="W130" s="898">
        <v>10390.42</v>
      </c>
      <c r="X130" s="899">
        <f>Y130/$C$130</f>
        <v>212228.96941005098</v>
      </c>
      <c r="Y130" s="898">
        <v>23311.23</v>
      </c>
      <c r="Z130" s="899">
        <f>AA130/$C$130</f>
        <v>277395.02913328481</v>
      </c>
      <c r="AA130" s="898">
        <v>30469.07</v>
      </c>
      <c r="AB130" s="899">
        <f>AC130/$C$130</f>
        <v>275531.13619810634</v>
      </c>
      <c r="AC130" s="898">
        <v>30264.34</v>
      </c>
      <c r="AD130" s="898">
        <f>SUM(G130,I130,K130,M130,O130,Q130,S130,U130,W130,Y130,AA130,AC130)</f>
        <v>311425.85000000003</v>
      </c>
      <c r="AF130" s="923"/>
      <c r="AG130" s="923"/>
    </row>
    <row r="131" spans="1:33">
      <c r="A131" s="910">
        <v>127</v>
      </c>
      <c r="B131" s="830" t="s">
        <v>2889</v>
      </c>
      <c r="C131" s="934">
        <v>2.7089999999999999E-2</v>
      </c>
      <c r="F131" s="899">
        <f>G131/$C$131</f>
        <v>154555.92469545957</v>
      </c>
      <c r="G131" s="898">
        <v>4186.92</v>
      </c>
      <c r="H131" s="899">
        <f>I131/$C$131</f>
        <v>168306.01698043558</v>
      </c>
      <c r="I131" s="898">
        <v>4559.41</v>
      </c>
      <c r="J131" s="899">
        <f>K131/$C$131</f>
        <v>202976.74418604653</v>
      </c>
      <c r="K131" s="921">
        <v>5498.64</v>
      </c>
      <c r="L131" s="899">
        <f>M131/$C$131</f>
        <v>61993.35548172758</v>
      </c>
      <c r="M131" s="898">
        <v>1679.4</v>
      </c>
      <c r="N131" s="899">
        <f>O131/$C$131</f>
        <v>13846.068660022147</v>
      </c>
      <c r="O131" s="898">
        <v>375.09</v>
      </c>
      <c r="P131" s="899">
        <f>Q131/$C$131</f>
        <v>0</v>
      </c>
      <c r="R131" s="899">
        <f>S131/$C$131</f>
        <v>0</v>
      </c>
      <c r="S131" s="898">
        <v>0</v>
      </c>
      <c r="T131" s="899">
        <f>U131/$C$131</f>
        <v>0</v>
      </c>
      <c r="V131" s="899">
        <f>W131/$C$131</f>
        <v>0</v>
      </c>
      <c r="X131" s="899">
        <f>Y131/$C$131</f>
        <v>29311.923218899963</v>
      </c>
      <c r="Y131" s="898">
        <v>794.06</v>
      </c>
      <c r="Z131" s="899">
        <f>AA131/$C$131</f>
        <v>80954.964931709124</v>
      </c>
      <c r="AA131" s="922">
        <v>2193.0700000000002</v>
      </c>
      <c r="AB131" s="899">
        <f>AC131/$C$131</f>
        <v>106750.09228497601</v>
      </c>
      <c r="AC131" s="898">
        <v>2891.86</v>
      </c>
      <c r="AD131" s="898">
        <f>SUM(G131,I131,K131,M131,O131,Q131,S131,U131,W131,Y131,AA131,AC131)</f>
        <v>22178.45</v>
      </c>
    </row>
    <row r="132" spans="1:33">
      <c r="A132" s="910">
        <v>128</v>
      </c>
      <c r="B132" s="830" t="s">
        <v>2650</v>
      </c>
      <c r="C132" s="927"/>
      <c r="D132" s="927"/>
      <c r="E132" s="927"/>
      <c r="G132" s="898">
        <v>619870.4</v>
      </c>
      <c r="I132" s="898">
        <v>640784.16</v>
      </c>
      <c r="K132" s="921">
        <v>692219.9</v>
      </c>
      <c r="M132" s="898">
        <v>431598.05</v>
      </c>
      <c r="O132" s="898">
        <v>290380.03000000003</v>
      </c>
      <c r="Q132" s="898">
        <v>201337.37</v>
      </c>
      <c r="S132" s="898">
        <v>170356.00999999998</v>
      </c>
      <c r="U132" s="898">
        <v>168188.47999999998</v>
      </c>
      <c r="W132" s="898">
        <v>145498.57</v>
      </c>
      <c r="Y132" s="898">
        <v>285410.21000000002</v>
      </c>
      <c r="AA132" s="898">
        <v>435939.99</v>
      </c>
      <c r="AC132" s="898">
        <v>535932.37</v>
      </c>
      <c r="AD132" s="898">
        <f t="shared" ref="AD132:AD151" si="8">SUM(G132:AC132)</f>
        <v>4617515.54</v>
      </c>
      <c r="AF132" s="923"/>
      <c r="AG132" s="923"/>
    </row>
    <row r="133" spans="1:33">
      <c r="A133" s="910">
        <v>129</v>
      </c>
      <c r="B133" s="910" t="s">
        <v>2652</v>
      </c>
      <c r="C133" s="927"/>
      <c r="D133" s="927"/>
      <c r="E133" s="927"/>
      <c r="M133" s="898">
        <v>22218.38</v>
      </c>
      <c r="O133" s="898">
        <v>51613.84</v>
      </c>
      <c r="Q133" s="898">
        <v>36547.89</v>
      </c>
      <c r="S133" s="898">
        <v>30923.97</v>
      </c>
      <c r="U133" s="898">
        <v>27414.289999999997</v>
      </c>
      <c r="W133" s="898">
        <v>26411.720000000005</v>
      </c>
      <c r="Y133" s="898">
        <v>51809.279999999999</v>
      </c>
      <c r="AA133" s="898">
        <v>100682.39</v>
      </c>
      <c r="AC133" s="898">
        <v>171006.35</v>
      </c>
      <c r="AD133" s="898">
        <f t="shared" si="8"/>
        <v>518628.11</v>
      </c>
      <c r="AF133" s="923"/>
      <c r="AG133" s="923"/>
    </row>
    <row r="134" spans="1:33">
      <c r="A134" s="910">
        <v>130</v>
      </c>
      <c r="B134" s="830" t="s">
        <v>2653</v>
      </c>
      <c r="G134" s="898">
        <v>2121.63</v>
      </c>
      <c r="I134" s="898">
        <v>2199.6</v>
      </c>
      <c r="K134" s="921">
        <v>2376.16</v>
      </c>
      <c r="M134" s="898">
        <v>1481.53</v>
      </c>
      <c r="O134" s="898">
        <v>996.77</v>
      </c>
      <c r="Q134" s="898">
        <v>691.14</v>
      </c>
      <c r="S134" s="898">
        <v>584.76</v>
      </c>
      <c r="U134" s="898">
        <v>577.19000000000005</v>
      </c>
      <c r="W134" s="898">
        <v>499.44</v>
      </c>
      <c r="Y134" s="898">
        <v>979.74000000000012</v>
      </c>
      <c r="AA134" s="898">
        <v>1482.27</v>
      </c>
      <c r="AC134" s="898">
        <v>1791.35</v>
      </c>
      <c r="AD134" s="898">
        <f t="shared" si="8"/>
        <v>15781.58</v>
      </c>
      <c r="AF134" s="923"/>
      <c r="AG134" s="923"/>
    </row>
    <row r="135" spans="1:33">
      <c r="A135" s="910">
        <v>131</v>
      </c>
      <c r="B135" s="830" t="s">
        <v>2654</v>
      </c>
      <c r="G135" s="898">
        <v>6989.3</v>
      </c>
      <c r="I135" s="898">
        <v>7225.03</v>
      </c>
      <c r="K135" s="921">
        <v>7805.04</v>
      </c>
      <c r="M135" s="898">
        <v>4866.4000000000005</v>
      </c>
      <c r="O135" s="898">
        <v>3274.13</v>
      </c>
      <c r="Q135" s="898">
        <v>2270.14</v>
      </c>
      <c r="S135" s="898">
        <v>1920.81</v>
      </c>
      <c r="U135" s="898">
        <v>1896.4</v>
      </c>
      <c r="W135" s="898">
        <v>1640.55</v>
      </c>
      <c r="Y135" s="898">
        <v>3218.0899999999997</v>
      </c>
      <c r="AA135" s="898">
        <v>5253.9</v>
      </c>
      <c r="AC135" s="898">
        <v>7200.9</v>
      </c>
      <c r="AD135" s="898">
        <f t="shared" si="8"/>
        <v>53560.69</v>
      </c>
      <c r="AF135" s="923"/>
      <c r="AG135" s="923"/>
    </row>
    <row r="136" spans="1:33">
      <c r="A136" s="910">
        <v>132</v>
      </c>
      <c r="B136" s="830" t="s">
        <v>2655</v>
      </c>
      <c r="G136" s="898">
        <v>-74886.84</v>
      </c>
      <c r="I136" s="898">
        <v>-77413.400000000009</v>
      </c>
      <c r="K136" s="921">
        <v>-83627.39</v>
      </c>
      <c r="M136" s="898">
        <v>-52141.57</v>
      </c>
      <c r="O136" s="898">
        <v>-35080.950000000004</v>
      </c>
      <c r="Q136" s="898">
        <v>-24323.67</v>
      </c>
      <c r="S136" s="898">
        <v>-20580.789999999997</v>
      </c>
      <c r="U136" s="898">
        <v>-20318.920000000002</v>
      </c>
      <c r="W136" s="898">
        <v>-17577.73</v>
      </c>
      <c r="Y136" s="898">
        <v>-34480.579999999987</v>
      </c>
      <c r="AA136" s="898">
        <v>-41125.78</v>
      </c>
      <c r="AC136" s="898">
        <v>-25264.1</v>
      </c>
      <c r="AD136" s="898">
        <f t="shared" si="8"/>
        <v>-506821.72</v>
      </c>
      <c r="AF136" s="923"/>
      <c r="AG136" s="923"/>
    </row>
    <row r="137" spans="1:33">
      <c r="A137" s="910">
        <v>133</v>
      </c>
      <c r="B137" s="830" t="s">
        <v>2656</v>
      </c>
      <c r="G137" s="898">
        <v>11436.95</v>
      </c>
      <c r="I137" s="898">
        <v>11822.82</v>
      </c>
      <c r="K137" s="921">
        <v>12771.75</v>
      </c>
      <c r="M137" s="898">
        <v>7963.2</v>
      </c>
      <c r="O137" s="898">
        <v>5357.68</v>
      </c>
      <c r="Q137" s="898">
        <v>3714.79</v>
      </c>
      <c r="S137" s="898">
        <v>3143.18</v>
      </c>
      <c r="U137" s="898">
        <v>3103.1400000000003</v>
      </c>
      <c r="W137" s="898">
        <v>2684.5299999999997</v>
      </c>
      <c r="Y137" s="898">
        <v>5265.99</v>
      </c>
      <c r="AA137" s="898">
        <v>5185.420000000001</v>
      </c>
      <c r="AC137" s="898">
        <v>110.68</v>
      </c>
      <c r="AD137" s="898">
        <f t="shared" si="8"/>
        <v>72560.12999999999</v>
      </c>
      <c r="AF137" s="923"/>
      <c r="AG137" s="923"/>
    </row>
    <row r="138" spans="1:33">
      <c r="A138" s="910">
        <v>134</v>
      </c>
      <c r="B138" s="830" t="s">
        <v>2657</v>
      </c>
      <c r="G138" s="898">
        <v>40694.230000000003</v>
      </c>
      <c r="I138" s="898">
        <v>42067.199999999997</v>
      </c>
      <c r="K138" s="921">
        <v>45443.97</v>
      </c>
      <c r="M138" s="898">
        <v>28334.25</v>
      </c>
      <c r="O138" s="898">
        <v>19063.32</v>
      </c>
      <c r="Q138" s="898">
        <v>13217.7</v>
      </c>
      <c r="S138" s="898">
        <v>11183.75</v>
      </c>
      <c r="U138" s="898">
        <v>11041.529999999999</v>
      </c>
      <c r="W138" s="898">
        <v>9551.93</v>
      </c>
      <c r="Y138" s="898">
        <v>18737.030000000002</v>
      </c>
      <c r="AA138" s="898">
        <v>28104.620000000003</v>
      </c>
      <c r="AC138" s="898">
        <v>33422.800000000003</v>
      </c>
      <c r="AD138" s="898">
        <f t="shared" si="8"/>
        <v>300862.33</v>
      </c>
      <c r="AF138" s="923"/>
      <c r="AG138" s="923"/>
    </row>
    <row r="139" spans="1:33">
      <c r="A139" s="910">
        <v>135</v>
      </c>
      <c r="B139" s="895" t="s">
        <v>2658</v>
      </c>
      <c r="G139" s="898">
        <v>-4226</v>
      </c>
      <c r="I139" s="898">
        <v>-4368.6400000000003</v>
      </c>
      <c r="K139" s="921">
        <v>-4719.28</v>
      </c>
      <c r="M139" s="898">
        <v>-2942.52</v>
      </c>
      <c r="O139" s="898">
        <v>-1979.68</v>
      </c>
      <c r="Q139" s="898">
        <v>-1372.67</v>
      </c>
      <c r="S139" s="898">
        <v>-1161.4299999999998</v>
      </c>
      <c r="U139" s="898">
        <v>-1146.6600000000001</v>
      </c>
      <c r="W139" s="898">
        <v>-991.93999999999994</v>
      </c>
      <c r="Y139" s="898">
        <v>-1945.8400000000001</v>
      </c>
      <c r="AA139" s="898">
        <v>-3094.3799999999997</v>
      </c>
      <c r="AC139" s="898">
        <v>-4072.21</v>
      </c>
      <c r="AD139" s="898">
        <f t="shared" si="8"/>
        <v>-32021.25</v>
      </c>
      <c r="AF139" s="923"/>
      <c r="AG139" s="923"/>
    </row>
    <row r="140" spans="1:33">
      <c r="A140" s="910">
        <v>136</v>
      </c>
      <c r="B140" s="895" t="s">
        <v>2659</v>
      </c>
      <c r="G140" s="898">
        <v>-1965.29</v>
      </c>
      <c r="I140" s="898">
        <v>-2031.59</v>
      </c>
      <c r="K140" s="921">
        <v>-2194.63</v>
      </c>
      <c r="M140" s="898">
        <v>-1368.4</v>
      </c>
      <c r="O140" s="898">
        <v>-920.66</v>
      </c>
      <c r="Q140" s="898">
        <v>-638.35</v>
      </c>
      <c r="S140" s="898">
        <v>-540.12</v>
      </c>
      <c r="U140" s="898">
        <v>-533.22</v>
      </c>
      <c r="W140" s="898">
        <v>-461.28</v>
      </c>
      <c r="Y140" s="898">
        <v>-904.8599999999999</v>
      </c>
      <c r="AA140" s="898">
        <v>-1330.47</v>
      </c>
      <c r="AC140" s="898">
        <v>-1522.31</v>
      </c>
      <c r="AD140" s="898">
        <f t="shared" si="8"/>
        <v>-14411.18</v>
      </c>
      <c r="AF140" s="923"/>
      <c r="AG140" s="923"/>
    </row>
    <row r="141" spans="1:33">
      <c r="A141" s="910">
        <v>137</v>
      </c>
      <c r="B141" s="895" t="s">
        <v>2660</v>
      </c>
      <c r="G141" s="898">
        <v>-3590.67</v>
      </c>
      <c r="I141" s="898">
        <v>-3711.81</v>
      </c>
      <c r="K141" s="921">
        <v>-4009.76</v>
      </c>
      <c r="M141" s="898">
        <v>-2500.04</v>
      </c>
      <c r="O141" s="898">
        <v>-1682.09</v>
      </c>
      <c r="Q141" s="898">
        <v>-1166.27</v>
      </c>
      <c r="S141" s="898">
        <v>-986.81</v>
      </c>
      <c r="U141" s="898">
        <v>-974.28000000000009</v>
      </c>
      <c r="W141" s="898">
        <v>-842.8</v>
      </c>
      <c r="Y141" s="898">
        <v>-1653.2800000000002</v>
      </c>
      <c r="AA141" s="898">
        <v>-1627.94</v>
      </c>
      <c r="AC141" s="898">
        <v>-34.739999999999995</v>
      </c>
      <c r="AD141" s="898">
        <f t="shared" si="8"/>
        <v>-22780.489999999998</v>
      </c>
      <c r="AF141" s="923"/>
      <c r="AG141" s="923"/>
    </row>
    <row r="142" spans="1:33">
      <c r="A142" s="910">
        <v>138</v>
      </c>
      <c r="B142" s="830" t="s">
        <v>2661</v>
      </c>
      <c r="G142" s="898">
        <v>33758.379999999997</v>
      </c>
      <c r="I142" s="898">
        <v>35631.51</v>
      </c>
      <c r="K142" s="921">
        <v>37454.75</v>
      </c>
      <c r="M142" s="898">
        <v>24677.83</v>
      </c>
      <c r="O142" s="898">
        <v>17383.510000000002</v>
      </c>
      <c r="Q142" s="898">
        <v>11771.28</v>
      </c>
      <c r="S142" s="898">
        <v>10264.120000000001</v>
      </c>
      <c r="U142" s="898">
        <v>10971.869999999999</v>
      </c>
      <c r="W142" s="898">
        <v>9078.9699999999993</v>
      </c>
      <c r="Y142" s="898">
        <v>17131.87</v>
      </c>
      <c r="AA142" s="898">
        <v>29018.02</v>
      </c>
      <c r="AC142" s="898">
        <v>42970.76</v>
      </c>
      <c r="AD142" s="898">
        <f t="shared" si="8"/>
        <v>280112.87</v>
      </c>
      <c r="AF142" s="923"/>
      <c r="AG142" s="923"/>
    </row>
    <row r="143" spans="1:33">
      <c r="A143" s="910">
        <v>139</v>
      </c>
      <c r="B143" s="830" t="s">
        <v>2676</v>
      </c>
      <c r="G143" s="898">
        <v>790.77</v>
      </c>
      <c r="I143" s="898">
        <v>643.72</v>
      </c>
      <c r="K143" s="921">
        <v>1170.42</v>
      </c>
      <c r="M143" s="910">
        <v>422.61</v>
      </c>
      <c r="O143" s="898">
        <v>303.99</v>
      </c>
      <c r="Q143" s="898">
        <v>112.84</v>
      </c>
      <c r="S143" s="898">
        <v>0</v>
      </c>
      <c r="AD143" s="898">
        <f t="shared" si="8"/>
        <v>3444.3500000000004</v>
      </c>
    </row>
    <row r="144" spans="1:33">
      <c r="A144" s="910">
        <v>140</v>
      </c>
      <c r="B144" s="830" t="s">
        <v>2665</v>
      </c>
      <c r="O144" s="910"/>
      <c r="S144" s="898">
        <v>0</v>
      </c>
      <c r="AD144" s="898">
        <f t="shared" si="8"/>
        <v>0</v>
      </c>
      <c r="AF144" s="923"/>
    </row>
    <row r="145" spans="1:33">
      <c r="A145" s="910">
        <v>141</v>
      </c>
      <c r="B145" s="830" t="s">
        <v>2677</v>
      </c>
      <c r="C145" s="927"/>
      <c r="D145" s="927"/>
      <c r="E145" s="927"/>
      <c r="O145" s="910"/>
      <c r="S145" s="898">
        <v>0</v>
      </c>
      <c r="U145" s="898">
        <v>0</v>
      </c>
      <c r="AD145" s="898">
        <f t="shared" si="8"/>
        <v>0</v>
      </c>
    </row>
    <row r="146" spans="1:33">
      <c r="A146" s="910">
        <v>142</v>
      </c>
      <c r="B146" s="830" t="s">
        <v>2662</v>
      </c>
      <c r="C146" s="927"/>
      <c r="D146" s="927"/>
      <c r="E146" s="927"/>
      <c r="G146" s="898">
        <v>1432.77</v>
      </c>
      <c r="I146" s="898">
        <v>1515.09</v>
      </c>
      <c r="K146" s="921">
        <v>1842.35</v>
      </c>
      <c r="M146" s="898">
        <v>1362.26</v>
      </c>
      <c r="O146" s="898">
        <v>884.02</v>
      </c>
      <c r="Q146" s="898">
        <v>587.6</v>
      </c>
      <c r="S146" s="898">
        <v>490.62</v>
      </c>
      <c r="AD146" s="898">
        <f t="shared" si="8"/>
        <v>8114.71</v>
      </c>
      <c r="AG146" s="923"/>
    </row>
    <row r="147" spans="1:33">
      <c r="A147" s="910">
        <v>143</v>
      </c>
      <c r="B147" s="830" t="s">
        <v>2664</v>
      </c>
      <c r="C147" s="927"/>
      <c r="D147" s="927"/>
      <c r="E147" s="927"/>
      <c r="G147" s="898">
        <v>-1123.75</v>
      </c>
      <c r="I147" s="898">
        <v>-1194.5899999999999</v>
      </c>
      <c r="K147" s="921">
        <v>-906.2</v>
      </c>
      <c r="M147" s="910">
        <v>-1070.07</v>
      </c>
      <c r="O147" s="898">
        <v>-1151.4100000000001</v>
      </c>
      <c r="Q147" s="898">
        <v>-1082.42</v>
      </c>
      <c r="S147" s="898">
        <v>-980.79000000000008</v>
      </c>
      <c r="U147" s="898">
        <v>-1201.77</v>
      </c>
      <c r="W147" s="898">
        <v>-1015.94</v>
      </c>
      <c r="Y147" s="898">
        <v>-1326.39</v>
      </c>
      <c r="AA147" s="898">
        <v>-2310.94</v>
      </c>
      <c r="AC147" s="898">
        <v>-1722.35</v>
      </c>
      <c r="AD147" s="898">
        <f t="shared" si="8"/>
        <v>-15086.62</v>
      </c>
      <c r="AG147" s="923"/>
    </row>
    <row r="148" spans="1:33">
      <c r="A148" s="910">
        <v>144</v>
      </c>
      <c r="B148" s="830" t="s">
        <v>2884</v>
      </c>
      <c r="C148" s="927"/>
      <c r="D148" s="927"/>
      <c r="E148" s="927"/>
      <c r="G148" s="898">
        <f>SUM(G128:G147)</f>
        <v>822203.04</v>
      </c>
      <c r="H148" s="898"/>
      <c r="I148" s="898">
        <f>SUM(I128:I147)</f>
        <v>849600.62999999989</v>
      </c>
      <c r="J148" s="898"/>
      <c r="K148" s="898">
        <f>SUM(K128:K147)</f>
        <v>914449.75000000012</v>
      </c>
      <c r="L148" s="898"/>
      <c r="M148" s="898">
        <f>SUM(M128:M147)</f>
        <v>603443.46</v>
      </c>
      <c r="N148" s="898"/>
      <c r="O148" s="898">
        <f>SUM(O128:O147)</f>
        <v>448412.25000000006</v>
      </c>
      <c r="P148" s="898"/>
      <c r="Q148" s="898">
        <f>SUM(Q128:Q147)</f>
        <v>314956.52000000014</v>
      </c>
      <c r="R148" s="898"/>
      <c r="S148" s="898">
        <f>SUM(S128:S147)</f>
        <v>267558.89</v>
      </c>
      <c r="T148" s="898"/>
      <c r="U148" s="898">
        <f>SUM(U128:U147)</f>
        <v>262242.84999999998</v>
      </c>
      <c r="V148" s="898"/>
      <c r="W148" s="898">
        <f>SUM(W128:W147)</f>
        <v>230387.74</v>
      </c>
      <c r="X148" s="898"/>
      <c r="Y148" s="898">
        <f>SUM(Y128:Y147)</f>
        <v>438604.00999999995</v>
      </c>
      <c r="Z148" s="898"/>
      <c r="AA148" s="898">
        <f>SUM(AA128:AA147)</f>
        <v>695593.82000000018</v>
      </c>
      <c r="AB148" s="898"/>
      <c r="AC148" s="898">
        <f>SUM(AC128:AC147)</f>
        <v>929583.21000000008</v>
      </c>
      <c r="AD148" s="898">
        <f t="shared" si="8"/>
        <v>6777036.1699999999</v>
      </c>
    </row>
    <row r="149" spans="1:33">
      <c r="A149" s="910">
        <v>145</v>
      </c>
      <c r="B149" s="830" t="s">
        <v>2514</v>
      </c>
      <c r="C149" s="928">
        <f>G151/F128</f>
        <v>19701.88</v>
      </c>
      <c r="D149" s="928"/>
      <c r="E149" s="928"/>
      <c r="F149" s="928"/>
      <c r="G149" s="937">
        <v>1477641</v>
      </c>
      <c r="H149" s="926"/>
      <c r="I149" s="924">
        <v>1527495</v>
      </c>
      <c r="J149" s="926"/>
      <c r="K149" s="899">
        <v>1650107</v>
      </c>
      <c r="L149" s="928"/>
      <c r="M149" s="924">
        <v>1028839</v>
      </c>
      <c r="N149" s="926"/>
      <c r="O149" s="924">
        <v>692205</v>
      </c>
      <c r="P149" s="926"/>
      <c r="Q149" s="924">
        <v>479946</v>
      </c>
      <c r="R149" s="924"/>
      <c r="S149" s="924">
        <v>406093</v>
      </c>
      <c r="T149" s="924"/>
      <c r="U149" s="924">
        <v>400926</v>
      </c>
      <c r="V149" s="926"/>
      <c r="W149" s="899">
        <v>346838</v>
      </c>
      <c r="X149" s="928"/>
      <c r="Y149" s="924">
        <v>680358</v>
      </c>
      <c r="Z149" s="926"/>
      <c r="AA149" s="924">
        <v>1037028</v>
      </c>
      <c r="AB149" s="926"/>
      <c r="AC149" s="924">
        <v>1270156</v>
      </c>
      <c r="AD149" s="898">
        <f t="shared" si="8"/>
        <v>10997632</v>
      </c>
      <c r="AF149" s="938"/>
    </row>
    <row r="150" spans="1:33">
      <c r="A150" s="910">
        <v>146</v>
      </c>
      <c r="B150" s="910" t="s">
        <v>2885</v>
      </c>
      <c r="C150" s="928"/>
      <c r="D150" s="928"/>
      <c r="E150" s="928"/>
      <c r="F150" s="928"/>
      <c r="G150" s="928"/>
      <c r="H150" s="928"/>
      <c r="I150" s="928"/>
      <c r="J150" s="928"/>
      <c r="K150" s="928"/>
      <c r="L150" s="928"/>
      <c r="M150" s="928"/>
      <c r="N150" s="928"/>
      <c r="O150" s="928"/>
      <c r="P150" s="928"/>
      <c r="Q150" s="899"/>
      <c r="S150" s="899"/>
      <c r="U150" s="899"/>
      <c r="V150" s="928"/>
      <c r="W150" s="899"/>
      <c r="X150" s="928"/>
      <c r="Y150" s="899"/>
      <c r="Z150" s="928"/>
      <c r="AA150" s="899"/>
      <c r="AB150" s="928"/>
      <c r="AC150" s="899"/>
      <c r="AD150" s="928">
        <f t="shared" si="8"/>
        <v>0</v>
      </c>
    </row>
    <row r="151" spans="1:33">
      <c r="A151" s="910">
        <v>147</v>
      </c>
      <c r="B151" s="910" t="s">
        <v>2886</v>
      </c>
      <c r="C151" s="928"/>
      <c r="D151" s="928"/>
      <c r="E151" s="928"/>
      <c r="F151" s="928"/>
      <c r="G151" s="924">
        <f>SUM(G149:G150)</f>
        <v>1477641</v>
      </c>
      <c r="H151" s="926">
        <f>SUM(H149:H150)</f>
        <v>0</v>
      </c>
      <c r="I151" s="924">
        <f>SUM(I149:I150)</f>
        <v>1527495</v>
      </c>
      <c r="J151" s="926"/>
      <c r="K151" s="924">
        <f>SUM(K149:K150)</f>
        <v>1650107</v>
      </c>
      <c r="L151" s="926"/>
      <c r="M151" s="924">
        <f>SUM(M149:M150)</f>
        <v>1028839</v>
      </c>
      <c r="N151" s="926"/>
      <c r="O151" s="924">
        <f>SUM(O149:O150)</f>
        <v>692205</v>
      </c>
      <c r="P151" s="926"/>
      <c r="Q151" s="924">
        <f>SUM(Q149:Q150)</f>
        <v>479946</v>
      </c>
      <c r="R151" s="924"/>
      <c r="S151" s="924">
        <f>SUM(S149:S150)</f>
        <v>406093</v>
      </c>
      <c r="T151" s="924"/>
      <c r="U151" s="924">
        <f>SUM(U149:U150)</f>
        <v>400926</v>
      </c>
      <c r="V151" s="926"/>
      <c r="W151" s="924">
        <f>SUM(W149:W150)</f>
        <v>346838</v>
      </c>
      <c r="X151" s="926"/>
      <c r="Y151" s="924">
        <f>SUM(Y149:Y150)</f>
        <v>680358</v>
      </c>
      <c r="Z151" s="926"/>
      <c r="AA151" s="924">
        <f>SUM(AA149:AA150)</f>
        <v>1037028</v>
      </c>
      <c r="AB151" s="926"/>
      <c r="AC151" s="924">
        <f>SUM(AC149:AC150)</f>
        <v>1270156</v>
      </c>
      <c r="AD151" s="928">
        <f t="shared" si="8"/>
        <v>10997632</v>
      </c>
      <c r="AF151" s="938"/>
    </row>
    <row r="152" spans="1:33">
      <c r="A152" s="910">
        <v>148</v>
      </c>
      <c r="B152" s="830"/>
    </row>
    <row r="153" spans="1:33">
      <c r="A153" s="910">
        <v>149</v>
      </c>
      <c r="B153" s="918" t="s">
        <v>2892</v>
      </c>
    </row>
    <row r="154" spans="1:33">
      <c r="A154" s="910">
        <v>150</v>
      </c>
      <c r="B154" s="830" t="s">
        <v>2462</v>
      </c>
      <c r="C154" s="898">
        <v>125</v>
      </c>
      <c r="D154" s="898"/>
      <c r="E154" s="898"/>
      <c r="F154" s="899">
        <f>G154/$C$154</f>
        <v>13</v>
      </c>
      <c r="G154" s="898">
        <v>1625</v>
      </c>
      <c r="H154" s="899">
        <f>I154/$C$154</f>
        <v>13</v>
      </c>
      <c r="I154" s="898">
        <v>1625</v>
      </c>
      <c r="J154" s="899">
        <f>K154/$C$154</f>
        <v>13</v>
      </c>
      <c r="K154" s="921">
        <v>1625</v>
      </c>
      <c r="L154" s="899">
        <f>M154/$C$154</f>
        <v>13</v>
      </c>
      <c r="M154" s="898">
        <v>1625</v>
      </c>
      <c r="N154" s="899">
        <f>O154/$C$154</f>
        <v>11</v>
      </c>
      <c r="O154" s="898">
        <v>1375</v>
      </c>
      <c r="P154" s="899">
        <f>Q154/$C$154</f>
        <v>11</v>
      </c>
      <c r="Q154" s="898">
        <v>1375</v>
      </c>
      <c r="R154" s="899">
        <f>S154/$C$154</f>
        <v>13</v>
      </c>
      <c r="S154" s="898">
        <v>1625</v>
      </c>
      <c r="T154" s="899">
        <f>U154/$C$154</f>
        <v>14</v>
      </c>
      <c r="U154" s="898">
        <v>1750</v>
      </c>
      <c r="V154" s="899">
        <f>W154/$C$154</f>
        <v>14</v>
      </c>
      <c r="W154" s="898">
        <v>1750</v>
      </c>
      <c r="X154" s="899">
        <f>Y154/$C$154</f>
        <v>14</v>
      </c>
      <c r="Y154" s="898">
        <v>1750</v>
      </c>
      <c r="Z154" s="899">
        <f>AA154/$C$154</f>
        <v>15</v>
      </c>
      <c r="AA154" s="898">
        <v>1875</v>
      </c>
      <c r="AB154" s="899">
        <f>AC154/$C$154</f>
        <v>15</v>
      </c>
      <c r="AC154" s="898">
        <v>1875</v>
      </c>
      <c r="AD154" s="898">
        <f>SUM(G154,I154,K154,M154,O154,Q154,S154,U154,W154,Y154,AA154,AC154)</f>
        <v>19875</v>
      </c>
      <c r="AF154" s="925">
        <f>(AB154+Z154+X154+V154+T154+R154+F154+H154+P154+N154+J154+L154)/12</f>
        <v>13.25</v>
      </c>
      <c r="AG154" s="923"/>
    </row>
    <row r="155" spans="1:33">
      <c r="A155" s="910">
        <v>151</v>
      </c>
      <c r="B155" s="830" t="s">
        <v>2688</v>
      </c>
      <c r="C155" s="934">
        <v>0.14330000000000001</v>
      </c>
      <c r="F155" s="899">
        <f>G155/$C$155</f>
        <v>170333.00767620376</v>
      </c>
      <c r="G155" s="898">
        <v>24408.720000000001</v>
      </c>
      <c r="H155" s="899">
        <f>I155/$C$155</f>
        <v>169902.93091416606</v>
      </c>
      <c r="I155" s="898">
        <v>24347.09</v>
      </c>
      <c r="J155" s="899">
        <f>K155/$C$155</f>
        <v>181763.01465457081</v>
      </c>
      <c r="K155" s="921">
        <v>26046.639999999999</v>
      </c>
      <c r="L155" s="899">
        <f>M155/$C$155</f>
        <v>151551.15143056522</v>
      </c>
      <c r="M155" s="898">
        <v>21717.279999999999</v>
      </c>
      <c r="N155" s="899">
        <f>O155/$C$155</f>
        <v>117090.02093510117</v>
      </c>
      <c r="O155" s="898">
        <v>16779</v>
      </c>
      <c r="P155" s="899">
        <f>Q155/$C$155</f>
        <v>105312.07257501743</v>
      </c>
      <c r="Q155" s="898">
        <v>15091.22</v>
      </c>
      <c r="R155" s="899">
        <f>S155/$C$155</f>
        <v>125141.03279832518</v>
      </c>
      <c r="S155" s="898">
        <v>17932.71</v>
      </c>
      <c r="T155" s="899">
        <f>U155/$C$155</f>
        <v>126370.96999302162</v>
      </c>
      <c r="U155" s="898">
        <v>18108.96</v>
      </c>
      <c r="V155" s="899">
        <f>W155/$C$155</f>
        <v>127059.03698534543</v>
      </c>
      <c r="W155" s="898">
        <v>18207.560000000001</v>
      </c>
      <c r="X155" s="899">
        <f>Y155/$C$155</f>
        <v>186718.91137473829</v>
      </c>
      <c r="Y155" s="898">
        <v>26756.82</v>
      </c>
      <c r="Z155" s="899">
        <f>AA155/$C$155</f>
        <v>186851.98883461268</v>
      </c>
      <c r="AA155" s="898">
        <v>26775.89</v>
      </c>
      <c r="AB155" s="899">
        <f>AC155/$C$155</f>
        <v>194349.05792044662</v>
      </c>
      <c r="AC155" s="898">
        <v>27850.22</v>
      </c>
      <c r="AD155" s="898">
        <f>SUM(G155,I155,K155,M155,O155,Q155,S155,U155,W155,Y155,AA155,AC155)</f>
        <v>264022.11</v>
      </c>
      <c r="AF155" s="923"/>
      <c r="AG155" s="923"/>
    </row>
    <row r="156" spans="1:33">
      <c r="A156" s="910">
        <v>152</v>
      </c>
      <c r="B156" s="910" t="s">
        <v>2689</v>
      </c>
      <c r="C156" s="934">
        <v>0.10983999999999999</v>
      </c>
      <c r="F156" s="899">
        <f>G156/$C$156</f>
        <v>160621.9956300073</v>
      </c>
      <c r="G156" s="898">
        <v>17642.72</v>
      </c>
      <c r="H156" s="899">
        <f>I156/$C$156</f>
        <v>156063.09176984706</v>
      </c>
      <c r="I156" s="898">
        <v>17141.97</v>
      </c>
      <c r="J156" s="899">
        <f>K156/$C$156</f>
        <v>162684.99635833941</v>
      </c>
      <c r="K156" s="921">
        <v>17869.32</v>
      </c>
      <c r="L156" s="899">
        <f>M156/$C$156</f>
        <v>171877.09395484341</v>
      </c>
      <c r="M156" s="898">
        <v>18878.98</v>
      </c>
      <c r="N156" s="899">
        <f>O156/$C$156</f>
        <v>141005.0072833212</v>
      </c>
      <c r="O156" s="898">
        <v>15487.99</v>
      </c>
      <c r="P156" s="899">
        <f>Q156/$C$156</f>
        <v>132192.91697013838</v>
      </c>
      <c r="Q156" s="898">
        <v>14520.07</v>
      </c>
      <c r="R156" s="899">
        <f>S156/$C$156</f>
        <v>130775.03641660597</v>
      </c>
      <c r="S156" s="898">
        <v>14364.33</v>
      </c>
      <c r="T156" s="899">
        <f>U156/$C$156</f>
        <v>168407.04661325566</v>
      </c>
      <c r="U156" s="898">
        <v>18497.830000000002</v>
      </c>
      <c r="V156" s="899">
        <f>W156/$C$156</f>
        <v>158643.93663510564</v>
      </c>
      <c r="W156" s="898">
        <v>17425.45</v>
      </c>
      <c r="X156" s="899">
        <f>Y156/$C$156</f>
        <v>202040.87764020392</v>
      </c>
      <c r="Y156" s="898">
        <v>22192.17</v>
      </c>
      <c r="Z156" s="899">
        <f>AA156/$C$156</f>
        <v>224683.99490167518</v>
      </c>
      <c r="AA156" s="898">
        <v>24679.29</v>
      </c>
      <c r="AB156" s="899">
        <f>AC156/$C$156</f>
        <v>150108.06627822286</v>
      </c>
      <c r="AC156" s="898">
        <v>16487.87</v>
      </c>
      <c r="AD156" s="898">
        <f>SUM(G156,I156,K156,M156,O156,Q156,S156,U156,W156,Y156,AA156,AC156)</f>
        <v>215187.99000000002</v>
      </c>
      <c r="AF156" s="923"/>
      <c r="AG156" s="923"/>
    </row>
    <row r="157" spans="1:33">
      <c r="A157" s="910">
        <v>153</v>
      </c>
      <c r="B157" s="830" t="s">
        <v>2889</v>
      </c>
      <c r="C157" s="934">
        <v>2.7089999999999999E-2</v>
      </c>
      <c r="F157" s="899">
        <f>G157/$C$157</f>
        <v>0</v>
      </c>
      <c r="H157" s="899">
        <f>I157/$C$157</f>
        <v>0</v>
      </c>
      <c r="J157" s="899">
        <f>K157/$C$157</f>
        <v>0</v>
      </c>
      <c r="K157" s="910"/>
      <c r="L157" s="899">
        <f>M157/$C$157</f>
        <v>15620.893318567738</v>
      </c>
      <c r="M157" s="898">
        <v>423.17</v>
      </c>
      <c r="N157" s="899">
        <f>O157/$C$157</f>
        <v>9565.1531930601705</v>
      </c>
      <c r="O157" s="898">
        <v>259.12</v>
      </c>
      <c r="P157" s="899">
        <f>Q157/$C$157</f>
        <v>37534.883720930236</v>
      </c>
      <c r="Q157" s="898">
        <v>1016.82</v>
      </c>
      <c r="R157" s="899">
        <f>S157/$C$157</f>
        <v>59310.815799187891</v>
      </c>
      <c r="S157" s="898">
        <v>1606.73</v>
      </c>
      <c r="T157" s="899">
        <f>U157/$C$157</f>
        <v>56877.07641196013</v>
      </c>
      <c r="U157" s="898">
        <v>1540.8</v>
      </c>
      <c r="V157" s="899">
        <f>W157/$C$157</f>
        <v>35145.07198228129</v>
      </c>
      <c r="W157" s="898">
        <v>952.08</v>
      </c>
      <c r="X157" s="899">
        <f>Y157/$C$157</f>
        <v>45427.094868955333</v>
      </c>
      <c r="Y157" s="898">
        <v>1230.6199999999999</v>
      </c>
      <c r="Z157" s="899">
        <f>AA157/$C$157</f>
        <v>75543.004798818758</v>
      </c>
      <c r="AA157" s="922">
        <v>2046.46</v>
      </c>
      <c r="AB157" s="899">
        <f>AC157/$C$157</f>
        <v>30410.114433370247</v>
      </c>
      <c r="AC157" s="898">
        <v>823.81</v>
      </c>
      <c r="AD157" s="898">
        <f>SUM(G157,I157,K157,M157,O157,Q157,S157,U157,W157,Y157,AA157,AC157)</f>
        <v>9899.6099999999988</v>
      </c>
    </row>
    <row r="158" spans="1:33">
      <c r="A158" s="910">
        <v>154</v>
      </c>
      <c r="B158" s="830" t="s">
        <v>2650</v>
      </c>
      <c r="C158" s="927"/>
      <c r="D158" s="927"/>
      <c r="E158" s="927"/>
      <c r="G158" s="898">
        <v>138835.64000000001</v>
      </c>
      <c r="I158" s="898">
        <v>136742.73000000001</v>
      </c>
      <c r="K158" s="921">
        <v>144495.94</v>
      </c>
      <c r="M158" s="898">
        <v>142231.06</v>
      </c>
      <c r="O158" s="898">
        <v>112283.37</v>
      </c>
      <c r="Q158" s="898">
        <v>115379.28</v>
      </c>
      <c r="S158" s="898">
        <v>132237.72000000003</v>
      </c>
      <c r="U158" s="898">
        <v>147519.26999999999</v>
      </c>
      <c r="W158" s="898">
        <v>134595.74</v>
      </c>
      <c r="Y158" s="898">
        <v>182141.47999999998</v>
      </c>
      <c r="AA158" s="898">
        <v>204911.89</v>
      </c>
      <c r="AC158" s="898">
        <v>158168.08000000002</v>
      </c>
      <c r="AD158" s="898">
        <f>SUM(G158:AC158)</f>
        <v>1749542.2000000002</v>
      </c>
      <c r="AF158" s="923"/>
      <c r="AG158" s="923"/>
    </row>
    <row r="159" spans="1:33">
      <c r="A159" s="910">
        <v>155</v>
      </c>
      <c r="B159" s="910" t="s">
        <v>2652</v>
      </c>
      <c r="C159" s="927"/>
      <c r="D159" s="927"/>
      <c r="E159" s="927"/>
      <c r="K159" s="910"/>
      <c r="M159" s="898">
        <v>7903.77</v>
      </c>
      <c r="O159" s="898">
        <v>19826.25</v>
      </c>
      <c r="Q159" s="898">
        <v>20944.29</v>
      </c>
      <c r="S159" s="898">
        <v>24004.520000000004</v>
      </c>
      <c r="U159" s="898">
        <v>26778.53</v>
      </c>
      <c r="W159" s="898">
        <v>24432.57</v>
      </c>
      <c r="Y159" s="898">
        <v>33063.350000000006</v>
      </c>
      <c r="AA159" s="898">
        <v>51034.21</v>
      </c>
      <c r="AC159" s="898">
        <v>50371.040000000001</v>
      </c>
      <c r="AD159" s="898">
        <f t="shared" ref="AD159:AD177" si="9">SUM(G159:AC159)</f>
        <v>258358.53</v>
      </c>
      <c r="AF159" s="923"/>
      <c r="AG159" s="923"/>
    </row>
    <row r="160" spans="1:33">
      <c r="A160" s="910">
        <v>156</v>
      </c>
      <c r="B160" s="830" t="s">
        <v>2653</v>
      </c>
      <c r="G160" s="898">
        <v>475.87</v>
      </c>
      <c r="I160" s="898">
        <v>469.39</v>
      </c>
      <c r="K160" s="921">
        <v>496.01</v>
      </c>
      <c r="M160" s="898">
        <v>488.23</v>
      </c>
      <c r="O160" s="898">
        <v>385.43</v>
      </c>
      <c r="Q160" s="898">
        <v>396.08000000000004</v>
      </c>
      <c r="S160" s="898">
        <v>453.92</v>
      </c>
      <c r="U160" s="898">
        <v>506.38</v>
      </c>
      <c r="W160" s="898">
        <v>462.02</v>
      </c>
      <c r="Y160" s="898">
        <v>625.22</v>
      </c>
      <c r="AA160" s="898">
        <v>694.34</v>
      </c>
      <c r="AC160" s="898">
        <v>528.74999999999989</v>
      </c>
      <c r="AD160" s="898">
        <f t="shared" si="9"/>
        <v>5981.64</v>
      </c>
      <c r="AF160" s="923"/>
      <c r="AG160" s="923"/>
    </row>
    <row r="161" spans="1:33">
      <c r="A161" s="910">
        <v>157</v>
      </c>
      <c r="B161" s="830" t="s">
        <v>2654</v>
      </c>
      <c r="G161" s="898">
        <v>1565.44</v>
      </c>
      <c r="I161" s="898">
        <v>1541.81</v>
      </c>
      <c r="K161" s="898">
        <v>1629.23</v>
      </c>
      <c r="M161" s="898">
        <v>1603.72</v>
      </c>
      <c r="O161" s="898">
        <v>1266.03</v>
      </c>
      <c r="Q161" s="898">
        <v>1300.9299999999998</v>
      </c>
      <c r="S161" s="898">
        <v>1491.0300000000002</v>
      </c>
      <c r="U161" s="898">
        <v>1663.35</v>
      </c>
      <c r="W161" s="898">
        <v>1517.62</v>
      </c>
      <c r="Y161" s="898">
        <v>2053.6999999999998</v>
      </c>
      <c r="AA161" s="898">
        <v>2527.8199999999997</v>
      </c>
      <c r="AC161" s="898">
        <v>2123.64</v>
      </c>
      <c r="AD161" s="898">
        <f t="shared" si="9"/>
        <v>20284.32</v>
      </c>
      <c r="AF161" s="923"/>
      <c r="AG161" s="923"/>
    </row>
    <row r="162" spans="1:33">
      <c r="A162" s="910">
        <v>158</v>
      </c>
      <c r="B162" s="830" t="s">
        <v>2655</v>
      </c>
      <c r="G162" s="898">
        <v>-16772.8</v>
      </c>
      <c r="I162" s="898">
        <v>-16519.95</v>
      </c>
      <c r="K162" s="921">
        <v>-17456.63</v>
      </c>
      <c r="M162" s="898">
        <v>-17182.990000000002</v>
      </c>
      <c r="O162" s="898">
        <v>-13565</v>
      </c>
      <c r="Q162" s="898">
        <v>-13939.02</v>
      </c>
      <c r="S162" s="898">
        <v>-15975.72</v>
      </c>
      <c r="U162" s="898">
        <v>-17821.87</v>
      </c>
      <c r="W162" s="898">
        <v>-16260.58</v>
      </c>
      <c r="Y162" s="898">
        <v>-22004.59</v>
      </c>
      <c r="AA162" s="898">
        <v>-17344.699999999997</v>
      </c>
      <c r="AC162" s="898">
        <v>-7508.37</v>
      </c>
      <c r="AD162" s="898">
        <f t="shared" si="9"/>
        <v>-192352.21999999997</v>
      </c>
      <c r="AF162" s="923"/>
      <c r="AG162" s="923"/>
    </row>
    <row r="163" spans="1:33">
      <c r="A163" s="910">
        <v>159</v>
      </c>
      <c r="B163" s="830" t="s">
        <v>2656</v>
      </c>
      <c r="G163" s="898">
        <v>2561.6</v>
      </c>
      <c r="I163" s="898">
        <v>2522.98</v>
      </c>
      <c r="K163" s="921">
        <v>2666.01</v>
      </c>
      <c r="M163" s="898">
        <v>2624.24</v>
      </c>
      <c r="O163" s="898">
        <v>2071.67</v>
      </c>
      <c r="Q163" s="898">
        <v>2128.81</v>
      </c>
      <c r="S163" s="898">
        <v>2439.8599999999997</v>
      </c>
      <c r="U163" s="898">
        <v>2721.8199999999997</v>
      </c>
      <c r="W163" s="898">
        <v>2483.38</v>
      </c>
      <c r="Y163" s="898">
        <v>3360.6000000000004</v>
      </c>
      <c r="AA163" s="898">
        <v>1945.5</v>
      </c>
      <c r="AC163" s="898">
        <v>45.589999999999996</v>
      </c>
      <c r="AD163" s="898">
        <f t="shared" si="9"/>
        <v>27572.06</v>
      </c>
      <c r="AF163" s="923"/>
      <c r="AG163" s="923"/>
    </row>
    <row r="164" spans="1:33">
      <c r="A164" s="910">
        <v>160</v>
      </c>
      <c r="B164" s="830" t="s">
        <v>2657</v>
      </c>
      <c r="G164" s="898">
        <v>9114.49</v>
      </c>
      <c r="I164" s="898">
        <v>8977.1</v>
      </c>
      <c r="K164" s="921">
        <v>9486.09</v>
      </c>
      <c r="M164" s="898">
        <v>9337.4</v>
      </c>
      <c r="O164" s="898">
        <v>7371.35</v>
      </c>
      <c r="Q164" s="898">
        <v>7574.6</v>
      </c>
      <c r="S164" s="898">
        <v>8681.35</v>
      </c>
      <c r="U164" s="898">
        <v>9684.58</v>
      </c>
      <c r="W164" s="898">
        <v>8836.16</v>
      </c>
      <c r="Y164" s="898">
        <v>11957.51</v>
      </c>
      <c r="AA164" s="898">
        <v>13121.880000000001</v>
      </c>
      <c r="AC164" s="898">
        <v>9866.3000000000011</v>
      </c>
      <c r="AD164" s="898">
        <f t="shared" si="9"/>
        <v>114008.81</v>
      </c>
      <c r="AF164" s="923"/>
      <c r="AG164" s="923"/>
    </row>
    <row r="165" spans="1:33">
      <c r="A165" s="910">
        <v>161</v>
      </c>
      <c r="B165" s="895" t="s">
        <v>2658</v>
      </c>
      <c r="G165" s="898">
        <v>-946.53</v>
      </c>
      <c r="I165" s="898">
        <v>-932.25</v>
      </c>
      <c r="K165" s="921">
        <v>-985.12</v>
      </c>
      <c r="M165" s="898">
        <v>-969.66</v>
      </c>
      <c r="O165" s="898">
        <v>-765.52</v>
      </c>
      <c r="Q165" s="898">
        <v>-786.61</v>
      </c>
      <c r="S165" s="898">
        <v>-901.55</v>
      </c>
      <c r="U165" s="898">
        <v>-1005.74</v>
      </c>
      <c r="W165" s="898">
        <v>-917.62</v>
      </c>
      <c r="Y165" s="898">
        <v>-1241.79</v>
      </c>
      <c r="AA165" s="898">
        <v>-1475.5800000000004</v>
      </c>
      <c r="AC165" s="898">
        <v>-1201.27</v>
      </c>
      <c r="AD165" s="898">
        <f t="shared" si="9"/>
        <v>-12129.24</v>
      </c>
      <c r="AF165" s="923"/>
      <c r="AG165" s="923"/>
    </row>
    <row r="166" spans="1:33">
      <c r="A166" s="910">
        <v>162</v>
      </c>
      <c r="B166" s="895" t="s">
        <v>2659</v>
      </c>
      <c r="G166" s="898">
        <v>-440.18</v>
      </c>
      <c r="I166" s="898">
        <v>-433.54</v>
      </c>
      <c r="K166" s="921">
        <v>-458.14</v>
      </c>
      <c r="M166" s="898">
        <v>-450.93</v>
      </c>
      <c r="O166" s="898">
        <v>-355.98</v>
      </c>
      <c r="Q166" s="898">
        <v>-365.8</v>
      </c>
      <c r="S166" s="898">
        <v>-419.24</v>
      </c>
      <c r="U166" s="898">
        <v>-467.7</v>
      </c>
      <c r="W166" s="898">
        <v>-426.71000000000004</v>
      </c>
      <c r="Y166" s="898">
        <v>-577.47</v>
      </c>
      <c r="AA166" s="898">
        <v>-616.4899999999999</v>
      </c>
      <c r="AC166" s="898">
        <v>-449.51000000000005</v>
      </c>
      <c r="AD166" s="898">
        <f t="shared" si="9"/>
        <v>-5461.6900000000005</v>
      </c>
      <c r="AF166" s="923"/>
      <c r="AG166" s="923"/>
    </row>
    <row r="167" spans="1:33">
      <c r="A167" s="910">
        <v>163</v>
      </c>
      <c r="B167" s="895" t="s">
        <v>2660</v>
      </c>
      <c r="G167" s="898">
        <v>-804.22</v>
      </c>
      <c r="I167" s="898">
        <v>-792.11</v>
      </c>
      <c r="K167" s="921">
        <v>-837.02</v>
      </c>
      <c r="M167" s="898">
        <v>-823.89</v>
      </c>
      <c r="O167" s="898">
        <v>-650.39</v>
      </c>
      <c r="Q167" s="898">
        <v>-668.33999999999992</v>
      </c>
      <c r="S167" s="898">
        <v>-766.02</v>
      </c>
      <c r="U167" s="898">
        <v>-854.50000000000011</v>
      </c>
      <c r="W167" s="898">
        <v>-779.63999999999987</v>
      </c>
      <c r="Y167" s="898">
        <v>-1055.07</v>
      </c>
      <c r="AA167" s="898">
        <v>-610.78</v>
      </c>
      <c r="AC167" s="898">
        <v>-14.319999999999999</v>
      </c>
      <c r="AD167" s="898">
        <f t="shared" si="9"/>
        <v>-8656.2999999999993</v>
      </c>
      <c r="AF167" s="923"/>
      <c r="AG167" s="923"/>
    </row>
    <row r="168" spans="1:33">
      <c r="A168" s="910">
        <v>164</v>
      </c>
      <c r="B168" s="830" t="s">
        <v>2661</v>
      </c>
      <c r="G168" s="898">
        <v>6362.1</v>
      </c>
      <c r="I168" s="898">
        <v>6122.14</v>
      </c>
      <c r="K168" s="921">
        <v>6692.77</v>
      </c>
      <c r="M168" s="910">
        <v>6861.54</v>
      </c>
      <c r="O168" s="898">
        <v>4560.57</v>
      </c>
      <c r="Q168" s="898">
        <v>3973.38</v>
      </c>
      <c r="S168" s="898">
        <v>3575.33</v>
      </c>
      <c r="U168" s="898">
        <v>4663.3499999999995</v>
      </c>
      <c r="W168" s="898">
        <v>4822.88</v>
      </c>
      <c r="Y168" s="898">
        <v>6874.05</v>
      </c>
      <c r="AA168" s="898">
        <v>12879.180000000002</v>
      </c>
      <c r="AC168" s="898">
        <v>9160.8000000000011</v>
      </c>
      <c r="AD168" s="898">
        <f t="shared" si="9"/>
        <v>76548.090000000011</v>
      </c>
      <c r="AF168" s="923"/>
      <c r="AG168" s="923"/>
    </row>
    <row r="169" spans="1:33">
      <c r="A169" s="910">
        <v>165</v>
      </c>
      <c r="B169" s="830" t="s">
        <v>2676</v>
      </c>
      <c r="G169" s="898">
        <v>119.63</v>
      </c>
      <c r="I169" s="898">
        <v>169.34</v>
      </c>
      <c r="K169" s="921">
        <v>134.6</v>
      </c>
      <c r="M169" s="910"/>
      <c r="O169" s="910"/>
      <c r="S169" s="898">
        <v>0</v>
      </c>
      <c r="AD169" s="898">
        <f t="shared" si="9"/>
        <v>423.57000000000005</v>
      </c>
    </row>
    <row r="170" spans="1:33">
      <c r="A170" s="910">
        <v>166</v>
      </c>
      <c r="B170" s="830" t="s">
        <v>2665</v>
      </c>
      <c r="G170" s="898">
        <v>470.82</v>
      </c>
      <c r="I170" s="898">
        <v>531.49</v>
      </c>
      <c r="K170" s="898">
        <v>607.12</v>
      </c>
      <c r="M170" s="898">
        <v>303.54000000000002</v>
      </c>
      <c r="O170" s="910">
        <v>231.02</v>
      </c>
      <c r="Q170" s="898">
        <v>118.6</v>
      </c>
      <c r="S170" s="898">
        <v>153.61000000000001</v>
      </c>
      <c r="U170" s="898">
        <v>130.4</v>
      </c>
      <c r="W170" s="898">
        <v>140.55000000000001</v>
      </c>
      <c r="Y170" s="898">
        <v>261.83</v>
      </c>
      <c r="AA170" s="898">
        <v>434.98</v>
      </c>
      <c r="AC170" s="898">
        <v>642.22</v>
      </c>
      <c r="AD170" s="898">
        <f t="shared" si="9"/>
        <v>4026.1800000000003</v>
      </c>
      <c r="AF170" s="923"/>
    </row>
    <row r="171" spans="1:33">
      <c r="A171" s="910">
        <v>167</v>
      </c>
      <c r="B171" s="830" t="s">
        <v>2677</v>
      </c>
      <c r="C171" s="927"/>
      <c r="D171" s="927"/>
      <c r="E171" s="927"/>
      <c r="K171" s="910"/>
      <c r="M171" s="910"/>
      <c r="O171" s="910"/>
      <c r="S171" s="898">
        <v>-268.69</v>
      </c>
      <c r="U171" s="898">
        <v>-650.2700000000001</v>
      </c>
      <c r="W171" s="898">
        <v>-6503.0699999999988</v>
      </c>
      <c r="Y171" s="898">
        <v>-13279.660000000002</v>
      </c>
      <c r="AA171" s="898">
        <v>-1620.4199999999996</v>
      </c>
      <c r="AC171" s="898">
        <v>-4533.4800000000005</v>
      </c>
      <c r="AD171" s="898">
        <f t="shared" si="9"/>
        <v>-26855.59</v>
      </c>
    </row>
    <row r="172" spans="1:33">
      <c r="A172" s="910">
        <v>168</v>
      </c>
      <c r="B172" s="830" t="s">
        <v>2662</v>
      </c>
      <c r="C172" s="927"/>
      <c r="D172" s="927"/>
      <c r="E172" s="927"/>
      <c r="K172" s="921"/>
      <c r="S172" s="898">
        <v>0</v>
      </c>
      <c r="AD172" s="898">
        <f t="shared" si="9"/>
        <v>0</v>
      </c>
      <c r="AG172" s="923"/>
    </row>
    <row r="173" spans="1:33">
      <c r="A173" s="910">
        <v>169</v>
      </c>
      <c r="B173" s="830" t="s">
        <v>2664</v>
      </c>
      <c r="C173" s="927"/>
      <c r="D173" s="927"/>
      <c r="E173" s="927"/>
      <c r="G173" s="898">
        <v>-4.82</v>
      </c>
      <c r="I173" s="898">
        <v>-5.47</v>
      </c>
      <c r="K173" s="921">
        <v>-243.33</v>
      </c>
      <c r="M173" s="898">
        <v>-260.29000000000002</v>
      </c>
      <c r="O173" s="910">
        <v>-379.05</v>
      </c>
      <c r="Q173" s="898">
        <v>-442.27</v>
      </c>
      <c r="S173" s="898">
        <v>-393.96</v>
      </c>
      <c r="U173" s="898">
        <v>-529.19000000000005</v>
      </c>
      <c r="W173" s="898">
        <v>-507.11</v>
      </c>
      <c r="Y173" s="898">
        <v>-606.29999999999995</v>
      </c>
      <c r="AA173" s="898">
        <v>-494.6</v>
      </c>
      <c r="AC173" s="898">
        <v>-602.59</v>
      </c>
      <c r="AD173" s="898">
        <f t="shared" si="9"/>
        <v>-4468.9799999999996</v>
      </c>
      <c r="AG173" s="923"/>
    </row>
    <row r="174" spans="1:33">
      <c r="A174" s="910">
        <v>170</v>
      </c>
      <c r="B174" s="830" t="s">
        <v>2884</v>
      </c>
      <c r="C174" s="927">
        <f>G174/F154</f>
        <v>14170.267692307696</v>
      </c>
      <c r="D174" s="927"/>
      <c r="E174" s="927"/>
      <c r="G174" s="898">
        <f>SUM(G154:G173)</f>
        <v>184213.48000000004</v>
      </c>
      <c r="H174" s="898"/>
      <c r="I174" s="898">
        <f>SUM(I154:I173)</f>
        <v>181507.72000000003</v>
      </c>
      <c r="J174" s="898"/>
      <c r="K174" s="898">
        <f>SUM(K154:K173)</f>
        <v>191768.49000000002</v>
      </c>
      <c r="L174" s="898"/>
      <c r="M174" s="898">
        <f>SUM(M154:M173)</f>
        <v>194310.16999999998</v>
      </c>
      <c r="N174" s="898"/>
      <c r="O174" s="898">
        <f>SUM(O154:O173)</f>
        <v>166180.85999999999</v>
      </c>
      <c r="P174" s="898"/>
      <c r="Q174" s="898">
        <f>SUM(Q154:Q173)</f>
        <v>167617.04000000007</v>
      </c>
      <c r="R174" s="898"/>
      <c r="S174" s="898">
        <f>SUM(S154:S173)</f>
        <v>189840.93000000008</v>
      </c>
      <c r="T174" s="898"/>
      <c r="U174" s="898">
        <f>SUM(U154:U173)</f>
        <v>212236</v>
      </c>
      <c r="V174" s="898"/>
      <c r="W174" s="898">
        <f>SUM(W154:W173)</f>
        <v>190231.28</v>
      </c>
      <c r="X174" s="898"/>
      <c r="Y174" s="898">
        <f>SUM(Y154:Y173)</f>
        <v>253502.46999999994</v>
      </c>
      <c r="Z174" s="898"/>
      <c r="AA174" s="898">
        <f>SUM(AA154:AA173)</f>
        <v>320763.87000000005</v>
      </c>
      <c r="AB174" s="898"/>
      <c r="AC174" s="898">
        <f>SUM(AC154:AC173)</f>
        <v>263633.77999999997</v>
      </c>
      <c r="AD174" s="898">
        <f t="shared" si="9"/>
        <v>2515806.0900000003</v>
      </c>
    </row>
    <row r="175" spans="1:33">
      <c r="A175" s="910">
        <v>171</v>
      </c>
      <c r="B175" s="830" t="s">
        <v>2514</v>
      </c>
      <c r="C175" s="928"/>
      <c r="D175" s="928"/>
      <c r="E175" s="928"/>
      <c r="F175" s="928"/>
      <c r="G175" s="937"/>
      <c r="H175" s="926"/>
      <c r="I175" s="924"/>
      <c r="J175" s="926"/>
      <c r="K175" s="899"/>
      <c r="L175" s="928"/>
      <c r="M175" s="924"/>
      <c r="N175" s="926"/>
      <c r="O175" s="924"/>
      <c r="P175" s="926"/>
      <c r="Q175" s="924">
        <v>275040</v>
      </c>
      <c r="R175" s="924"/>
      <c r="S175" s="924">
        <v>315227</v>
      </c>
      <c r="T175" s="924"/>
      <c r="U175" s="924">
        <v>351655</v>
      </c>
      <c r="V175" s="924"/>
      <c r="W175" s="899">
        <v>320848</v>
      </c>
      <c r="Y175" s="924">
        <v>434187</v>
      </c>
      <c r="Z175" s="924"/>
      <c r="AA175" s="924">
        <v>487079</v>
      </c>
      <c r="AB175" s="924"/>
      <c r="AC175" s="924">
        <v>374867</v>
      </c>
      <c r="AD175" s="928">
        <f t="shared" si="9"/>
        <v>2558903</v>
      </c>
      <c r="AF175" s="938"/>
    </row>
    <row r="176" spans="1:33">
      <c r="A176" s="910">
        <v>172</v>
      </c>
      <c r="B176" s="910" t="s">
        <v>2885</v>
      </c>
      <c r="C176" s="928"/>
      <c r="D176" s="928"/>
      <c r="E176" s="928"/>
      <c r="F176" s="928"/>
      <c r="G176" s="928"/>
      <c r="H176" s="928"/>
      <c r="I176" s="928"/>
      <c r="J176" s="928"/>
      <c r="K176" s="928"/>
      <c r="L176" s="928"/>
      <c r="M176" s="928"/>
      <c r="N176" s="928"/>
      <c r="O176" s="928"/>
      <c r="P176" s="928"/>
      <c r="Q176" s="899"/>
      <c r="S176" s="899">
        <v>-30</v>
      </c>
      <c r="U176" s="899">
        <v>-843</v>
      </c>
      <c r="W176" s="899">
        <v>-10236</v>
      </c>
      <c r="Y176" s="899">
        <v>-20911</v>
      </c>
      <c r="AA176" s="899">
        <v>-2163</v>
      </c>
      <c r="AC176" s="899">
        <v>-6209</v>
      </c>
      <c r="AD176" s="928">
        <f t="shared" si="9"/>
        <v>-40392</v>
      </c>
    </row>
    <row r="177" spans="1:32">
      <c r="A177" s="910">
        <v>173</v>
      </c>
      <c r="B177" s="910" t="s">
        <v>2886</v>
      </c>
      <c r="C177" s="928"/>
      <c r="D177" s="928"/>
      <c r="E177" s="928"/>
      <c r="F177" s="928"/>
      <c r="G177" s="924">
        <f>SUM(G175:G176)</f>
        <v>0</v>
      </c>
      <c r="H177" s="926">
        <f>SUM(H175:H176)</f>
        <v>0</v>
      </c>
      <c r="I177" s="924">
        <f>SUM(I175:I176)</f>
        <v>0</v>
      </c>
      <c r="J177" s="926"/>
      <c r="K177" s="924">
        <f>SUM(K175:K176)</f>
        <v>0</v>
      </c>
      <c r="L177" s="926"/>
      <c r="M177" s="924">
        <f>SUM(M175:M176)</f>
        <v>0</v>
      </c>
      <c r="N177" s="926"/>
      <c r="O177" s="924">
        <f>SUM(O175:O176)</f>
        <v>0</v>
      </c>
      <c r="P177" s="926"/>
      <c r="Q177" s="924">
        <f>SUM(Q175:Q176)</f>
        <v>275040</v>
      </c>
      <c r="R177" s="924"/>
      <c r="S177" s="924">
        <f>SUM(S175:S176)</f>
        <v>315197</v>
      </c>
      <c r="T177" s="924"/>
      <c r="U177" s="924">
        <f>SUM(U175:U176)</f>
        <v>350812</v>
      </c>
      <c r="V177" s="924"/>
      <c r="W177" s="924">
        <f>SUM(W175:W176)</f>
        <v>310612</v>
      </c>
      <c r="X177" s="924"/>
      <c r="Y177" s="924">
        <f>SUM(Y175:Y176)</f>
        <v>413276</v>
      </c>
      <c r="Z177" s="924"/>
      <c r="AA177" s="924">
        <f>SUM(AA175:AA176)</f>
        <v>484916</v>
      </c>
      <c r="AB177" s="924"/>
      <c r="AC177" s="924">
        <f>SUM(AC175:AC176)</f>
        <v>368658</v>
      </c>
      <c r="AD177" s="928">
        <f t="shared" si="9"/>
        <v>2518511</v>
      </c>
      <c r="AF177" s="938"/>
    </row>
    <row r="178" spans="1:32">
      <c r="A178" s="910">
        <v>174</v>
      </c>
      <c r="B178" s="830"/>
    </row>
    <row r="179" spans="1:32">
      <c r="A179" s="910">
        <v>175</v>
      </c>
      <c r="B179" s="918" t="s">
        <v>2700</v>
      </c>
    </row>
    <row r="180" spans="1:32">
      <c r="A180" s="910">
        <v>176</v>
      </c>
      <c r="B180" s="910" t="s">
        <v>2462</v>
      </c>
      <c r="C180" s="898">
        <v>60</v>
      </c>
      <c r="D180" s="898"/>
      <c r="E180" s="898"/>
      <c r="F180" s="899">
        <f>G180/$C$180</f>
        <v>1</v>
      </c>
      <c r="G180" s="922">
        <v>60</v>
      </c>
      <c r="H180" s="899">
        <f>I180/$C$180</f>
        <v>1</v>
      </c>
      <c r="I180" s="922">
        <v>60</v>
      </c>
      <c r="J180" s="899">
        <f>K180/$C$180</f>
        <v>1</v>
      </c>
      <c r="K180" s="922">
        <v>60</v>
      </c>
      <c r="L180" s="899">
        <f>M180/$C$180</f>
        <v>1</v>
      </c>
      <c r="M180" s="922">
        <v>60</v>
      </c>
      <c r="N180" s="899">
        <f>O180/$C$180</f>
        <v>1</v>
      </c>
      <c r="O180" s="898">
        <v>60</v>
      </c>
      <c r="P180" s="899">
        <f>Q180/$C$180</f>
        <v>1</v>
      </c>
      <c r="Q180" s="922">
        <v>60</v>
      </c>
      <c r="R180" s="899">
        <f>S180/$C$180</f>
        <v>1</v>
      </c>
      <c r="S180" s="922">
        <v>60</v>
      </c>
      <c r="T180" s="899">
        <f>U180/$C$180</f>
        <v>1</v>
      </c>
      <c r="U180" s="922">
        <v>60</v>
      </c>
      <c r="V180" s="899">
        <f>W180/$C$180</f>
        <v>1</v>
      </c>
      <c r="W180" s="923">
        <v>60</v>
      </c>
      <c r="X180" s="899">
        <f>Y180/$C$180</f>
        <v>1</v>
      </c>
      <c r="Y180" s="922">
        <v>60</v>
      </c>
      <c r="Z180" s="899">
        <f>AA180/$C$180</f>
        <v>1</v>
      </c>
      <c r="AA180" s="922">
        <v>60</v>
      </c>
      <c r="AB180" s="899">
        <f>AC180/$C$180</f>
        <v>1</v>
      </c>
      <c r="AC180" s="922">
        <v>60</v>
      </c>
      <c r="AD180" s="898">
        <f>SUM(G180,I180,K180,M180,O180,Q180,S180,U180,W180,Y180,AA180,AC180)</f>
        <v>720</v>
      </c>
    </row>
    <row r="181" spans="1:32">
      <c r="A181" s="910">
        <v>177</v>
      </c>
      <c r="B181" s="910" t="s">
        <v>2681</v>
      </c>
      <c r="C181" s="910">
        <v>0.17851</v>
      </c>
      <c r="F181" s="899">
        <f>G181/$C$181</f>
        <v>78.987171587025941</v>
      </c>
      <c r="G181" s="922">
        <v>14.1</v>
      </c>
      <c r="H181" s="899">
        <f>I181/$C$181</f>
        <v>7.0024088286370514</v>
      </c>
      <c r="I181" s="922">
        <v>1.25</v>
      </c>
      <c r="J181" s="899">
        <f>K181/$C$181</f>
        <v>0</v>
      </c>
      <c r="L181" s="899">
        <f>M181/$C$181</f>
        <v>0</v>
      </c>
      <c r="M181" s="922"/>
      <c r="N181" s="899">
        <f>O181/$C$181</f>
        <v>128.00403338748529</v>
      </c>
      <c r="O181" s="898">
        <v>22.85</v>
      </c>
      <c r="P181" s="899">
        <f>Q181/$C$181</f>
        <v>151.02795361604393</v>
      </c>
      <c r="Q181" s="898">
        <v>26.96</v>
      </c>
      <c r="R181" s="899">
        <f>S181/$C$181</f>
        <v>0</v>
      </c>
      <c r="S181" s="922"/>
      <c r="T181" s="899">
        <f>U181/$C$181</f>
        <v>163.01607753067054</v>
      </c>
      <c r="U181" s="898">
        <v>29.1</v>
      </c>
      <c r="V181" s="899">
        <f>W181/$C$181</f>
        <v>0</v>
      </c>
      <c r="W181" s="923"/>
      <c r="X181" s="899">
        <f>Y181/$C$181</f>
        <v>411.01338860568035</v>
      </c>
      <c r="Y181" s="922">
        <v>73.37</v>
      </c>
      <c r="Z181" s="899">
        <f>AA181/$C$181</f>
        <v>317.01305249005662</v>
      </c>
      <c r="AA181" s="922">
        <v>56.59</v>
      </c>
      <c r="AB181" s="899">
        <f>AC181/$C$181</f>
        <v>491.00890706403004</v>
      </c>
      <c r="AC181" s="922">
        <v>87.65</v>
      </c>
      <c r="AD181" s="898">
        <f>SUM(G181,I181,K181,M181,O181,Q181,S181,U181,W181,Y181,AA181,AC181)</f>
        <v>311.87</v>
      </c>
    </row>
    <row r="182" spans="1:32">
      <c r="A182" s="910">
        <v>178</v>
      </c>
      <c r="B182" s="910" t="s">
        <v>2682</v>
      </c>
      <c r="C182" s="910">
        <v>0.14457</v>
      </c>
      <c r="F182" s="899">
        <f>G182/$C$182</f>
        <v>229.23151414539669</v>
      </c>
      <c r="G182" s="898">
        <v>33.14</v>
      </c>
      <c r="H182" s="899">
        <f>I182/$C$182</f>
        <v>20.33616932973646</v>
      </c>
      <c r="I182" s="922">
        <v>2.94</v>
      </c>
      <c r="J182" s="899">
        <f>K182/$C$182</f>
        <v>0</v>
      </c>
      <c r="L182" s="899">
        <f>M182/$C$182</f>
        <v>0</v>
      </c>
      <c r="N182" s="899">
        <f>O182/$C$182</f>
        <v>371.44635816559452</v>
      </c>
      <c r="O182" s="898">
        <v>53.7</v>
      </c>
      <c r="P182" s="899">
        <f>Q182/$C$182</f>
        <v>0</v>
      </c>
      <c r="R182" s="899">
        <f>S182/$C$182</f>
        <v>0</v>
      </c>
      <c r="T182" s="899">
        <f>U182/$C$182</f>
        <v>0</v>
      </c>
      <c r="U182" s="898">
        <v>0</v>
      </c>
      <c r="V182" s="899">
        <f>W182/$C$182</f>
        <v>0</v>
      </c>
      <c r="X182" s="899">
        <f>Y182/$C$182</f>
        <v>0</v>
      </c>
      <c r="Y182" s="898">
        <v>0</v>
      </c>
      <c r="Z182" s="899">
        <f>AA182/$C$182</f>
        <v>0</v>
      </c>
      <c r="AA182" s="898">
        <v>0</v>
      </c>
      <c r="AB182" s="899">
        <f>AC182/$C$182</f>
        <v>0</v>
      </c>
      <c r="AD182" s="898">
        <f>SUM(G182,I182,K182,M182,O182,Q182,S182,U182,W182,Y182,AA182,AC182)</f>
        <v>89.78</v>
      </c>
    </row>
    <row r="183" spans="1:32">
      <c r="A183" s="910">
        <v>179</v>
      </c>
      <c r="B183" s="910" t="s">
        <v>2650</v>
      </c>
      <c r="C183" s="927"/>
      <c r="D183" s="927"/>
      <c r="E183" s="927"/>
      <c r="G183" s="922">
        <v>0.13</v>
      </c>
      <c r="H183" s="924"/>
      <c r="I183" s="922">
        <v>0.01</v>
      </c>
      <c r="J183" s="924"/>
      <c r="M183" s="922"/>
      <c r="N183" s="924"/>
      <c r="O183" s="898">
        <v>9.75</v>
      </c>
      <c r="Q183" s="898">
        <v>63.34</v>
      </c>
      <c r="S183" s="922"/>
      <c r="T183" s="924"/>
      <c r="U183" s="898">
        <v>68.38</v>
      </c>
      <c r="W183" s="923"/>
      <c r="X183" s="925"/>
      <c r="Y183" s="922">
        <v>172.41</v>
      </c>
      <c r="Z183" s="924"/>
      <c r="AA183" s="922">
        <v>132.97999999999999</v>
      </c>
      <c r="AB183" s="924"/>
      <c r="AC183" s="922">
        <v>207.19</v>
      </c>
      <c r="AD183" s="898">
        <f>SUM(G183:AC183)</f>
        <v>654.19000000000005</v>
      </c>
    </row>
    <row r="184" spans="1:32">
      <c r="A184" s="910">
        <v>180</v>
      </c>
      <c r="B184" s="910" t="s">
        <v>2652</v>
      </c>
      <c r="C184" s="927"/>
      <c r="D184" s="927"/>
      <c r="E184" s="927"/>
      <c r="G184" s="922"/>
      <c r="H184" s="924"/>
      <c r="I184" s="922"/>
      <c r="J184" s="924"/>
      <c r="M184" s="922"/>
      <c r="N184" s="924"/>
      <c r="Q184" s="898">
        <v>11.5</v>
      </c>
      <c r="S184" s="922"/>
      <c r="T184" s="924"/>
      <c r="U184" s="898">
        <v>12.41</v>
      </c>
      <c r="W184" s="923"/>
      <c r="X184" s="925"/>
      <c r="Y184" s="922">
        <v>31.3</v>
      </c>
      <c r="Z184" s="924"/>
      <c r="AA184" s="922">
        <v>24.14</v>
      </c>
      <c r="AB184" s="924"/>
      <c r="AC184" s="922">
        <v>66.430000000000007</v>
      </c>
      <c r="AD184" s="898">
        <f>SUM(G184:AC184)</f>
        <v>145.78</v>
      </c>
    </row>
    <row r="185" spans="1:32">
      <c r="A185" s="910">
        <v>181</v>
      </c>
      <c r="B185" s="910" t="s">
        <v>2653</v>
      </c>
      <c r="C185" s="927"/>
      <c r="D185" s="927"/>
      <c r="E185" s="927"/>
      <c r="G185" s="922">
        <v>0.54</v>
      </c>
      <c r="H185" s="924"/>
      <c r="I185" s="922">
        <v>0.05</v>
      </c>
      <c r="J185" s="924"/>
      <c r="M185" s="922"/>
      <c r="N185" s="924"/>
      <c r="O185" s="898">
        <v>0.22</v>
      </c>
      <c r="Q185" s="898">
        <v>0.26</v>
      </c>
      <c r="S185" s="922"/>
      <c r="T185" s="924"/>
      <c r="U185" s="898">
        <v>0.28000000000000003</v>
      </c>
      <c r="W185" s="923"/>
      <c r="X185" s="925"/>
      <c r="Y185" s="922">
        <v>0.7</v>
      </c>
      <c r="Z185" s="924"/>
      <c r="AA185" s="922">
        <v>0.54</v>
      </c>
      <c r="AB185" s="924"/>
      <c r="AC185" s="922">
        <v>0.82</v>
      </c>
      <c r="AD185" s="898">
        <f t="shared" ref="AD185:AD196" si="10">SUM(G185:AC185)</f>
        <v>3.4099999999999997</v>
      </c>
    </row>
    <row r="186" spans="1:32">
      <c r="A186" s="910">
        <v>182</v>
      </c>
      <c r="B186" s="910" t="s">
        <v>2654</v>
      </c>
      <c r="G186" s="922">
        <v>0.25</v>
      </c>
      <c r="H186" s="924"/>
      <c r="I186" s="922">
        <v>0.02</v>
      </c>
      <c r="J186" s="924"/>
      <c r="M186" s="922"/>
      <c r="N186" s="924"/>
      <c r="O186" s="898">
        <v>0.88</v>
      </c>
      <c r="Q186" s="898">
        <v>1.03</v>
      </c>
      <c r="S186" s="922"/>
      <c r="T186" s="924"/>
      <c r="U186" s="898">
        <v>1.1100000000000001</v>
      </c>
      <c r="W186" s="923"/>
      <c r="X186" s="925"/>
      <c r="Y186" s="922">
        <v>2.81</v>
      </c>
      <c r="Z186" s="924"/>
      <c r="AA186" s="922">
        <v>2.17</v>
      </c>
      <c r="AB186" s="924"/>
      <c r="AC186" s="922">
        <v>4.1900000000000004</v>
      </c>
      <c r="AD186" s="898">
        <f t="shared" si="10"/>
        <v>12.46</v>
      </c>
    </row>
    <row r="187" spans="1:32">
      <c r="A187" s="910">
        <v>183</v>
      </c>
      <c r="B187" s="910" t="s">
        <v>2655</v>
      </c>
      <c r="G187" s="922">
        <v>0.61</v>
      </c>
      <c r="H187" s="924"/>
      <c r="I187" s="922">
        <v>0.05</v>
      </c>
      <c r="J187" s="924"/>
      <c r="M187" s="922"/>
      <c r="N187" s="924"/>
      <c r="O187" s="898">
        <v>0.41</v>
      </c>
      <c r="Q187" s="898">
        <v>0.48</v>
      </c>
      <c r="S187" s="922"/>
      <c r="T187" s="924"/>
      <c r="U187" s="898">
        <v>0.52</v>
      </c>
      <c r="W187" s="923"/>
      <c r="X187" s="925"/>
      <c r="Y187" s="922">
        <v>1.32</v>
      </c>
      <c r="Z187" s="924"/>
      <c r="AA187" s="922">
        <v>1.02</v>
      </c>
      <c r="AB187" s="924"/>
      <c r="AC187" s="922">
        <v>-2.87</v>
      </c>
      <c r="AD187" s="898">
        <f t="shared" si="10"/>
        <v>1.54</v>
      </c>
    </row>
    <row r="188" spans="1:32">
      <c r="A188" s="910">
        <v>184</v>
      </c>
      <c r="B188" s="910" t="s">
        <v>2656</v>
      </c>
      <c r="G188" s="922">
        <v>2.1800000000000002</v>
      </c>
      <c r="H188" s="924"/>
      <c r="I188" s="922">
        <v>0.19</v>
      </c>
      <c r="J188" s="924"/>
      <c r="M188" s="922"/>
      <c r="N188" s="924"/>
      <c r="O188" s="898">
        <v>0.99</v>
      </c>
      <c r="Q188" s="898">
        <v>1.17</v>
      </c>
      <c r="S188" s="922"/>
      <c r="T188" s="924"/>
      <c r="U188" s="898">
        <v>1.26</v>
      </c>
      <c r="W188" s="923"/>
      <c r="X188" s="925"/>
      <c r="Y188" s="922">
        <v>3.18</v>
      </c>
      <c r="Z188" s="924"/>
      <c r="AA188" s="922">
        <v>2.4500000000000002</v>
      </c>
      <c r="AB188" s="924"/>
      <c r="AC188" s="922"/>
      <c r="AD188" s="898">
        <f t="shared" si="10"/>
        <v>11.420000000000002</v>
      </c>
    </row>
    <row r="189" spans="1:32">
      <c r="A189" s="910">
        <v>185</v>
      </c>
      <c r="B189" s="910" t="s">
        <v>2657</v>
      </c>
      <c r="G189" s="922">
        <v>-0.28000000000000003</v>
      </c>
      <c r="H189" s="924"/>
      <c r="I189" s="922">
        <v>-0.02</v>
      </c>
      <c r="J189" s="924"/>
      <c r="M189" s="922"/>
      <c r="N189" s="924"/>
      <c r="O189" s="898">
        <v>3.53</v>
      </c>
      <c r="Q189" s="898">
        <v>4.16</v>
      </c>
      <c r="S189" s="922"/>
      <c r="T189" s="924"/>
      <c r="U189" s="898">
        <v>4.49</v>
      </c>
      <c r="W189" s="923"/>
      <c r="X189" s="925"/>
      <c r="Y189" s="922">
        <v>11.32</v>
      </c>
      <c r="Z189" s="924"/>
      <c r="AA189" s="922">
        <v>8.73</v>
      </c>
      <c r="AB189" s="924"/>
      <c r="AC189" s="922">
        <v>12.91</v>
      </c>
      <c r="AD189" s="898">
        <f t="shared" si="10"/>
        <v>44.84</v>
      </c>
    </row>
    <row r="190" spans="1:32">
      <c r="A190" s="910">
        <v>186</v>
      </c>
      <c r="B190" s="900" t="s">
        <v>2658</v>
      </c>
      <c r="G190" s="898">
        <v>-0.13</v>
      </c>
      <c r="I190" s="922">
        <v>-0.01</v>
      </c>
      <c r="J190" s="924"/>
      <c r="M190" s="922"/>
      <c r="N190" s="924"/>
      <c r="O190" s="898">
        <v>-0.45</v>
      </c>
      <c r="Q190" s="898">
        <v>-0.53</v>
      </c>
      <c r="S190" s="922"/>
      <c r="T190" s="924"/>
      <c r="U190" s="898">
        <v>-0.56999999999999995</v>
      </c>
      <c r="W190" s="923"/>
      <c r="X190" s="925"/>
      <c r="Y190" s="922">
        <v>-1.43</v>
      </c>
      <c r="Z190" s="924"/>
      <c r="AA190" s="922">
        <v>-1.1100000000000001</v>
      </c>
      <c r="AB190" s="924"/>
      <c r="AC190" s="922">
        <v>-1.92</v>
      </c>
      <c r="AD190" s="898">
        <f t="shared" si="10"/>
        <v>-6.15</v>
      </c>
    </row>
    <row r="191" spans="1:32">
      <c r="A191" s="910">
        <v>187</v>
      </c>
      <c r="B191" s="900" t="s">
        <v>2659</v>
      </c>
      <c r="G191" s="898">
        <v>-0.23</v>
      </c>
      <c r="I191" s="922">
        <v>-0.02</v>
      </c>
      <c r="J191" s="924"/>
      <c r="M191" s="922"/>
      <c r="N191" s="924"/>
      <c r="O191" s="898">
        <v>-0.21</v>
      </c>
      <c r="Q191" s="898">
        <v>-0.24</v>
      </c>
      <c r="S191" s="922"/>
      <c r="T191" s="924"/>
      <c r="U191" s="898">
        <v>-0.26</v>
      </c>
      <c r="W191" s="923"/>
      <c r="X191" s="925"/>
      <c r="Y191" s="922">
        <v>-0.67</v>
      </c>
      <c r="Z191" s="924"/>
      <c r="AA191" s="922">
        <v>-0.51</v>
      </c>
      <c r="AB191" s="924"/>
      <c r="AC191" s="922">
        <v>-0.72</v>
      </c>
      <c r="AD191" s="898">
        <f t="shared" si="10"/>
        <v>-2.8599999999999994</v>
      </c>
    </row>
    <row r="192" spans="1:32">
      <c r="A192" s="910">
        <v>188</v>
      </c>
      <c r="B192" s="900" t="s">
        <v>2660</v>
      </c>
      <c r="I192" s="922"/>
      <c r="J192" s="924"/>
      <c r="M192" s="922"/>
      <c r="N192" s="924"/>
      <c r="O192" s="898">
        <v>-0.38</v>
      </c>
      <c r="Q192" s="898">
        <v>-0.45</v>
      </c>
      <c r="S192" s="922"/>
      <c r="T192" s="924"/>
      <c r="U192" s="898">
        <v>-0.48</v>
      </c>
      <c r="W192" s="923"/>
      <c r="X192" s="925"/>
      <c r="Y192" s="922">
        <v>-1.22</v>
      </c>
      <c r="Z192" s="924"/>
      <c r="AA192" s="922">
        <v>-0.94</v>
      </c>
      <c r="AB192" s="924"/>
      <c r="AC192" s="922"/>
      <c r="AD192" s="898">
        <f t="shared" si="10"/>
        <v>-3.47</v>
      </c>
    </row>
    <row r="193" spans="1:30">
      <c r="A193" s="910">
        <v>189</v>
      </c>
      <c r="B193" s="830" t="s">
        <v>2884</v>
      </c>
      <c r="G193" s="939">
        <f>SUM(G180:G192)</f>
        <v>110.31</v>
      </c>
      <c r="H193" s="939"/>
      <c r="I193" s="939">
        <f>SUM(I180:I192)</f>
        <v>64.459999999999994</v>
      </c>
      <c r="J193" s="939"/>
      <c r="K193" s="939">
        <f>SUM(K180:K192)</f>
        <v>60</v>
      </c>
      <c r="L193" s="939"/>
      <c r="M193" s="939">
        <f>SUM(M180:M192)</f>
        <v>60</v>
      </c>
      <c r="N193" s="939"/>
      <c r="O193" s="939">
        <f>SUM(O180:O192)</f>
        <v>151.29000000000002</v>
      </c>
      <c r="P193" s="939"/>
      <c r="Q193" s="939">
        <f>SUM(Q180:Q192)</f>
        <v>167.67999999999998</v>
      </c>
      <c r="R193" s="939"/>
      <c r="S193" s="939">
        <f>SUM(S180:S192)</f>
        <v>60</v>
      </c>
      <c r="T193" s="939"/>
      <c r="U193" s="939">
        <f>SUM(U180:U192)</f>
        <v>176.24000000000004</v>
      </c>
      <c r="V193" s="939"/>
      <c r="W193" s="939">
        <f>SUM(W180:W192)</f>
        <v>60</v>
      </c>
      <c r="X193" s="939"/>
      <c r="Y193" s="939">
        <f>SUM(Y180:Y192)</f>
        <v>353.08999999999992</v>
      </c>
      <c r="Z193" s="939"/>
      <c r="AA193" s="939">
        <f>SUM(AA180:AA192)</f>
        <v>286.06</v>
      </c>
      <c r="AB193" s="939"/>
      <c r="AC193" s="939">
        <f>SUM(AC180:AC192)</f>
        <v>433.68</v>
      </c>
      <c r="AD193" s="898">
        <f t="shared" si="10"/>
        <v>1982.81</v>
      </c>
    </row>
    <row r="194" spans="1:30">
      <c r="A194" s="910">
        <v>190</v>
      </c>
      <c r="B194" s="830" t="s">
        <v>2514</v>
      </c>
      <c r="F194" s="928"/>
      <c r="G194" s="926">
        <v>79</v>
      </c>
      <c r="H194" s="926"/>
      <c r="I194" s="926">
        <v>7</v>
      </c>
      <c r="J194" s="926"/>
      <c r="K194" s="928">
        <v>0</v>
      </c>
      <c r="L194" s="928"/>
      <c r="M194" s="926">
        <v>0</v>
      </c>
      <c r="N194" s="926"/>
      <c r="O194" s="899">
        <v>128</v>
      </c>
      <c r="Q194" s="899">
        <v>151</v>
      </c>
      <c r="S194" s="924">
        <v>0</v>
      </c>
      <c r="T194" s="924"/>
      <c r="U194" s="899">
        <v>163</v>
      </c>
      <c r="V194" s="928"/>
      <c r="W194" s="928"/>
      <c r="X194" s="928"/>
      <c r="Y194" s="899">
        <v>411</v>
      </c>
      <c r="Z194" s="928"/>
      <c r="AA194" s="899">
        <v>317</v>
      </c>
      <c r="AB194" s="928"/>
      <c r="AC194" s="899">
        <v>491</v>
      </c>
      <c r="AD194" s="928">
        <f t="shared" si="10"/>
        <v>1747</v>
      </c>
    </row>
    <row r="195" spans="1:30">
      <c r="A195" s="910">
        <v>191</v>
      </c>
      <c r="B195" s="910" t="s">
        <v>2885</v>
      </c>
      <c r="F195" s="928"/>
      <c r="G195" s="926"/>
      <c r="H195" s="926"/>
      <c r="I195" s="928"/>
      <c r="J195" s="928"/>
      <c r="K195" s="928"/>
      <c r="L195" s="928"/>
      <c r="M195" s="928"/>
      <c r="N195" s="928"/>
      <c r="O195" s="899"/>
      <c r="Q195" s="899"/>
      <c r="S195" s="899"/>
      <c r="U195" s="899"/>
      <c r="V195" s="928"/>
      <c r="W195" s="928"/>
      <c r="X195" s="928"/>
      <c r="Y195" s="899"/>
      <c r="Z195" s="928"/>
      <c r="AA195" s="899"/>
      <c r="AB195" s="928"/>
      <c r="AC195" s="899"/>
      <c r="AD195" s="928">
        <f t="shared" si="10"/>
        <v>0</v>
      </c>
    </row>
    <row r="196" spans="1:30">
      <c r="A196" s="910">
        <v>192</v>
      </c>
      <c r="B196" s="910" t="s">
        <v>2886</v>
      </c>
      <c r="F196" s="928"/>
      <c r="G196" s="926">
        <f>SUM(G194:G195)</f>
        <v>79</v>
      </c>
      <c r="H196" s="926"/>
      <c r="I196" s="926">
        <f>SUM(I194:I195)</f>
        <v>7</v>
      </c>
      <c r="J196" s="926"/>
      <c r="K196" s="926">
        <f>SUM(K194:K195)</f>
        <v>0</v>
      </c>
      <c r="L196" s="926"/>
      <c r="M196" s="926">
        <f>SUM(M194:M195)</f>
        <v>0</v>
      </c>
      <c r="N196" s="926"/>
      <c r="O196" s="924">
        <f>SUM(O194:O195)</f>
        <v>128</v>
      </c>
      <c r="P196" s="924"/>
      <c r="Q196" s="924">
        <f>SUM(Q194:Q195)</f>
        <v>151</v>
      </c>
      <c r="R196" s="924"/>
      <c r="S196" s="924">
        <f>SUM(S194:S195)</f>
        <v>0</v>
      </c>
      <c r="T196" s="924"/>
      <c r="U196" s="924">
        <f>SUM(U194:U195)</f>
        <v>163</v>
      </c>
      <c r="V196" s="926"/>
      <c r="W196" s="926">
        <f>SUM(W194:W195)</f>
        <v>0</v>
      </c>
      <c r="X196" s="926"/>
      <c r="Y196" s="924">
        <f>SUM(Y194:Y195)</f>
        <v>411</v>
      </c>
      <c r="Z196" s="926"/>
      <c r="AA196" s="924">
        <v>317</v>
      </c>
      <c r="AB196" s="926"/>
      <c r="AC196" s="924">
        <f>SUM(AC194:AC195)</f>
        <v>491</v>
      </c>
      <c r="AD196" s="928">
        <f t="shared" si="10"/>
        <v>1747</v>
      </c>
    </row>
    <row r="197" spans="1:30">
      <c r="A197" s="910">
        <v>193</v>
      </c>
      <c r="B197" s="830"/>
      <c r="AD197" s="928"/>
    </row>
    <row r="198" spans="1:30">
      <c r="A198" s="910">
        <v>194</v>
      </c>
      <c r="B198" s="918" t="s">
        <v>2893</v>
      </c>
    </row>
    <row r="199" spans="1:30">
      <c r="A199" s="910">
        <v>195</v>
      </c>
      <c r="B199" s="830" t="s">
        <v>2462</v>
      </c>
      <c r="C199" s="898">
        <v>163</v>
      </c>
      <c r="D199" s="898"/>
      <c r="E199" s="898"/>
      <c r="F199" s="899">
        <f>G199/$C$199</f>
        <v>8</v>
      </c>
      <c r="G199" s="922">
        <v>1304</v>
      </c>
      <c r="H199" s="899">
        <f>I199/$C$199</f>
        <v>8</v>
      </c>
      <c r="I199" s="922">
        <v>1304</v>
      </c>
      <c r="J199" s="899">
        <f>K199/$C$199</f>
        <v>8</v>
      </c>
      <c r="K199" s="922">
        <v>1304</v>
      </c>
      <c r="L199" s="899">
        <f>M199/$C$199</f>
        <v>8</v>
      </c>
      <c r="M199" s="922">
        <v>1304</v>
      </c>
      <c r="N199" s="899">
        <f>O199/$C$199</f>
        <v>7</v>
      </c>
      <c r="O199" s="922">
        <v>1141</v>
      </c>
      <c r="P199" s="899">
        <f>Q199/$C$199</f>
        <v>7</v>
      </c>
      <c r="Q199" s="922">
        <v>1141</v>
      </c>
      <c r="R199" s="899">
        <f>S199/$C$199</f>
        <v>7</v>
      </c>
      <c r="S199" s="922">
        <v>1141</v>
      </c>
      <c r="T199" s="899">
        <f>U199/$C$199</f>
        <v>8</v>
      </c>
      <c r="U199" s="922">
        <v>1304</v>
      </c>
      <c r="V199" s="899">
        <f>W199/$C$199</f>
        <v>8</v>
      </c>
      <c r="W199" s="923">
        <v>1304</v>
      </c>
      <c r="X199" s="899">
        <f>Y199/$C$199</f>
        <v>8</v>
      </c>
      <c r="Y199" s="922">
        <v>1304</v>
      </c>
      <c r="Z199" s="899">
        <f>AA199/$C$199</f>
        <v>8</v>
      </c>
      <c r="AA199" s="922">
        <v>1304</v>
      </c>
      <c r="AB199" s="899">
        <f>AC199/$C$199</f>
        <v>8</v>
      </c>
      <c r="AC199" s="922">
        <v>1304</v>
      </c>
      <c r="AD199" s="898">
        <f>SUM(G199,I199,K199,M199,O199,Q199,S199,U199,W199,Y199,AA199,AC199)</f>
        <v>15159</v>
      </c>
    </row>
    <row r="200" spans="1:30">
      <c r="A200" s="910">
        <v>196</v>
      </c>
      <c r="B200" s="830" t="s">
        <v>2709</v>
      </c>
      <c r="C200" s="910">
        <v>7.8950000000000006E-2</v>
      </c>
      <c r="F200" s="899">
        <f>G200/$C$200</f>
        <v>121886.13046231792</v>
      </c>
      <c r="G200" s="922">
        <v>9622.91</v>
      </c>
      <c r="H200" s="899">
        <f>I200/$C$200</f>
        <v>121680.05066497781</v>
      </c>
      <c r="I200" s="922">
        <v>9606.64</v>
      </c>
      <c r="J200" s="899">
        <f>K200/$C$200</f>
        <v>123408.99303356554</v>
      </c>
      <c r="K200" s="922">
        <v>9743.14</v>
      </c>
      <c r="L200" s="899">
        <f>M200/$C$200</f>
        <v>118029.8923369221</v>
      </c>
      <c r="M200" s="922">
        <v>9318.4600000000009</v>
      </c>
      <c r="N200" s="899">
        <f>O200/$C$200</f>
        <v>102877.89740341988</v>
      </c>
      <c r="O200" s="922">
        <v>8122.21</v>
      </c>
      <c r="P200" s="899">
        <f>Q200/$C$200</f>
        <v>90281.950601646604</v>
      </c>
      <c r="Q200" s="922">
        <v>7127.76</v>
      </c>
      <c r="R200" s="899">
        <f>S200/$C$200</f>
        <v>80372.007599746677</v>
      </c>
      <c r="S200" s="922">
        <v>6345.3700000000008</v>
      </c>
      <c r="T200" s="899">
        <f>U200/$C$200</f>
        <v>99416.972767574407</v>
      </c>
      <c r="U200" s="922">
        <v>7848.97</v>
      </c>
      <c r="V200" s="899">
        <f>W200/$C$200</f>
        <v>76300.949968334389</v>
      </c>
      <c r="W200" s="923">
        <v>6023.96</v>
      </c>
      <c r="X200" s="899">
        <f>Y200/$C$200</f>
        <v>80596.960101329954</v>
      </c>
      <c r="Y200" s="922">
        <v>6363.13</v>
      </c>
      <c r="Z200" s="899">
        <f>AA200/$C$200</f>
        <v>134706.01646611778</v>
      </c>
      <c r="AA200" s="922">
        <v>10635.04</v>
      </c>
      <c r="AB200" s="899">
        <f>AC200/$C$200</f>
        <v>112878.91070297657</v>
      </c>
      <c r="AC200" s="922">
        <v>8911.7900000000009</v>
      </c>
      <c r="AD200" s="898">
        <f>SUM(G200,I200,K200,M200,O200,Q200,S200,U200,W200,Y200,AA200,AC200)</f>
        <v>99669.380000000034</v>
      </c>
    </row>
    <row r="201" spans="1:30">
      <c r="A201" s="910">
        <v>197</v>
      </c>
      <c r="B201" s="830" t="s">
        <v>2710</v>
      </c>
      <c r="C201" s="910">
        <v>2.248E-2</v>
      </c>
      <c r="F201" s="899">
        <f>G201/$C$201</f>
        <v>138595.64056939504</v>
      </c>
      <c r="G201" s="922">
        <v>3115.63</v>
      </c>
      <c r="H201" s="899">
        <f>I201/$C$201</f>
        <v>137130.78291814946</v>
      </c>
      <c r="I201" s="922">
        <v>3082.7</v>
      </c>
      <c r="J201" s="899">
        <f>K201/$C$201</f>
        <v>146774.91103202847</v>
      </c>
      <c r="K201" s="922">
        <v>3299.5</v>
      </c>
      <c r="L201" s="899">
        <f>M201/$C$201</f>
        <v>130114.76868327403</v>
      </c>
      <c r="M201" s="922">
        <v>2924.98</v>
      </c>
      <c r="N201" s="899">
        <f>O201/$C$201</f>
        <v>88588.967971530248</v>
      </c>
      <c r="O201" s="922">
        <v>1991.48</v>
      </c>
      <c r="P201" s="899">
        <f>Q201/$C$201</f>
        <v>51974.199288256234</v>
      </c>
      <c r="Q201" s="922">
        <v>1168.3800000000001</v>
      </c>
      <c r="R201" s="899">
        <f>S201/$C$201</f>
        <v>30615.213523131675</v>
      </c>
      <c r="S201" s="922">
        <v>688.23</v>
      </c>
      <c r="T201" s="899">
        <f>U201/$C$201</f>
        <v>20611.20996441281</v>
      </c>
      <c r="U201" s="922">
        <v>463.34</v>
      </c>
      <c r="V201" s="899">
        <f>W201/$C$201</f>
        <v>17325.177935943062</v>
      </c>
      <c r="W201" s="923">
        <v>389.47</v>
      </c>
      <c r="X201" s="899">
        <f>Y201/$C$201</f>
        <v>30845.195729537365</v>
      </c>
      <c r="Y201" s="922">
        <v>693.4</v>
      </c>
      <c r="Z201" s="899">
        <f>AA201/$C$201</f>
        <v>98114.32384341638</v>
      </c>
      <c r="AA201" s="922">
        <v>2205.61</v>
      </c>
      <c r="AB201" s="899">
        <f>AC201/$C$201</f>
        <v>117354.09252669038</v>
      </c>
      <c r="AC201" s="922">
        <v>2638.12</v>
      </c>
      <c r="AD201" s="898">
        <f>SUM(G201,I201,K201,M201,O201,Q201,S201,U201,W201,Y201,AA201,AC201)</f>
        <v>22660.84</v>
      </c>
    </row>
    <row r="202" spans="1:30">
      <c r="A202" s="910">
        <v>198</v>
      </c>
      <c r="B202" s="830" t="s">
        <v>2650</v>
      </c>
      <c r="G202" s="922">
        <v>105729.64</v>
      </c>
      <c r="I202" s="922">
        <v>105051.39</v>
      </c>
      <c r="K202" s="922">
        <v>109667.7</v>
      </c>
      <c r="M202" s="922">
        <v>100722.05</v>
      </c>
      <c r="O202" s="922">
        <v>77716.45</v>
      </c>
      <c r="Q202" s="922">
        <v>57741.719999999994</v>
      </c>
      <c r="S202" s="922">
        <v>45049.62</v>
      </c>
      <c r="U202" s="922">
        <v>48719.360000000001</v>
      </c>
      <c r="W202" s="923">
        <v>38002.790000000008</v>
      </c>
      <c r="Y202" s="922">
        <v>45234.310000000005</v>
      </c>
      <c r="AA202" s="922">
        <v>94501.64</v>
      </c>
      <c r="AC202" s="922">
        <v>94027.15</v>
      </c>
      <c r="AD202" s="898">
        <f>SUM(G202:AC202)</f>
        <v>922163.82000000007</v>
      </c>
    </row>
    <row r="203" spans="1:30">
      <c r="A203" s="910">
        <v>199</v>
      </c>
      <c r="B203" s="910" t="s">
        <v>2652</v>
      </c>
      <c r="G203" s="922"/>
      <c r="I203" s="922"/>
      <c r="K203" s="922"/>
      <c r="M203" s="922"/>
      <c r="O203" s="922">
        <v>14580.21</v>
      </c>
      <c r="Q203" s="922">
        <v>10832.800000000001</v>
      </c>
      <c r="S203" s="922">
        <v>8451.65</v>
      </c>
      <c r="U203" s="922">
        <v>9140.1299999999992</v>
      </c>
      <c r="W203" s="923">
        <v>7129.62</v>
      </c>
      <c r="Y203" s="922">
        <v>8486.32</v>
      </c>
      <c r="AA203" s="922">
        <v>17729.239999999998</v>
      </c>
      <c r="AC203" s="922">
        <v>31150.519999999997</v>
      </c>
      <c r="AD203" s="898">
        <f>SUM(G203:AC203)</f>
        <v>107500.48999999999</v>
      </c>
    </row>
    <row r="204" spans="1:30">
      <c r="A204" s="910">
        <v>200</v>
      </c>
      <c r="B204" s="830" t="s">
        <v>2653</v>
      </c>
      <c r="G204" s="922">
        <v>132.84</v>
      </c>
      <c r="H204" s="924"/>
      <c r="I204" s="922">
        <v>132</v>
      </c>
      <c r="J204" s="924"/>
      <c r="K204" s="922">
        <v>137.80000000000001</v>
      </c>
      <c r="L204" s="924"/>
      <c r="M204" s="922">
        <v>126.55</v>
      </c>
      <c r="N204" s="924"/>
      <c r="O204" s="922">
        <v>97.64</v>
      </c>
      <c r="P204" s="924"/>
      <c r="Q204" s="922">
        <v>72.540000000000006</v>
      </c>
      <c r="R204" s="924"/>
      <c r="S204" s="922">
        <v>56.599999999999994</v>
      </c>
      <c r="T204" s="924"/>
      <c r="U204" s="922">
        <v>61.22</v>
      </c>
      <c r="V204" s="924"/>
      <c r="W204" s="923">
        <v>47.76</v>
      </c>
      <c r="X204" s="925"/>
      <c r="Y204" s="922">
        <v>56.839999999999996</v>
      </c>
      <c r="Z204" s="924"/>
      <c r="AA204" s="922">
        <v>118.74</v>
      </c>
      <c r="AB204" s="924"/>
      <c r="AC204" s="922">
        <v>115.13</v>
      </c>
      <c r="AD204" s="898">
        <f t="shared" ref="AD204:AD217" si="11">SUM(G204:AC204)</f>
        <v>1155.6599999999999</v>
      </c>
    </row>
    <row r="205" spans="1:30">
      <c r="A205" s="910">
        <v>201</v>
      </c>
      <c r="B205" s="830" t="s">
        <v>2654</v>
      </c>
      <c r="G205" s="922">
        <v>885.64</v>
      </c>
      <c r="H205" s="924"/>
      <c r="I205" s="922">
        <v>879.96</v>
      </c>
      <c r="J205" s="924"/>
      <c r="K205" s="922">
        <v>918.63</v>
      </c>
      <c r="L205" s="924"/>
      <c r="M205" s="922">
        <v>843.7</v>
      </c>
      <c r="N205" s="924"/>
      <c r="O205" s="922">
        <v>650.99</v>
      </c>
      <c r="P205" s="924"/>
      <c r="Q205" s="922">
        <v>483.68</v>
      </c>
      <c r="R205" s="924"/>
      <c r="S205" s="922">
        <v>377.36</v>
      </c>
      <c r="T205" s="924"/>
      <c r="U205" s="922">
        <v>408.1</v>
      </c>
      <c r="V205" s="924"/>
      <c r="W205" s="923">
        <v>318.33</v>
      </c>
      <c r="X205" s="925"/>
      <c r="Y205" s="922">
        <v>378.89</v>
      </c>
      <c r="Z205" s="924"/>
      <c r="AA205" s="922">
        <v>791.58000000000015</v>
      </c>
      <c r="AB205" s="924"/>
      <c r="AC205" s="922">
        <v>1229.45</v>
      </c>
      <c r="AD205" s="898">
        <f t="shared" si="11"/>
        <v>8166.31</v>
      </c>
    </row>
    <row r="206" spans="1:30">
      <c r="A206" s="910">
        <v>202</v>
      </c>
      <c r="B206" s="830" t="s">
        <v>2655</v>
      </c>
      <c r="G206" s="922">
        <v>1956.23</v>
      </c>
      <c r="H206" s="924"/>
      <c r="I206" s="922">
        <v>1943.68</v>
      </c>
      <c r="J206" s="924"/>
      <c r="K206" s="922">
        <v>2029.09</v>
      </c>
      <c r="L206" s="924"/>
      <c r="M206" s="922">
        <v>1863.57</v>
      </c>
      <c r="N206" s="924"/>
      <c r="O206" s="922">
        <v>1437.91</v>
      </c>
      <c r="P206" s="924"/>
      <c r="Q206" s="922">
        <v>1068.3500000000001</v>
      </c>
      <c r="R206" s="924"/>
      <c r="S206" s="922">
        <v>833.51</v>
      </c>
      <c r="T206" s="924"/>
      <c r="U206" s="922">
        <v>901.4</v>
      </c>
      <c r="V206" s="924"/>
      <c r="W206" s="923">
        <v>703.14</v>
      </c>
      <c r="X206" s="925"/>
      <c r="Y206" s="922">
        <v>836.95</v>
      </c>
      <c r="Z206" s="924"/>
      <c r="AA206" s="922">
        <v>1748.48</v>
      </c>
      <c r="AB206" s="924"/>
      <c r="AC206" s="922">
        <v>4388.25</v>
      </c>
      <c r="AD206" s="898">
        <f t="shared" si="11"/>
        <v>19710.559999999998</v>
      </c>
    </row>
    <row r="207" spans="1:30">
      <c r="A207" s="910">
        <v>203</v>
      </c>
      <c r="B207" s="830" t="s">
        <v>2656</v>
      </c>
      <c r="G207" s="922">
        <v>2016.14</v>
      </c>
      <c r="H207" s="924"/>
      <c r="I207" s="922">
        <v>2003.2</v>
      </c>
      <c r="J207" s="924"/>
      <c r="K207" s="922">
        <v>2091.23</v>
      </c>
      <c r="L207" s="924"/>
      <c r="M207" s="922">
        <v>1920.65</v>
      </c>
      <c r="N207" s="924"/>
      <c r="O207" s="922">
        <v>1481.96</v>
      </c>
      <c r="P207" s="924"/>
      <c r="Q207" s="922">
        <v>1101.0600000000002</v>
      </c>
      <c r="R207" s="924"/>
      <c r="S207" s="922">
        <v>859.04000000000008</v>
      </c>
      <c r="T207" s="924"/>
      <c r="U207" s="922">
        <v>929.02</v>
      </c>
      <c r="V207" s="924"/>
      <c r="W207" s="923">
        <v>724.67999999999984</v>
      </c>
      <c r="X207" s="925"/>
      <c r="Y207" s="922">
        <v>862.57</v>
      </c>
      <c r="Z207" s="924"/>
      <c r="AA207" s="922">
        <v>1802.02</v>
      </c>
      <c r="AB207" s="924"/>
      <c r="AC207" s="922"/>
      <c r="AD207" s="898">
        <f t="shared" si="11"/>
        <v>15791.570000000002</v>
      </c>
    </row>
    <row r="208" spans="1:30">
      <c r="A208" s="910">
        <v>204</v>
      </c>
      <c r="B208" s="830" t="s">
        <v>2657</v>
      </c>
      <c r="G208" s="922">
        <v>7173.67</v>
      </c>
      <c r="H208" s="924"/>
      <c r="I208" s="922">
        <v>7127.66</v>
      </c>
      <c r="J208" s="924"/>
      <c r="K208" s="922">
        <v>7440.87</v>
      </c>
      <c r="L208" s="924"/>
      <c r="M208" s="922">
        <v>6833.92</v>
      </c>
      <c r="N208" s="924"/>
      <c r="O208" s="922">
        <v>5273</v>
      </c>
      <c r="P208" s="924"/>
      <c r="Q208" s="922">
        <v>3917.73</v>
      </c>
      <c r="R208" s="924"/>
      <c r="S208" s="922">
        <v>3056.58</v>
      </c>
      <c r="T208" s="924"/>
      <c r="U208" s="922">
        <v>3305.58</v>
      </c>
      <c r="V208" s="924"/>
      <c r="W208" s="923">
        <v>2578.46</v>
      </c>
      <c r="X208" s="925"/>
      <c r="Y208" s="922">
        <v>3069.11</v>
      </c>
      <c r="Z208" s="924"/>
      <c r="AA208" s="922">
        <v>6411.85</v>
      </c>
      <c r="AB208" s="924"/>
      <c r="AC208" s="922">
        <v>6055.12</v>
      </c>
      <c r="AD208" s="898">
        <f t="shared" si="11"/>
        <v>62243.55000000001</v>
      </c>
    </row>
    <row r="209" spans="1:30">
      <c r="A209" s="910">
        <v>205</v>
      </c>
      <c r="B209" s="830" t="s">
        <v>2658</v>
      </c>
      <c r="G209" s="922">
        <v>-276.11</v>
      </c>
      <c r="H209" s="924"/>
      <c r="I209" s="922">
        <v>-274.33</v>
      </c>
      <c r="J209" s="924"/>
      <c r="K209" s="922">
        <v>-286.40000000000003</v>
      </c>
      <c r="L209" s="924"/>
      <c r="M209" s="922">
        <v>-263.04000000000002</v>
      </c>
      <c r="N209" s="924"/>
      <c r="O209" s="922">
        <v>-202.96</v>
      </c>
      <c r="P209" s="924"/>
      <c r="Q209" s="922">
        <v>-150.79000000000002</v>
      </c>
      <c r="R209" s="924"/>
      <c r="S209" s="922">
        <v>-117.64999999999999</v>
      </c>
      <c r="T209" s="924"/>
      <c r="U209" s="922">
        <v>-127.22999999999999</v>
      </c>
      <c r="V209" s="924"/>
      <c r="W209" s="898">
        <v>-99.24</v>
      </c>
      <c r="Y209" s="922">
        <v>-118.11999999999999</v>
      </c>
      <c r="Z209" s="924"/>
      <c r="AA209" s="922">
        <v>-246.77999999999997</v>
      </c>
      <c r="AB209" s="924"/>
      <c r="AC209" s="922">
        <v>-273.99</v>
      </c>
      <c r="AD209" s="898">
        <f t="shared" si="11"/>
        <v>-2436.6400000000003</v>
      </c>
    </row>
    <row r="210" spans="1:30">
      <c r="A210" s="910">
        <v>206</v>
      </c>
      <c r="B210" s="830" t="s">
        <v>2659</v>
      </c>
      <c r="G210" s="922">
        <v>-127.65</v>
      </c>
      <c r="H210" s="924"/>
      <c r="I210" s="922">
        <v>-126.82</v>
      </c>
      <c r="J210" s="924"/>
      <c r="K210" s="922">
        <v>-132.39000000000001</v>
      </c>
      <c r="L210" s="924"/>
      <c r="M210" s="922">
        <v>-121.59</v>
      </c>
      <c r="N210" s="924"/>
      <c r="O210" s="922">
        <v>-93.83</v>
      </c>
      <c r="P210" s="924"/>
      <c r="Q210" s="922">
        <v>-69.710000000000008</v>
      </c>
      <c r="R210" s="924"/>
      <c r="S210" s="922">
        <v>-54.379999999999995</v>
      </c>
      <c r="T210" s="924"/>
      <c r="U210" s="922">
        <v>-58.809999999999995</v>
      </c>
      <c r="V210" s="924"/>
      <c r="W210" s="898">
        <v>-45.879999999999995</v>
      </c>
      <c r="Y210" s="922">
        <v>-54.61</v>
      </c>
      <c r="Z210" s="924"/>
      <c r="AA210" s="922">
        <v>-114.09</v>
      </c>
      <c r="AB210" s="924"/>
      <c r="AC210" s="922">
        <v>-101.53</v>
      </c>
      <c r="AD210" s="898">
        <f t="shared" si="11"/>
        <v>-1101.2900000000002</v>
      </c>
    </row>
    <row r="211" spans="1:30">
      <c r="A211" s="910">
        <v>207</v>
      </c>
      <c r="B211" s="830" t="s">
        <v>2660</v>
      </c>
      <c r="G211" s="922">
        <v>-234.45</v>
      </c>
      <c r="H211" s="924"/>
      <c r="I211" s="922">
        <v>-232.93</v>
      </c>
      <c r="J211" s="924"/>
      <c r="K211" s="922">
        <v>-243.16</v>
      </c>
      <c r="L211" s="924"/>
      <c r="M211" s="922">
        <v>-223.33</v>
      </c>
      <c r="N211" s="924"/>
      <c r="O211" s="922">
        <v>-172.32</v>
      </c>
      <c r="P211" s="924"/>
      <c r="Q211" s="922">
        <v>-128.03</v>
      </c>
      <c r="R211" s="924"/>
      <c r="S211" s="922">
        <v>-99.88</v>
      </c>
      <c r="T211" s="924"/>
      <c r="U211" s="922">
        <v>-108.03</v>
      </c>
      <c r="V211" s="924"/>
      <c r="W211" s="898">
        <v>-84.26</v>
      </c>
      <c r="Y211" s="922">
        <v>-100.29</v>
      </c>
      <c r="Z211" s="924"/>
      <c r="AA211" s="922">
        <v>-209.53</v>
      </c>
      <c r="AB211" s="924"/>
      <c r="AC211" s="922"/>
      <c r="AD211" s="898">
        <f t="shared" si="11"/>
        <v>-1836.2099999999998</v>
      </c>
    </row>
    <row r="212" spans="1:30">
      <c r="A212" s="910">
        <v>208</v>
      </c>
      <c r="B212" s="830" t="s">
        <v>2661</v>
      </c>
      <c r="G212" s="922">
        <v>2149.25</v>
      </c>
      <c r="H212" s="924"/>
      <c r="I212" s="922">
        <v>2139.69</v>
      </c>
      <c r="J212" s="924"/>
      <c r="K212" s="922">
        <v>2181.2600000000002</v>
      </c>
      <c r="L212" s="924"/>
      <c r="M212" s="922">
        <v>1981.91</v>
      </c>
      <c r="N212" s="924"/>
      <c r="O212" s="922">
        <v>1594.23</v>
      </c>
      <c r="P212" s="924"/>
      <c r="Q212" s="922">
        <v>1129.55</v>
      </c>
      <c r="R212" s="924"/>
      <c r="S212" s="922">
        <v>871.71</v>
      </c>
      <c r="T212" s="924"/>
      <c r="U212" s="922">
        <v>843.99999999999989</v>
      </c>
      <c r="V212" s="924"/>
      <c r="W212" s="898">
        <v>766.49999999999989</v>
      </c>
      <c r="Y212" s="922">
        <v>904.42000000000007</v>
      </c>
      <c r="Z212" s="924"/>
      <c r="AA212" s="922">
        <v>1759.88</v>
      </c>
      <c r="AB212" s="924"/>
      <c r="AC212" s="922">
        <v>2231.79</v>
      </c>
      <c r="AD212" s="898">
        <f t="shared" si="11"/>
        <v>18554.189999999999</v>
      </c>
    </row>
    <row r="213" spans="1:30">
      <c r="A213" s="910">
        <v>209</v>
      </c>
      <c r="B213" s="830" t="s">
        <v>2665</v>
      </c>
      <c r="G213" s="922">
        <v>4.8899999999999997</v>
      </c>
      <c r="H213" s="924"/>
      <c r="I213" s="922">
        <v>4.8899999999999997</v>
      </c>
      <c r="J213" s="924"/>
      <c r="K213" s="922">
        <v>4.8899999999999997</v>
      </c>
      <c r="L213" s="924"/>
      <c r="M213" s="922">
        <v>4.8899999999999997</v>
      </c>
      <c r="N213" s="924"/>
      <c r="O213" s="910"/>
      <c r="P213" s="924"/>
      <c r="Q213" s="922"/>
      <c r="R213" s="924"/>
      <c r="S213" s="922"/>
      <c r="T213" s="924"/>
      <c r="U213" s="922">
        <v>404.41</v>
      </c>
      <c r="V213" s="924"/>
      <c r="W213" s="898">
        <v>45.98</v>
      </c>
      <c r="Y213" s="922">
        <v>4.8899999999999997</v>
      </c>
      <c r="Z213" s="924"/>
      <c r="AA213" s="922">
        <v>509.09</v>
      </c>
      <c r="AB213" s="924"/>
      <c r="AC213" s="922">
        <v>4.8899999999999997</v>
      </c>
      <c r="AD213" s="898">
        <f t="shared" si="11"/>
        <v>988.82</v>
      </c>
    </row>
    <row r="214" spans="1:30">
      <c r="A214" s="910">
        <v>210</v>
      </c>
      <c r="B214" s="830" t="s">
        <v>2884</v>
      </c>
      <c r="G214" s="922">
        <f>SUM(G199:G213)</f>
        <v>133452.63</v>
      </c>
      <c r="H214" s="922"/>
      <c r="I214" s="922">
        <f>SUM(I199:I213)</f>
        <v>132641.72999999998</v>
      </c>
      <c r="J214" s="922"/>
      <c r="K214" s="922">
        <f>SUM(K199:K213)</f>
        <v>138156.16</v>
      </c>
      <c r="L214" s="922"/>
      <c r="M214" s="922">
        <f>SUM(M199:M213)</f>
        <v>127236.72000000002</v>
      </c>
      <c r="N214" s="922"/>
      <c r="O214" s="922">
        <f>SUM(O199:O212)</f>
        <v>113617.97</v>
      </c>
      <c r="P214" s="922"/>
      <c r="Q214" s="922">
        <f>SUM(Q199:Q213)</f>
        <v>85436.039999999979</v>
      </c>
      <c r="R214" s="922"/>
      <c r="S214" s="922">
        <f>SUM(S199:S213)</f>
        <v>67458.760000000009</v>
      </c>
      <c r="T214" s="922"/>
      <c r="U214" s="922">
        <f>SUM(U199:U213)</f>
        <v>74035.460000000021</v>
      </c>
      <c r="V214" s="922"/>
      <c r="W214" s="922">
        <f>SUM(W199:W213)</f>
        <v>57805.310000000019</v>
      </c>
      <c r="X214" s="922"/>
      <c r="Y214" s="922">
        <f>SUM(Y199:Y213)</f>
        <v>67921.81</v>
      </c>
      <c r="Z214" s="922"/>
      <c r="AA214" s="922">
        <f>SUM(AA199:AA213)</f>
        <v>138946.77000000002</v>
      </c>
      <c r="AB214" s="922"/>
      <c r="AC214" s="922">
        <f>SUM(AC199:AC213)</f>
        <v>151680.69000000003</v>
      </c>
      <c r="AD214" s="898">
        <f t="shared" si="11"/>
        <v>1288390.05</v>
      </c>
    </row>
    <row r="215" spans="1:30">
      <c r="A215" s="910">
        <v>211</v>
      </c>
      <c r="B215" s="830" t="s">
        <v>2514</v>
      </c>
      <c r="C215" s="928"/>
      <c r="D215" s="928"/>
      <c r="E215" s="928"/>
      <c r="F215" s="928"/>
      <c r="G215" s="940">
        <v>260482</v>
      </c>
      <c r="H215" s="924"/>
      <c r="I215" s="940">
        <v>258811</v>
      </c>
      <c r="J215" s="924"/>
      <c r="K215" s="940">
        <v>270184</v>
      </c>
      <c r="L215" s="924"/>
      <c r="M215" s="924">
        <v>248145</v>
      </c>
      <c r="N215" s="924"/>
      <c r="O215" s="924">
        <v>191467</v>
      </c>
      <c r="P215" s="924"/>
      <c r="Q215" s="924">
        <v>142256</v>
      </c>
      <c r="R215" s="924"/>
      <c r="S215" s="924">
        <v>110987</v>
      </c>
      <c r="T215" s="924"/>
      <c r="U215" s="924">
        <v>120028</v>
      </c>
      <c r="V215" s="926"/>
      <c r="W215" s="899">
        <v>93626</v>
      </c>
      <c r="X215" s="928"/>
      <c r="Y215" s="924">
        <v>111442</v>
      </c>
      <c r="Z215" s="926"/>
      <c r="AA215" s="924">
        <v>232820</v>
      </c>
      <c r="AB215" s="926"/>
      <c r="AC215" s="924">
        <v>230233</v>
      </c>
      <c r="AD215" s="898">
        <f t="shared" si="11"/>
        <v>2270481</v>
      </c>
    </row>
    <row r="216" spans="1:30">
      <c r="A216" s="910">
        <v>212</v>
      </c>
      <c r="B216" s="910" t="s">
        <v>2885</v>
      </c>
      <c r="C216" s="928"/>
      <c r="D216" s="928"/>
      <c r="E216" s="928"/>
      <c r="F216" s="928"/>
      <c r="G216" s="899"/>
      <c r="I216" s="899"/>
      <c r="K216" s="899"/>
      <c r="M216" s="899"/>
      <c r="O216" s="899"/>
      <c r="Q216" s="899"/>
      <c r="S216" s="899"/>
      <c r="U216" s="899"/>
      <c r="V216" s="928"/>
      <c r="W216" s="899"/>
      <c r="X216" s="928"/>
      <c r="Y216" s="899"/>
      <c r="Z216" s="928"/>
      <c r="AA216" s="899"/>
      <c r="AB216" s="928"/>
      <c r="AC216" s="899"/>
      <c r="AD216" s="898">
        <f t="shared" si="11"/>
        <v>0</v>
      </c>
    </row>
    <row r="217" spans="1:30">
      <c r="A217" s="910">
        <v>213</v>
      </c>
      <c r="B217" s="910" t="s">
        <v>2886</v>
      </c>
      <c r="C217" s="928"/>
      <c r="D217" s="928"/>
      <c r="E217" s="928"/>
      <c r="F217" s="928"/>
      <c r="G217" s="924">
        <f>SUM(G215:G216)</f>
        <v>260482</v>
      </c>
      <c r="H217" s="924"/>
      <c r="I217" s="924">
        <f>SUM(I215:I216)</f>
        <v>258811</v>
      </c>
      <c r="J217" s="924"/>
      <c r="K217" s="924">
        <f>SUM(K215:K216)</f>
        <v>270184</v>
      </c>
      <c r="L217" s="924"/>
      <c r="M217" s="924">
        <f>SUM(M215:M216)</f>
        <v>248145</v>
      </c>
      <c r="N217" s="924"/>
      <c r="O217" s="924">
        <f>SUM(O215:O216)</f>
        <v>191467</v>
      </c>
      <c r="P217" s="924"/>
      <c r="Q217" s="924">
        <f>SUM(Q215:Q216)</f>
        <v>142256</v>
      </c>
      <c r="R217" s="924"/>
      <c r="S217" s="924">
        <f>SUM(S215:S216)</f>
        <v>110987</v>
      </c>
      <c r="T217" s="924"/>
      <c r="U217" s="924">
        <f>SUM(U215:U216)</f>
        <v>120028</v>
      </c>
      <c r="V217" s="926"/>
      <c r="W217" s="924">
        <f>SUM(W215:W216)</f>
        <v>93626</v>
      </c>
      <c r="X217" s="926"/>
      <c r="Y217" s="924">
        <f>SUM(Y215:Y216)</f>
        <v>111442</v>
      </c>
      <c r="Z217" s="926"/>
      <c r="AA217" s="924">
        <f>SUM(AA215:AA216)</f>
        <v>232820</v>
      </c>
      <c r="AB217" s="926"/>
      <c r="AC217" s="924">
        <f>SUM(AC215:AC216)</f>
        <v>230233</v>
      </c>
      <c r="AD217" s="898">
        <f t="shared" si="11"/>
        <v>2270481</v>
      </c>
    </row>
    <row r="218" spans="1:30">
      <c r="A218" s="910">
        <v>214</v>
      </c>
      <c r="B218" s="837"/>
    </row>
    <row r="219" spans="1:30">
      <c r="A219" s="910">
        <v>215</v>
      </c>
      <c r="B219" s="851" t="s">
        <v>2711</v>
      </c>
    </row>
    <row r="220" spans="1:30">
      <c r="A220" s="910">
        <v>216</v>
      </c>
      <c r="B220" s="830" t="s">
        <v>2462</v>
      </c>
      <c r="C220" s="939">
        <v>625</v>
      </c>
      <c r="D220" s="939"/>
      <c r="E220" s="898"/>
      <c r="F220" s="899">
        <f>G220/$C$220</f>
        <v>186</v>
      </c>
      <c r="G220" s="922">
        <v>116250</v>
      </c>
      <c r="H220" s="899">
        <f>I220/$C$220</f>
        <v>186</v>
      </c>
      <c r="I220" s="922">
        <v>116250</v>
      </c>
      <c r="J220" s="899">
        <f>K220/$C$220</f>
        <v>185</v>
      </c>
      <c r="K220" s="922">
        <v>115625</v>
      </c>
      <c r="L220" s="899">
        <f>M220/$C$220</f>
        <v>185</v>
      </c>
      <c r="M220" s="922">
        <v>115625</v>
      </c>
      <c r="N220" s="899">
        <f>O220/$C$220</f>
        <v>187</v>
      </c>
      <c r="O220" s="922">
        <v>116875</v>
      </c>
      <c r="P220" s="899">
        <f>Q220/$C$220</f>
        <v>189</v>
      </c>
      <c r="Q220" s="922">
        <v>118125</v>
      </c>
      <c r="R220" s="899">
        <f>S220/$C$220</f>
        <v>188</v>
      </c>
      <c r="S220" s="922">
        <v>117500</v>
      </c>
      <c r="T220" s="899">
        <f>U220/$C$220</f>
        <v>188</v>
      </c>
      <c r="U220" s="922">
        <v>117500</v>
      </c>
      <c r="V220" s="899">
        <f>W220/$C$220</f>
        <v>187</v>
      </c>
      <c r="W220" s="923">
        <v>116875</v>
      </c>
      <c r="X220" s="899">
        <f>Y220/$C$220</f>
        <v>186</v>
      </c>
      <c r="Y220" s="922">
        <v>116250</v>
      </c>
      <c r="Z220" s="899">
        <f>AA220/$C$220</f>
        <v>179</v>
      </c>
      <c r="AA220" s="922">
        <v>111875</v>
      </c>
      <c r="AB220" s="941">
        <f>AC220/$C$220</f>
        <v>181</v>
      </c>
      <c r="AC220" s="922">
        <v>113125</v>
      </c>
      <c r="AD220" s="898">
        <f>SUM(G220,I220,K220,M220,O220,Q220,S220,U220,W220,Y220,AA220,AC220)</f>
        <v>1391875</v>
      </c>
    </row>
    <row r="221" spans="1:30">
      <c r="A221" s="910">
        <v>217</v>
      </c>
      <c r="B221" s="830" t="s">
        <v>2713</v>
      </c>
      <c r="C221" s="910">
        <v>0.2</v>
      </c>
      <c r="F221" s="899">
        <f>G221/$C$221</f>
        <v>1511520</v>
      </c>
      <c r="G221" s="922">
        <v>302304</v>
      </c>
      <c r="H221" s="899">
        <f>I221/$C$221</f>
        <v>1511520</v>
      </c>
      <c r="I221" s="922">
        <v>302304</v>
      </c>
      <c r="J221" s="899">
        <f>K221/$C$221</f>
        <v>1506520</v>
      </c>
      <c r="K221" s="922">
        <v>301304</v>
      </c>
      <c r="L221" s="899">
        <f>M221/$C$221</f>
        <v>1506520</v>
      </c>
      <c r="M221" s="922">
        <v>301304</v>
      </c>
      <c r="N221" s="899">
        <f>O221/$C$221</f>
        <v>1508820</v>
      </c>
      <c r="O221" s="922">
        <v>301764</v>
      </c>
      <c r="P221" s="899">
        <f>Q221/$C$221</f>
        <v>1512320</v>
      </c>
      <c r="Q221" s="922">
        <v>302464</v>
      </c>
      <c r="R221" s="899">
        <f>S221/$C$221</f>
        <v>1509320</v>
      </c>
      <c r="S221" s="922">
        <v>301864</v>
      </c>
      <c r="T221" s="899">
        <f>U221/$C$221</f>
        <v>1509320</v>
      </c>
      <c r="U221" s="922">
        <v>301864</v>
      </c>
      <c r="V221" s="899">
        <f>W221/$C$221</f>
        <v>1500620</v>
      </c>
      <c r="W221" s="923">
        <v>300124</v>
      </c>
      <c r="X221" s="899">
        <f>Y221/$C$221</f>
        <v>1495620</v>
      </c>
      <c r="Y221" s="922">
        <v>299124</v>
      </c>
      <c r="Z221" s="899">
        <f>AA221/$C$221</f>
        <v>1399420</v>
      </c>
      <c r="AA221" s="922">
        <v>279884</v>
      </c>
      <c r="AB221" s="899">
        <f>AC221/$C$221</f>
        <v>1402620</v>
      </c>
      <c r="AC221" s="922">
        <v>280524</v>
      </c>
      <c r="AD221" s="898">
        <f t="shared" ref="AD221:AD226" si="12">SUM(G221,I221,K221,M221,O221,Q221,S221,U221,W221,Y221,AA221,AC221)</f>
        <v>3574828</v>
      </c>
    </row>
    <row r="222" spans="1:30">
      <c r="A222" s="910">
        <v>218</v>
      </c>
      <c r="B222" s="830" t="s">
        <v>2714</v>
      </c>
      <c r="C222" s="910">
        <v>4.0000000000000002E-4</v>
      </c>
      <c r="F222" s="899">
        <f>G222/$C$222</f>
        <v>29346875</v>
      </c>
      <c r="G222" s="922">
        <v>11738.75</v>
      </c>
      <c r="H222" s="899">
        <f>I222/$C$222</f>
        <v>31076824.999999996</v>
      </c>
      <c r="I222" s="922">
        <v>12430.73</v>
      </c>
      <c r="J222" s="899">
        <f>K222/$C$222</f>
        <v>30225250</v>
      </c>
      <c r="K222" s="922">
        <v>12090.1</v>
      </c>
      <c r="L222" s="899">
        <f>M222/$C$222</f>
        <v>29437075</v>
      </c>
      <c r="M222" s="922">
        <v>11774.83</v>
      </c>
      <c r="N222" s="899">
        <f>O222/$C$222</f>
        <v>27861925</v>
      </c>
      <c r="O222" s="922">
        <v>11144.77</v>
      </c>
      <c r="P222" s="899">
        <f>Q222/$C$222</f>
        <v>29822949.999999996</v>
      </c>
      <c r="Q222" s="922">
        <v>11929.179999999998</v>
      </c>
      <c r="R222" s="899">
        <f>S222/$C$222</f>
        <v>27060275</v>
      </c>
      <c r="S222" s="922">
        <v>10824.11</v>
      </c>
      <c r="T222" s="899">
        <f>U222/$C$222</f>
        <v>26669274.999999996</v>
      </c>
      <c r="U222" s="922">
        <v>10667.71</v>
      </c>
      <c r="V222" s="899">
        <f>W222/$C$222</f>
        <v>28179200</v>
      </c>
      <c r="W222" s="923">
        <v>11271.68</v>
      </c>
      <c r="X222" s="899">
        <f>Y222/$C$222</f>
        <v>31905299.999999996</v>
      </c>
      <c r="Y222" s="922">
        <v>12762.119999999999</v>
      </c>
      <c r="Z222" s="899">
        <f>AA222/$C$222</f>
        <v>33622049.999999993</v>
      </c>
      <c r="AA222" s="922">
        <v>13448.819999999998</v>
      </c>
      <c r="AB222" s="899">
        <f>AC222/$C$222</f>
        <v>29817599.999999996</v>
      </c>
      <c r="AC222" s="922">
        <v>11927.039999999999</v>
      </c>
      <c r="AD222" s="898">
        <f t="shared" si="12"/>
        <v>142009.83999999997</v>
      </c>
    </row>
    <row r="223" spans="1:30">
      <c r="A223" s="910">
        <v>219</v>
      </c>
      <c r="B223" s="830" t="s">
        <v>2716</v>
      </c>
      <c r="C223" s="910">
        <v>5.3310000000000003E-2</v>
      </c>
      <c r="F223" s="899">
        <f>G223/$C$223</f>
        <v>7862115.3629712993</v>
      </c>
      <c r="G223" s="922">
        <v>419129.37</v>
      </c>
      <c r="H223" s="899">
        <f>I223/$C$223</f>
        <v>8453276.8711311202</v>
      </c>
      <c r="I223" s="922">
        <v>450644.19</v>
      </c>
      <c r="J223" s="899">
        <f>K223/$C$223</f>
        <v>8557635.9032076523</v>
      </c>
      <c r="K223" s="922">
        <v>456207.57</v>
      </c>
      <c r="L223" s="899">
        <f>M223/$C$223</f>
        <v>8253032.0765334833</v>
      </c>
      <c r="M223" s="922">
        <v>439969.14</v>
      </c>
      <c r="N223" s="899">
        <f>O223/$C$223</f>
        <v>7503525.792534234</v>
      </c>
      <c r="O223" s="922">
        <v>400012.96</v>
      </c>
      <c r="P223" s="899">
        <f>Q223/$C$223</f>
        <v>7181359.7824048027</v>
      </c>
      <c r="Q223" s="922">
        <v>382838.29000000004</v>
      </c>
      <c r="R223" s="899">
        <f>S223/$C$223</f>
        <v>7238910.3357718997</v>
      </c>
      <c r="S223" s="922">
        <v>385906.31</v>
      </c>
      <c r="T223" s="899">
        <f>U223/$C$223</f>
        <v>7149827.9872444198</v>
      </c>
      <c r="U223" s="922">
        <v>381157.33</v>
      </c>
      <c r="V223" s="899">
        <f>W223/$C$223</f>
        <v>7170331.4575126609</v>
      </c>
      <c r="W223" s="923">
        <v>382250.37</v>
      </c>
      <c r="X223" s="899">
        <f>Y223/$C$223</f>
        <v>8230819.9212155314</v>
      </c>
      <c r="Y223" s="922">
        <v>438785.01</v>
      </c>
      <c r="Z223" s="899">
        <f>AA223/$C$223</f>
        <v>8763705.8713187017</v>
      </c>
      <c r="AA223" s="922">
        <v>467193.16</v>
      </c>
      <c r="AB223" s="899">
        <f>AC223/$C$223</f>
        <v>7999591.071093603</v>
      </c>
      <c r="AC223" s="922">
        <v>426458.2</v>
      </c>
      <c r="AD223" s="898">
        <f t="shared" si="12"/>
        <v>5030551.9000000004</v>
      </c>
    </row>
    <row r="224" spans="1:30">
      <c r="A224" s="910">
        <v>220</v>
      </c>
      <c r="B224" s="830" t="s">
        <v>2494</v>
      </c>
      <c r="C224" s="910">
        <v>1.9449999999999999E-2</v>
      </c>
      <c r="F224" s="899">
        <f>G224/$C$224</f>
        <v>5476198.4575835476</v>
      </c>
      <c r="G224" s="922">
        <v>106512.06</v>
      </c>
      <c r="H224" s="899">
        <f>I224/$C$224</f>
        <v>5770126.992287918</v>
      </c>
      <c r="I224" s="922">
        <v>112228.97</v>
      </c>
      <c r="J224" s="899">
        <f>K224/$C$224</f>
        <v>5321246.7866323907</v>
      </c>
      <c r="K224" s="922">
        <v>103498.25</v>
      </c>
      <c r="L224" s="899">
        <f>M224/$C$224</f>
        <v>5312761.4395886892</v>
      </c>
      <c r="M224" s="922">
        <v>103333.21</v>
      </c>
      <c r="N224" s="899">
        <f>O224/$C$224</f>
        <v>5304661.1825192804</v>
      </c>
      <c r="O224" s="922">
        <v>103175.66</v>
      </c>
      <c r="P224" s="899">
        <f>Q224/$C$224</f>
        <v>5195831.3624678664</v>
      </c>
      <c r="Q224" s="922">
        <v>101058.92</v>
      </c>
      <c r="R224" s="899">
        <f>S224/$C$224</f>
        <v>6592056.5552699231</v>
      </c>
      <c r="S224" s="922">
        <v>128215.5</v>
      </c>
      <c r="T224" s="899">
        <f>U224/$C$224</f>
        <v>4648257.5835475586</v>
      </c>
      <c r="U224" s="922">
        <v>90408.61</v>
      </c>
      <c r="V224" s="899">
        <f>W224/$C$224</f>
        <v>4665568.6375321336</v>
      </c>
      <c r="W224" s="923">
        <v>90745.31</v>
      </c>
      <c r="X224" s="899">
        <f>Y224/$C$224</f>
        <v>5363985.6041131113</v>
      </c>
      <c r="Y224" s="922">
        <v>104329.52</v>
      </c>
      <c r="Z224" s="899">
        <f>AA224/$C$224</f>
        <v>6149301.2853470445</v>
      </c>
      <c r="AA224" s="922">
        <v>119603.91</v>
      </c>
      <c r="AB224" s="899">
        <f>AC224/$C$224</f>
        <v>4930934.7043701801</v>
      </c>
      <c r="AC224" s="922">
        <v>95906.68</v>
      </c>
      <c r="AD224" s="898">
        <f t="shared" si="12"/>
        <v>1259016.5999999999</v>
      </c>
    </row>
    <row r="225" spans="1:30">
      <c r="A225" s="910">
        <v>221</v>
      </c>
      <c r="B225" s="830" t="s">
        <v>2494</v>
      </c>
      <c r="C225" s="910">
        <v>1.1820000000000001E-2</v>
      </c>
      <c r="F225" s="899">
        <f>G225/$C$225</f>
        <v>2797255.4991539759</v>
      </c>
      <c r="G225" s="922">
        <v>33063.56</v>
      </c>
      <c r="H225" s="899">
        <f>I225/$C$225</f>
        <v>2945891.708967851</v>
      </c>
      <c r="I225" s="922">
        <v>34820.44</v>
      </c>
      <c r="J225" s="899">
        <f>K225/$C$225</f>
        <v>2863669.2047377327</v>
      </c>
      <c r="K225" s="922">
        <v>33848.57</v>
      </c>
      <c r="L225" s="899">
        <f>M225/$C$225</f>
        <v>2573247.8849407784</v>
      </c>
      <c r="M225" s="922">
        <v>30415.79</v>
      </c>
      <c r="N225" s="899">
        <f>O225/$C$225</f>
        <v>2547390.8629441625</v>
      </c>
      <c r="O225" s="922">
        <v>30110.16</v>
      </c>
      <c r="P225" s="899">
        <f>Q225/$C$225</f>
        <v>2762310.4906937391</v>
      </c>
      <c r="Q225" s="922">
        <v>32650.51</v>
      </c>
      <c r="R225" s="899">
        <f>S225/$C$225</f>
        <v>0</v>
      </c>
      <c r="S225" s="922"/>
      <c r="T225" s="899">
        <f>U225/$C$225</f>
        <v>2180871.4043993233</v>
      </c>
      <c r="U225" s="922">
        <v>25777.9</v>
      </c>
      <c r="V225" s="899">
        <f>W225/$C$225</f>
        <v>2310089.6785109979</v>
      </c>
      <c r="W225" s="923">
        <v>27305.26</v>
      </c>
      <c r="X225" s="899">
        <f>Y225/$C$225</f>
        <v>2455660.7445008457</v>
      </c>
      <c r="Y225" s="922">
        <v>29025.91</v>
      </c>
      <c r="Z225" s="899">
        <f>AA225/$C$225</f>
        <v>2629170.8967851098</v>
      </c>
      <c r="AA225" s="922">
        <v>31076.799999999999</v>
      </c>
      <c r="AB225" s="899">
        <f>AC225/$C$225</f>
        <v>2231098.9847715735</v>
      </c>
      <c r="AC225" s="922">
        <v>26371.59</v>
      </c>
      <c r="AD225" s="898">
        <f t="shared" si="12"/>
        <v>334466.49000000005</v>
      </c>
    </row>
    <row r="226" spans="1:30">
      <c r="A226" s="910">
        <v>222</v>
      </c>
      <c r="B226" s="837" t="s">
        <v>2717</v>
      </c>
      <c r="C226" s="910">
        <v>5.62E-3</v>
      </c>
      <c r="F226" s="899">
        <f>G226/$C$226</f>
        <v>13211284.697508896</v>
      </c>
      <c r="G226" s="922">
        <v>74247.42</v>
      </c>
      <c r="H226" s="899">
        <f>I226/$C$226</f>
        <v>13907637.010676157</v>
      </c>
      <c r="I226" s="922">
        <v>78160.92</v>
      </c>
      <c r="J226" s="899">
        <f>K226/$C$226</f>
        <v>13482677.935943061</v>
      </c>
      <c r="K226" s="922">
        <v>75772.650000000009</v>
      </c>
      <c r="L226" s="899">
        <f>M226/$C$226</f>
        <v>13298076.512455516</v>
      </c>
      <c r="M226" s="922">
        <v>74735.19</v>
      </c>
      <c r="N226" s="899">
        <f>O226/$C$226</f>
        <v>12506341.637010677</v>
      </c>
      <c r="O226" s="922">
        <v>70285.64</v>
      </c>
      <c r="P226" s="899">
        <f>Q226/$C$226</f>
        <v>14683366.548042705</v>
      </c>
      <c r="Q226" s="922">
        <v>82520.52</v>
      </c>
      <c r="R226" s="899">
        <f>S226/$C$226</f>
        <v>12263814.946619216</v>
      </c>
      <c r="S226" s="922">
        <v>68922.64</v>
      </c>
      <c r="T226" s="899">
        <f>U226/$C$226</f>
        <v>12690279.359430604</v>
      </c>
      <c r="U226" s="922">
        <v>71319.37</v>
      </c>
      <c r="V226" s="899">
        <f>W226/$C$226</f>
        <v>14033218.861209964</v>
      </c>
      <c r="W226" s="923">
        <v>78866.69</v>
      </c>
      <c r="X226" s="899">
        <f>Y226/$C$226</f>
        <v>15854873.665480427</v>
      </c>
      <c r="Y226" s="922">
        <v>89104.39</v>
      </c>
      <c r="Z226" s="899">
        <f>AA226/$C$226</f>
        <v>16079957.295373665</v>
      </c>
      <c r="AA226" s="922">
        <v>90369.36</v>
      </c>
      <c r="AB226" s="899">
        <f>AC226/$C$226</f>
        <v>14656001.77935943</v>
      </c>
      <c r="AC226" s="922">
        <v>82366.73</v>
      </c>
      <c r="AD226" s="898">
        <f t="shared" si="12"/>
        <v>936671.52</v>
      </c>
    </row>
    <row r="227" spans="1:30">
      <c r="A227" s="910">
        <v>223</v>
      </c>
      <c r="B227" s="900" t="s">
        <v>2658</v>
      </c>
      <c r="G227" s="938">
        <v>-18488.490000000002</v>
      </c>
      <c r="H227" s="930"/>
      <c r="I227" s="938">
        <v>-19578.41</v>
      </c>
      <c r="J227" s="930"/>
      <c r="K227" s="938">
        <v>-19041.900000000001</v>
      </c>
      <c r="L227" s="930"/>
      <c r="M227" s="938">
        <v>-18545.41</v>
      </c>
      <c r="N227" s="930"/>
      <c r="O227" s="938">
        <v>-17553.05</v>
      </c>
      <c r="P227" s="930"/>
      <c r="Q227" s="938">
        <v>-18788.41</v>
      </c>
      <c r="R227" s="930"/>
      <c r="S227" s="938">
        <v>-17047.929999999997</v>
      </c>
      <c r="U227" s="898">
        <v>-16801.620000000003</v>
      </c>
      <c r="W227" s="923">
        <v>-17752.87</v>
      </c>
      <c r="X227" s="925"/>
      <c r="Y227" s="922">
        <v>-20100.330000000002</v>
      </c>
      <c r="Z227" s="924"/>
      <c r="AA227" s="922">
        <v>-21181.899999999994</v>
      </c>
      <c r="AB227" s="924"/>
      <c r="AC227" s="922">
        <v>-21170.510000000002</v>
      </c>
      <c r="AD227" s="898">
        <f t="shared" ref="AD227:AD246" si="13">SUM(G227:AC227)</f>
        <v>-226050.83</v>
      </c>
    </row>
    <row r="228" spans="1:30">
      <c r="A228" s="910">
        <v>224</v>
      </c>
      <c r="B228" s="900" t="s">
        <v>2659</v>
      </c>
      <c r="G228" s="938">
        <v>-8510.57</v>
      </c>
      <c r="H228" s="930"/>
      <c r="I228" s="938">
        <v>-9012.31</v>
      </c>
      <c r="J228" s="930"/>
      <c r="K228" s="938">
        <v>-8765.34</v>
      </c>
      <c r="L228" s="930"/>
      <c r="M228" s="938">
        <v>-8536.75</v>
      </c>
      <c r="N228" s="930"/>
      <c r="O228" s="938">
        <v>-8079.95</v>
      </c>
      <c r="P228" s="930"/>
      <c r="Q228" s="938">
        <v>-8648.5999999999985</v>
      </c>
      <c r="R228" s="930"/>
      <c r="S228" s="938">
        <v>-7847.4</v>
      </c>
      <c r="U228" s="898">
        <v>-7734.0999999999995</v>
      </c>
      <c r="W228" s="923">
        <v>-8171.86</v>
      </c>
      <c r="X228" s="925"/>
      <c r="Y228" s="922">
        <v>-9252.5400000000009</v>
      </c>
      <c r="Z228" s="924"/>
      <c r="AA228" s="922">
        <v>-9750.4599999999991</v>
      </c>
      <c r="AB228" s="924"/>
      <c r="AC228" s="922">
        <v>-7782.4799999999987</v>
      </c>
      <c r="AD228" s="898">
        <f t="shared" si="13"/>
        <v>-102092.36</v>
      </c>
    </row>
    <row r="229" spans="1:30">
      <c r="A229" s="910">
        <v>225</v>
      </c>
      <c r="B229" s="900" t="s">
        <v>2660</v>
      </c>
      <c r="G229" s="938">
        <v>-15847.32</v>
      </c>
      <c r="H229" s="930"/>
      <c r="I229" s="938">
        <v>-16781.55</v>
      </c>
      <c r="J229" s="930"/>
      <c r="K229" s="938">
        <v>-16321.59</v>
      </c>
      <c r="L229" s="930"/>
      <c r="M229" s="938">
        <v>-15896.06</v>
      </c>
      <c r="N229" s="930"/>
      <c r="O229" s="938">
        <v>-15045.44</v>
      </c>
      <c r="P229" s="930"/>
      <c r="Q229" s="938">
        <v>-16104.38</v>
      </c>
      <c r="R229" s="930"/>
      <c r="S229" s="938">
        <v>-14612.5</v>
      </c>
      <c r="U229" s="898">
        <v>-14401.409999999998</v>
      </c>
      <c r="W229" s="923">
        <v>-15216.81</v>
      </c>
      <c r="X229" s="925"/>
      <c r="Y229" s="922">
        <v>-17228.910000000003</v>
      </c>
      <c r="Z229" s="924"/>
      <c r="AA229" s="922">
        <v>-18156.02</v>
      </c>
      <c r="AB229" s="924"/>
      <c r="AC229" s="922"/>
      <c r="AD229" s="898">
        <f t="shared" si="13"/>
        <v>-175611.99</v>
      </c>
    </row>
    <row r="230" spans="1:30">
      <c r="A230" s="910">
        <v>226</v>
      </c>
      <c r="B230" s="900" t="s">
        <v>2653</v>
      </c>
      <c r="G230" s="922">
        <v>9097.5</v>
      </c>
      <c r="H230" s="924"/>
      <c r="I230" s="922">
        <v>9633.84</v>
      </c>
      <c r="J230" s="924"/>
      <c r="K230" s="922">
        <v>9369.83</v>
      </c>
      <c r="L230" s="924"/>
      <c r="M230" s="922">
        <v>9125.3700000000008</v>
      </c>
      <c r="N230" s="924"/>
      <c r="O230" s="922">
        <v>8637.19</v>
      </c>
      <c r="P230" s="924"/>
      <c r="Q230" s="922">
        <v>9245.07</v>
      </c>
      <c r="R230" s="924"/>
      <c r="S230" s="922">
        <v>8388.69</v>
      </c>
      <c r="T230" s="924"/>
      <c r="U230" s="922">
        <v>8267.48</v>
      </c>
      <c r="V230" s="924"/>
      <c r="W230" s="923">
        <v>8735.5</v>
      </c>
      <c r="X230" s="925"/>
      <c r="Y230" s="922">
        <v>9890.66</v>
      </c>
      <c r="Z230" s="924"/>
      <c r="AA230" s="922">
        <v>10422.849999999999</v>
      </c>
      <c r="AB230" s="924"/>
      <c r="AC230" s="922">
        <v>8945.35</v>
      </c>
      <c r="AD230" s="898">
        <f t="shared" si="13"/>
        <v>109759.33000000002</v>
      </c>
    </row>
    <row r="231" spans="1:30">
      <c r="A231" s="910">
        <v>227</v>
      </c>
      <c r="B231" s="900" t="s">
        <v>2654</v>
      </c>
      <c r="G231" s="922">
        <v>50183.09</v>
      </c>
      <c r="H231" s="924"/>
      <c r="I231" s="922">
        <v>53141.57</v>
      </c>
      <c r="J231" s="924"/>
      <c r="K231" s="922">
        <v>51685.16</v>
      </c>
      <c r="L231" s="924"/>
      <c r="M231" s="922">
        <v>50337.49</v>
      </c>
      <c r="N231" s="924"/>
      <c r="O231" s="922">
        <v>47643.9</v>
      </c>
      <c r="P231" s="924"/>
      <c r="Q231" s="922">
        <v>50997.07</v>
      </c>
      <c r="R231" s="924"/>
      <c r="S231" s="922">
        <v>46272.92</v>
      </c>
      <c r="T231" s="924"/>
      <c r="U231" s="922">
        <v>45604.37</v>
      </c>
      <c r="V231" s="924"/>
      <c r="W231" s="923">
        <v>48186.43</v>
      </c>
      <c r="X231" s="925"/>
      <c r="Y231" s="922">
        <v>54558.14</v>
      </c>
      <c r="Z231" s="924"/>
      <c r="AA231" s="922">
        <v>57493.850000000006</v>
      </c>
      <c r="AB231" s="924"/>
      <c r="AC231" s="922">
        <v>51882.67</v>
      </c>
      <c r="AD231" s="898">
        <f t="shared" si="13"/>
        <v>607986.66</v>
      </c>
    </row>
    <row r="232" spans="1:30">
      <c r="A232" s="910">
        <v>228</v>
      </c>
      <c r="B232" s="900" t="s">
        <v>2894</v>
      </c>
      <c r="G232" s="922">
        <v>1250</v>
      </c>
      <c r="H232" s="924"/>
      <c r="I232" s="922">
        <v>1250</v>
      </c>
      <c r="J232" s="924"/>
      <c r="K232" s="922">
        <v>1250</v>
      </c>
      <c r="L232" s="924"/>
      <c r="M232" s="922">
        <v>1250</v>
      </c>
      <c r="N232" s="924"/>
      <c r="O232" s="922">
        <v>1250</v>
      </c>
      <c r="P232" s="924"/>
      <c r="Q232" s="922">
        <v>1750</v>
      </c>
      <c r="R232" s="924"/>
      <c r="S232" s="922">
        <v>1875</v>
      </c>
      <c r="T232" s="924"/>
      <c r="U232" s="922">
        <v>1875</v>
      </c>
      <c r="V232" s="924"/>
      <c r="W232" s="923">
        <v>1875</v>
      </c>
      <c r="X232" s="925"/>
      <c r="Y232" s="922">
        <v>1875</v>
      </c>
      <c r="Z232" s="924"/>
      <c r="AA232" s="922">
        <v>1875</v>
      </c>
      <c r="AB232" s="924"/>
      <c r="AC232" s="922">
        <v>1875</v>
      </c>
      <c r="AD232" s="898">
        <f t="shared" si="13"/>
        <v>19250</v>
      </c>
    </row>
    <row r="233" spans="1:30">
      <c r="A233" s="910">
        <v>229</v>
      </c>
      <c r="B233" s="900" t="s">
        <v>2894</v>
      </c>
      <c r="G233" s="922">
        <v>500</v>
      </c>
      <c r="H233" s="924"/>
      <c r="I233" s="922">
        <v>500</v>
      </c>
      <c r="J233" s="924"/>
      <c r="K233" s="922">
        <v>500</v>
      </c>
      <c r="L233" s="924"/>
      <c r="M233" s="922">
        <v>500</v>
      </c>
      <c r="N233" s="924"/>
      <c r="O233" s="922">
        <v>500</v>
      </c>
      <c r="P233" s="924"/>
      <c r="R233" s="924"/>
      <c r="S233" s="922">
        <v>0</v>
      </c>
      <c r="T233" s="924"/>
      <c r="U233" s="922">
        <v>0</v>
      </c>
      <c r="V233" s="924"/>
      <c r="W233" s="923"/>
      <c r="X233" s="925"/>
      <c r="Y233" s="922"/>
      <c r="Z233" s="924"/>
      <c r="AA233" s="922"/>
      <c r="AB233" s="924"/>
      <c r="AC233" s="922"/>
      <c r="AD233" s="898">
        <f t="shared" si="13"/>
        <v>2500</v>
      </c>
    </row>
    <row r="234" spans="1:30">
      <c r="A234" s="910">
        <v>230</v>
      </c>
      <c r="B234" s="900" t="s">
        <v>2719</v>
      </c>
      <c r="G234" s="922">
        <v>47189.87</v>
      </c>
      <c r="H234" s="924"/>
      <c r="I234" s="922">
        <v>49121.58</v>
      </c>
      <c r="J234" s="924"/>
      <c r="K234" s="922">
        <v>48745.17</v>
      </c>
      <c r="L234" s="924"/>
      <c r="M234" s="922">
        <v>47806.36</v>
      </c>
      <c r="N234" s="924"/>
      <c r="O234" s="922">
        <v>45866.14</v>
      </c>
      <c r="P234" s="924"/>
      <c r="Q234" s="922">
        <v>45787.14</v>
      </c>
      <c r="R234" s="924"/>
      <c r="S234" s="922">
        <v>44979.43</v>
      </c>
      <c r="T234" s="924"/>
      <c r="U234" s="922">
        <v>44335.180000000008</v>
      </c>
      <c r="V234" s="924"/>
      <c r="W234" s="898">
        <v>44722.64</v>
      </c>
      <c r="Y234" s="922">
        <v>48353.61</v>
      </c>
      <c r="Z234" s="924"/>
      <c r="AA234" s="922">
        <v>49420.060000000005</v>
      </c>
      <c r="AB234" s="924"/>
      <c r="AC234" s="922">
        <v>46018.32</v>
      </c>
      <c r="AD234" s="898">
        <f t="shared" si="13"/>
        <v>562345.5</v>
      </c>
    </row>
    <row r="235" spans="1:30">
      <c r="A235" s="910">
        <v>231</v>
      </c>
      <c r="B235" s="900" t="s">
        <v>2661</v>
      </c>
      <c r="G235" s="922">
        <v>34144.520000000004</v>
      </c>
      <c r="H235" s="924"/>
      <c r="I235" s="922">
        <v>35729.840000000004</v>
      </c>
      <c r="J235" s="924"/>
      <c r="K235" s="922">
        <v>35310.480000000003</v>
      </c>
      <c r="L235" s="924"/>
      <c r="M235" s="922">
        <v>34677.68</v>
      </c>
      <c r="N235" s="924"/>
      <c r="O235" s="922">
        <v>31643.9</v>
      </c>
      <c r="P235" s="924"/>
      <c r="Q235" s="922">
        <v>31473.71</v>
      </c>
      <c r="R235" s="924"/>
      <c r="S235" s="922">
        <v>31492.310000000005</v>
      </c>
      <c r="T235" s="924"/>
      <c r="U235" s="922">
        <v>32294.77</v>
      </c>
      <c r="V235" s="924"/>
      <c r="W235" s="898">
        <v>33382.080000000002</v>
      </c>
      <c r="Y235" s="922">
        <v>35899.18</v>
      </c>
      <c r="Z235" s="924"/>
      <c r="AA235" s="922">
        <v>38109.590000000004</v>
      </c>
      <c r="AB235" s="924"/>
      <c r="AC235" s="922">
        <v>34238.339999999997</v>
      </c>
      <c r="AD235" s="898">
        <f t="shared" si="13"/>
        <v>408396.4</v>
      </c>
    </row>
    <row r="236" spans="1:30">
      <c r="A236" s="910">
        <v>232</v>
      </c>
      <c r="B236" s="900" t="s">
        <v>2676</v>
      </c>
      <c r="G236" s="922">
        <v>98.47</v>
      </c>
      <c r="H236" s="924"/>
      <c r="I236" s="922">
        <v>112.52</v>
      </c>
      <c r="J236" s="924"/>
      <c r="K236" s="922">
        <v>118.7</v>
      </c>
      <c r="L236" s="924"/>
      <c r="M236" s="922">
        <v>88.25</v>
      </c>
      <c r="N236" s="924"/>
      <c r="O236" s="922">
        <v>91.67</v>
      </c>
      <c r="P236" s="924"/>
      <c r="Q236" s="922">
        <v>114.07000000000001</v>
      </c>
      <c r="R236" s="924"/>
      <c r="S236" s="922">
        <v>90.36999999999999</v>
      </c>
      <c r="T236" s="924"/>
      <c r="U236" s="922"/>
      <c r="V236" s="924"/>
      <c r="Y236" s="922"/>
      <c r="Z236" s="924"/>
      <c r="AA236" s="922"/>
      <c r="AB236" s="924"/>
      <c r="AC236" s="922"/>
      <c r="AD236" s="898">
        <f t="shared" si="13"/>
        <v>714.05000000000007</v>
      </c>
    </row>
    <row r="237" spans="1:30">
      <c r="A237" s="910">
        <v>233</v>
      </c>
      <c r="B237" s="900" t="s">
        <v>2684</v>
      </c>
      <c r="G237" s="922">
        <v>728.39</v>
      </c>
      <c r="H237" s="924"/>
      <c r="I237" s="898">
        <v>2676.24</v>
      </c>
      <c r="K237" s="898">
        <v>2553.2200000000003</v>
      </c>
      <c r="M237" s="922">
        <v>60</v>
      </c>
      <c r="N237" s="924"/>
      <c r="O237" s="922">
        <v>60</v>
      </c>
      <c r="P237" s="924"/>
      <c r="Q237" s="922">
        <v>60</v>
      </c>
      <c r="R237" s="924"/>
      <c r="S237" s="922">
        <v>60</v>
      </c>
      <c r="T237" s="924"/>
      <c r="U237" s="922"/>
      <c r="V237" s="924"/>
      <c r="Y237" s="922"/>
      <c r="Z237" s="924"/>
      <c r="AA237" s="922"/>
      <c r="AB237" s="924"/>
      <c r="AC237" s="922"/>
      <c r="AD237" s="898">
        <f t="shared" si="13"/>
        <v>6197.85</v>
      </c>
    </row>
    <row r="238" spans="1:30">
      <c r="A238" s="910">
        <v>234</v>
      </c>
      <c r="B238" s="900" t="s">
        <v>2662</v>
      </c>
      <c r="G238" s="922">
        <v>81.180000000000007</v>
      </c>
      <c r="H238" s="924"/>
      <c r="I238" s="922">
        <v>103.43</v>
      </c>
      <c r="J238" s="924"/>
      <c r="K238" s="922">
        <v>103.3</v>
      </c>
      <c r="L238" s="924"/>
      <c r="M238" s="922">
        <v>2335.15</v>
      </c>
      <c r="N238" s="924"/>
      <c r="O238" s="922">
        <v>773.95</v>
      </c>
      <c r="P238" s="924"/>
      <c r="Q238" s="922">
        <v>1065.1600000000001</v>
      </c>
      <c r="R238" s="924"/>
      <c r="S238" s="922">
        <v>1140.77</v>
      </c>
      <c r="T238" s="924"/>
      <c r="U238" s="922"/>
      <c r="V238" s="924"/>
      <c r="Y238" s="922"/>
      <c r="Z238" s="924"/>
      <c r="AA238" s="922"/>
      <c r="AB238" s="924"/>
      <c r="AC238" s="922"/>
      <c r="AD238" s="898">
        <f t="shared" si="13"/>
        <v>5602.9400000000005</v>
      </c>
    </row>
    <row r="239" spans="1:30">
      <c r="A239" s="910">
        <v>235</v>
      </c>
      <c r="B239" s="900" t="s">
        <v>2663</v>
      </c>
      <c r="G239" s="922">
        <v>-121.68</v>
      </c>
      <c r="H239" s="924"/>
      <c r="I239" s="922">
        <v>-123.31</v>
      </c>
      <c r="J239" s="924"/>
      <c r="K239" s="922">
        <v>-119.17</v>
      </c>
      <c r="L239" s="924"/>
      <c r="M239" s="922">
        <v>102.84</v>
      </c>
      <c r="N239" s="924"/>
      <c r="O239" s="922">
        <v>97.25</v>
      </c>
      <c r="P239" s="924"/>
      <c r="Q239" s="922">
        <v>98.51</v>
      </c>
      <c r="R239" s="924"/>
      <c r="S239" s="922">
        <v>95.69</v>
      </c>
      <c r="T239" s="924"/>
      <c r="U239" s="922"/>
      <c r="V239" s="924"/>
      <c r="Y239" s="922"/>
      <c r="Z239" s="924"/>
      <c r="AA239" s="922"/>
      <c r="AB239" s="924"/>
      <c r="AC239" s="922"/>
      <c r="AD239" s="898">
        <f t="shared" si="13"/>
        <v>30.129999999999953</v>
      </c>
    </row>
    <row r="240" spans="1:30">
      <c r="A240" s="910">
        <v>236</v>
      </c>
      <c r="B240" s="900" t="s">
        <v>2664</v>
      </c>
      <c r="G240" s="922">
        <v>708</v>
      </c>
      <c r="H240" s="924"/>
      <c r="I240" s="922">
        <v>721.19</v>
      </c>
      <c r="J240" s="924"/>
      <c r="K240" s="922">
        <v>554.18000000000006</v>
      </c>
      <c r="L240" s="924"/>
      <c r="M240" s="922">
        <v>-119.99</v>
      </c>
      <c r="N240" s="924"/>
      <c r="O240" s="922">
        <v>-120.16</v>
      </c>
      <c r="P240" s="924"/>
      <c r="Q240" s="922">
        <v>-118.48</v>
      </c>
      <c r="R240" s="924"/>
      <c r="S240" s="922">
        <v>-111.94</v>
      </c>
      <c r="T240" s="924"/>
      <c r="U240" s="922">
        <v>-117.86</v>
      </c>
      <c r="V240" s="924"/>
      <c r="W240" s="898">
        <v>-119.86</v>
      </c>
      <c r="Y240" s="922">
        <v>-118</v>
      </c>
      <c r="Z240" s="924"/>
      <c r="AA240" s="922">
        <v>-127.87</v>
      </c>
      <c r="AB240" s="924"/>
      <c r="AC240" s="922">
        <v>-124.88999999999999</v>
      </c>
      <c r="AD240" s="898">
        <f t="shared" si="13"/>
        <v>904.32</v>
      </c>
    </row>
    <row r="241" spans="1:31">
      <c r="A241" s="910">
        <v>237</v>
      </c>
      <c r="B241" s="900" t="s">
        <v>2665</v>
      </c>
      <c r="G241" s="922"/>
      <c r="H241" s="924"/>
      <c r="I241" s="922"/>
      <c r="J241" s="924"/>
      <c r="K241" s="922"/>
      <c r="L241" s="924"/>
      <c r="M241" s="922">
        <v>670.49</v>
      </c>
      <c r="N241" s="924"/>
      <c r="O241" s="922">
        <v>645.11</v>
      </c>
      <c r="P241" s="924"/>
      <c r="Q241" s="922">
        <v>563.55999999999995</v>
      </c>
      <c r="R241" s="924"/>
      <c r="S241" s="922">
        <v>639.61</v>
      </c>
      <c r="T241" s="924"/>
      <c r="U241" s="922">
        <v>763.58999999999992</v>
      </c>
      <c r="V241" s="924"/>
      <c r="W241" s="898">
        <v>843.05</v>
      </c>
      <c r="Y241" s="922">
        <v>905.88</v>
      </c>
      <c r="Z241" s="924"/>
      <c r="AA241" s="922">
        <v>775.78</v>
      </c>
      <c r="AB241" s="924"/>
      <c r="AC241" s="922">
        <v>715.5</v>
      </c>
      <c r="AD241" s="898">
        <f t="shared" si="13"/>
        <v>6522.57</v>
      </c>
    </row>
    <row r="242" spans="1:31">
      <c r="A242" s="910">
        <v>238</v>
      </c>
      <c r="B242" s="900" t="s">
        <v>2677</v>
      </c>
      <c r="G242" s="922"/>
      <c r="H242" s="924"/>
      <c r="I242" s="922"/>
      <c r="J242" s="924"/>
      <c r="M242" s="898">
        <v>-757.31</v>
      </c>
      <c r="S242" s="898">
        <v>0</v>
      </c>
      <c r="U242" s="922">
        <v>-19782.670000000006</v>
      </c>
      <c r="V242" s="924"/>
      <c r="Y242" s="898">
        <v>7214.24</v>
      </c>
      <c r="AA242" s="898">
        <v>7.21</v>
      </c>
      <c r="AD242" s="898">
        <f t="shared" si="13"/>
        <v>-13318.530000000008</v>
      </c>
    </row>
    <row r="243" spans="1:31">
      <c r="A243" s="910">
        <v>239</v>
      </c>
      <c r="B243" s="900" t="s">
        <v>2884</v>
      </c>
      <c r="G243" s="922">
        <f>SUM(G220:G242)</f>
        <v>1164258.1200000001</v>
      </c>
      <c r="H243" s="922"/>
      <c r="I243" s="922">
        <f>SUM(I220:I242)</f>
        <v>1214333.8799999999</v>
      </c>
      <c r="J243" s="922"/>
      <c r="K243" s="922">
        <f>SUM(K220:K242)</f>
        <v>1204288.1799999997</v>
      </c>
      <c r="L243" s="922"/>
      <c r="M243" s="922">
        <f>SUM(M220:M242)</f>
        <v>1180255.27</v>
      </c>
      <c r="N243" s="922"/>
      <c r="O243" s="922">
        <f>SUM(O220:O242)</f>
        <v>1129778.7</v>
      </c>
      <c r="P243" s="922"/>
      <c r="Q243" s="922">
        <f>SUM(Q220:Q242)</f>
        <v>1129080.8399999999</v>
      </c>
      <c r="R243" s="922"/>
      <c r="S243" s="922">
        <f>SUM(S220:S242)</f>
        <v>1108647.58</v>
      </c>
      <c r="T243" s="922"/>
      <c r="U243" s="922">
        <f>SUM(U220:U242)</f>
        <v>1072997.6500000001</v>
      </c>
      <c r="V243" s="922"/>
      <c r="W243" s="922">
        <f>SUM(W220:W242)</f>
        <v>1103921.6100000001</v>
      </c>
      <c r="X243" s="922"/>
      <c r="Y243" s="922">
        <f>SUM(Y220:Y242)</f>
        <v>1201377.8799999997</v>
      </c>
      <c r="Z243" s="922"/>
      <c r="AA243" s="922">
        <f>SUM(AA220:AA242)</f>
        <v>1222339.1400000004</v>
      </c>
      <c r="AB243" s="922"/>
      <c r="AC243" s="922">
        <f>SUM(AC220:AC242)</f>
        <v>1151276.54</v>
      </c>
      <c r="AD243" s="898">
        <f t="shared" si="13"/>
        <v>13882555.389999997</v>
      </c>
    </row>
    <row r="244" spans="1:31">
      <c r="A244" s="910">
        <v>240</v>
      </c>
      <c r="B244" s="900" t="s">
        <v>2514</v>
      </c>
      <c r="G244" s="924">
        <v>29346851</v>
      </c>
      <c r="H244" s="924"/>
      <c r="I244" s="924">
        <v>31076934</v>
      </c>
      <c r="J244" s="924"/>
      <c r="K244" s="924">
        <v>30225230</v>
      </c>
      <c r="L244" s="924"/>
      <c r="M244" s="924">
        <v>29437116</v>
      </c>
      <c r="N244" s="924"/>
      <c r="O244" s="924">
        <v>27861922</v>
      </c>
      <c r="P244" s="924"/>
      <c r="Q244" s="924">
        <v>29822871</v>
      </c>
      <c r="R244" s="924"/>
      <c r="S244" s="924">
        <v>26669236</v>
      </c>
      <c r="T244" s="924"/>
      <c r="U244" s="924">
        <v>26669236</v>
      </c>
      <c r="V244" s="924"/>
      <c r="W244" s="930">
        <v>28179207</v>
      </c>
      <c r="X244" s="930"/>
      <c r="Y244" s="924">
        <v>31905338</v>
      </c>
      <c r="Z244" s="924"/>
      <c r="AA244" s="924">
        <v>33622137</v>
      </c>
      <c r="AB244" s="924"/>
      <c r="AC244" s="924">
        <v>29817626</v>
      </c>
      <c r="AD244" s="928">
        <f t="shared" si="13"/>
        <v>354633704</v>
      </c>
      <c r="AE244" s="928"/>
    </row>
    <row r="245" spans="1:31">
      <c r="A245" s="910">
        <v>241</v>
      </c>
      <c r="B245" s="910" t="s">
        <v>2885</v>
      </c>
      <c r="G245" s="899"/>
      <c r="I245" s="924"/>
      <c r="J245" s="924"/>
      <c r="K245" s="899"/>
      <c r="M245" s="899"/>
      <c r="O245" s="899"/>
      <c r="Q245" s="899"/>
      <c r="S245" s="930">
        <v>-582010</v>
      </c>
      <c r="U245" s="924">
        <v>-582010</v>
      </c>
      <c r="V245" s="924"/>
      <c r="W245" s="899"/>
      <c r="Y245" s="899">
        <v>294750</v>
      </c>
      <c r="AA245" s="899">
        <v>132</v>
      </c>
      <c r="AC245" s="899"/>
      <c r="AD245" s="928">
        <f t="shared" si="13"/>
        <v>-869138</v>
      </c>
      <c r="AE245" s="928"/>
    </row>
    <row r="246" spans="1:31">
      <c r="A246" s="910">
        <v>242</v>
      </c>
      <c r="B246" s="910" t="s">
        <v>2886</v>
      </c>
      <c r="G246" s="924">
        <f>SUM(G244:G245)</f>
        <v>29346851</v>
      </c>
      <c r="H246" s="924"/>
      <c r="I246" s="924">
        <f t="shared" ref="I246:AC246" si="14">SUM(I244:I245)</f>
        <v>31076934</v>
      </c>
      <c r="J246" s="924">
        <f t="shared" si="14"/>
        <v>0</v>
      </c>
      <c r="K246" s="924">
        <f t="shared" si="14"/>
        <v>30225230</v>
      </c>
      <c r="L246" s="924">
        <f t="shared" si="14"/>
        <v>0</v>
      </c>
      <c r="M246" s="924">
        <f t="shared" si="14"/>
        <v>29437116</v>
      </c>
      <c r="N246" s="924">
        <f t="shared" si="14"/>
        <v>0</v>
      </c>
      <c r="O246" s="924">
        <f t="shared" si="14"/>
        <v>27861922</v>
      </c>
      <c r="P246" s="924">
        <f t="shared" si="14"/>
        <v>0</v>
      </c>
      <c r="Q246" s="924">
        <f t="shared" si="14"/>
        <v>29822871</v>
      </c>
      <c r="R246" s="924">
        <f t="shared" si="14"/>
        <v>0</v>
      </c>
      <c r="S246" s="924">
        <f t="shared" si="14"/>
        <v>26087226</v>
      </c>
      <c r="T246" s="924">
        <f t="shared" si="14"/>
        <v>0</v>
      </c>
      <c r="U246" s="924">
        <f t="shared" si="14"/>
        <v>26087226</v>
      </c>
      <c r="V246" s="924">
        <f t="shared" si="14"/>
        <v>0</v>
      </c>
      <c r="W246" s="924">
        <f t="shared" si="14"/>
        <v>28179207</v>
      </c>
      <c r="X246" s="924">
        <f t="shared" si="14"/>
        <v>0</v>
      </c>
      <c r="Y246" s="924">
        <f t="shared" si="14"/>
        <v>32200088</v>
      </c>
      <c r="Z246" s="924">
        <f t="shared" si="14"/>
        <v>0</v>
      </c>
      <c r="AA246" s="924">
        <f t="shared" si="14"/>
        <v>33622269</v>
      </c>
      <c r="AB246" s="924">
        <f t="shared" si="14"/>
        <v>0</v>
      </c>
      <c r="AC246" s="924">
        <f t="shared" si="14"/>
        <v>29817626</v>
      </c>
      <c r="AD246" s="928">
        <f t="shared" si="13"/>
        <v>353764566</v>
      </c>
      <c r="AE246" s="928"/>
    </row>
    <row r="247" spans="1:31">
      <c r="A247" s="910">
        <v>243</v>
      </c>
      <c r="B247" s="837"/>
    </row>
    <row r="248" spans="1:31">
      <c r="A248" s="910">
        <v>244</v>
      </c>
      <c r="B248" s="851" t="s">
        <v>2722</v>
      </c>
    </row>
    <row r="249" spans="1:31">
      <c r="A249" s="910">
        <v>245</v>
      </c>
      <c r="B249" s="830" t="s">
        <v>2724</v>
      </c>
      <c r="C249" s="910">
        <v>625</v>
      </c>
      <c r="E249" s="910">
        <v>625</v>
      </c>
      <c r="F249" s="899">
        <f>G249/$C$249</f>
        <v>1</v>
      </c>
      <c r="G249" s="898">
        <v>625</v>
      </c>
      <c r="H249" s="899">
        <f>I249/$C$249</f>
        <v>1</v>
      </c>
      <c r="I249" s="922">
        <v>625</v>
      </c>
      <c r="J249" s="899">
        <f>K249/$C$249</f>
        <v>1</v>
      </c>
      <c r="K249" s="922">
        <v>625</v>
      </c>
      <c r="L249" s="899">
        <f>M249/$C$249</f>
        <v>1</v>
      </c>
      <c r="M249" s="922">
        <v>625</v>
      </c>
      <c r="N249" s="899">
        <f>O249/$C$249</f>
        <v>1</v>
      </c>
      <c r="O249" s="922">
        <v>625</v>
      </c>
      <c r="P249" s="899">
        <f>Q249/$C$249</f>
        <v>1</v>
      </c>
      <c r="Q249" s="922">
        <v>625</v>
      </c>
      <c r="R249" s="899">
        <f>S249/$C$249</f>
        <v>1</v>
      </c>
      <c r="S249" s="922">
        <v>625</v>
      </c>
      <c r="T249" s="899">
        <f>U249/$E$249</f>
        <v>1</v>
      </c>
      <c r="U249" s="922">
        <v>625</v>
      </c>
      <c r="V249" s="899">
        <f>W249/$E$249</f>
        <v>1</v>
      </c>
      <c r="W249" s="898">
        <v>625</v>
      </c>
      <c r="X249" s="899">
        <f>Y249/$E$249</f>
        <v>1</v>
      </c>
      <c r="Y249" s="922">
        <v>625</v>
      </c>
      <c r="Z249" s="899">
        <f>AA249/$E$249</f>
        <v>1</v>
      </c>
      <c r="AA249" s="922">
        <v>625</v>
      </c>
      <c r="AB249" s="941">
        <f>AC249/$E$249</f>
        <v>1</v>
      </c>
      <c r="AC249" s="922">
        <v>625</v>
      </c>
      <c r="AD249" s="898">
        <f t="shared" ref="AD249:AD254" si="15">SUM(G249,I249,K249,M249,O249,Q249,S249,U249,W249,Y249,AA249,AC249)</f>
        <v>7500</v>
      </c>
    </row>
    <row r="250" spans="1:31">
      <c r="A250" s="910">
        <v>246</v>
      </c>
      <c r="B250" s="830" t="s">
        <v>2713</v>
      </c>
      <c r="C250" s="910">
        <v>13219.29</v>
      </c>
      <c r="E250" s="943">
        <v>13344.87</v>
      </c>
      <c r="F250" s="899">
        <f>G250/$C$250</f>
        <v>1</v>
      </c>
      <c r="G250" s="898">
        <v>13219.29</v>
      </c>
      <c r="H250" s="899">
        <f>I250/$C$250</f>
        <v>1</v>
      </c>
      <c r="I250" s="922">
        <v>13219.29</v>
      </c>
      <c r="J250" s="899">
        <f>K250/$C$250</f>
        <v>1</v>
      </c>
      <c r="K250" s="922">
        <v>13219.29</v>
      </c>
      <c r="L250" s="899">
        <f>M250/$C$250</f>
        <v>1</v>
      </c>
      <c r="M250" s="922">
        <v>13219.29</v>
      </c>
      <c r="N250" s="899">
        <f>O250/$C$250</f>
        <v>1</v>
      </c>
      <c r="O250" s="922">
        <v>13219.29</v>
      </c>
      <c r="P250" s="899">
        <f>Q250/$C$250</f>
        <v>1</v>
      </c>
      <c r="Q250" s="922">
        <v>13219.29</v>
      </c>
      <c r="R250" s="899">
        <f>S250/$C$250</f>
        <v>1</v>
      </c>
      <c r="S250" s="922">
        <v>13219.29</v>
      </c>
      <c r="T250" s="899">
        <f>U250/$E$250</f>
        <v>1</v>
      </c>
      <c r="U250" s="922">
        <v>13344.87</v>
      </c>
      <c r="V250" s="899">
        <f>W250/$E$250</f>
        <v>1</v>
      </c>
      <c r="W250" s="898">
        <v>13344.87</v>
      </c>
      <c r="X250" s="899">
        <f>Y250/$E$250</f>
        <v>1</v>
      </c>
      <c r="Y250" s="922">
        <v>13344.87</v>
      </c>
      <c r="Z250" s="899">
        <f>AA250/$E$250</f>
        <v>1</v>
      </c>
      <c r="AA250" s="922">
        <v>13344.87</v>
      </c>
      <c r="AB250" s="899">
        <f>AC250/$E$250</f>
        <v>1</v>
      </c>
      <c r="AC250" s="922">
        <v>13344.87</v>
      </c>
      <c r="AD250" s="898">
        <f t="shared" si="15"/>
        <v>159259.38</v>
      </c>
    </row>
    <row r="251" spans="1:31">
      <c r="A251" s="910">
        <v>247</v>
      </c>
      <c r="B251" s="830" t="s">
        <v>2738</v>
      </c>
      <c r="E251" s="944"/>
      <c r="S251" s="922">
        <v>0</v>
      </c>
      <c r="AD251" s="898">
        <f t="shared" si="15"/>
        <v>0</v>
      </c>
    </row>
    <row r="252" spans="1:31">
      <c r="A252" s="910">
        <v>248</v>
      </c>
      <c r="B252" s="830" t="s">
        <v>2737</v>
      </c>
      <c r="C252" s="910">
        <v>4.0000000000000002E-4</v>
      </c>
      <c r="E252" s="945">
        <v>4.0000000000000002E-4</v>
      </c>
      <c r="F252" s="899">
        <f>G252/$C$252</f>
        <v>2617900</v>
      </c>
      <c r="G252" s="898">
        <v>1047.1600000000001</v>
      </c>
      <c r="H252" s="899">
        <f>I252/$C$252</f>
        <v>3202150</v>
      </c>
      <c r="I252" s="922">
        <v>1280.8600000000001</v>
      </c>
      <c r="J252" s="899">
        <f>K252/$C$252</f>
        <v>2316550</v>
      </c>
      <c r="K252" s="922">
        <v>926.62</v>
      </c>
      <c r="L252" s="899">
        <f>M252/$C$252</f>
        <v>2298400</v>
      </c>
      <c r="M252" s="922">
        <v>919.36</v>
      </c>
      <c r="N252" s="899">
        <f>O252/$C$252</f>
        <v>2069824.9999999998</v>
      </c>
      <c r="O252" s="922">
        <v>827.93</v>
      </c>
      <c r="P252" s="899">
        <f>Q252/$C$252</f>
        <v>1973650</v>
      </c>
      <c r="Q252" s="922">
        <v>789.46</v>
      </c>
      <c r="R252" s="899">
        <f>S252/$C$252</f>
        <v>2265725</v>
      </c>
      <c r="S252" s="922">
        <v>906.29</v>
      </c>
      <c r="T252" s="899">
        <f>U252/$E$252</f>
        <v>2468675</v>
      </c>
      <c r="U252" s="922">
        <v>987.47</v>
      </c>
      <c r="V252" s="899">
        <f>W252/$E$252</f>
        <v>2310625</v>
      </c>
      <c r="W252" s="898">
        <v>924.25</v>
      </c>
      <c r="X252" s="899">
        <f>Y252/$E$252</f>
        <v>2238150</v>
      </c>
      <c r="Y252" s="922">
        <v>895.26</v>
      </c>
      <c r="Z252" s="899">
        <f>AA252/$E$252</f>
        <v>2832250</v>
      </c>
      <c r="AA252" s="922">
        <v>1132.9000000000001</v>
      </c>
      <c r="AB252" s="899">
        <f>AC252/$E$252</f>
        <v>3143974.9999999995</v>
      </c>
      <c r="AC252" s="922">
        <v>1257.5899999999999</v>
      </c>
      <c r="AD252" s="898">
        <f t="shared" si="15"/>
        <v>11895.150000000001</v>
      </c>
    </row>
    <row r="253" spans="1:31">
      <c r="A253" s="910">
        <v>249</v>
      </c>
      <c r="B253" s="830" t="s">
        <v>2895</v>
      </c>
      <c r="C253" s="910">
        <v>1.4541200000000001E-2</v>
      </c>
      <c r="E253" s="944">
        <v>1.4679299999999999E-2</v>
      </c>
      <c r="F253" s="899">
        <f>G253/$C$253</f>
        <v>2545058.179517509</v>
      </c>
      <c r="G253" s="898">
        <v>37008.200000000004</v>
      </c>
      <c r="H253" s="899">
        <f>I253/$C$253</f>
        <v>3006870.1345143453</v>
      </c>
      <c r="I253" s="922">
        <v>43723.5</v>
      </c>
      <c r="J253" s="899">
        <f>K253/$C$253</f>
        <v>2292202.1566308145</v>
      </c>
      <c r="K253" s="922">
        <v>33331.370000000003</v>
      </c>
      <c r="L253" s="899">
        <f>M253/$C$253</f>
        <v>2283506.8632575027</v>
      </c>
      <c r="M253" s="922">
        <v>33204.93</v>
      </c>
      <c r="N253" s="899">
        <f>O253/$C$253</f>
        <v>2069825.7365279344</v>
      </c>
      <c r="O253" s="922">
        <v>30097.75</v>
      </c>
      <c r="P253" s="899">
        <f>Q253/$C$253</f>
        <v>1973659.6704536076</v>
      </c>
      <c r="Q253" s="922">
        <v>28699.38</v>
      </c>
      <c r="R253" s="899">
        <f>S253/$C$253</f>
        <v>2265713.2836354636</v>
      </c>
      <c r="S253" s="922">
        <v>32946.19</v>
      </c>
      <c r="T253" s="899">
        <f>U253/$E$253</f>
        <v>2468668.1245018495</v>
      </c>
      <c r="U253" s="922">
        <v>36238.32</v>
      </c>
      <c r="V253" s="899">
        <f>W253/$E$253</f>
        <v>2310614.9475792442</v>
      </c>
      <c r="W253" s="898">
        <v>33918.21</v>
      </c>
      <c r="X253" s="899">
        <f>Y253/$E$253</f>
        <v>2238144.1894368259</v>
      </c>
      <c r="Y253" s="922">
        <v>32854.39</v>
      </c>
      <c r="Z253" s="899">
        <f>AA253/$E$253</f>
        <v>2855886.1798587129</v>
      </c>
      <c r="AA253" s="922">
        <v>41922.410000000003</v>
      </c>
      <c r="AB253" s="899">
        <f>AC253/$E$253</f>
        <v>3224084.2546987939</v>
      </c>
      <c r="AC253" s="922">
        <v>47327.3</v>
      </c>
      <c r="AD253" s="898">
        <f t="shared" si="15"/>
        <v>431271.95</v>
      </c>
    </row>
    <row r="254" spans="1:31">
      <c r="A254" s="910">
        <v>250</v>
      </c>
      <c r="B254" s="830" t="s">
        <v>2896</v>
      </c>
      <c r="C254" s="910">
        <v>1.8889699999999999E-2</v>
      </c>
      <c r="E254" s="944">
        <v>1.9069099999999999E-2</v>
      </c>
      <c r="F254" s="899">
        <f>G254/$C$254</f>
        <v>72832.813649766802</v>
      </c>
      <c r="G254" s="898">
        <v>1375.79</v>
      </c>
      <c r="H254" s="899">
        <f>I254/$C$254</f>
        <v>195282.0849457641</v>
      </c>
      <c r="I254" s="922">
        <v>3688.82</v>
      </c>
      <c r="J254" s="899">
        <f>K254/$C$254</f>
        <v>24352.954255493736</v>
      </c>
      <c r="K254" s="922">
        <v>460.02</v>
      </c>
      <c r="L254" s="899">
        <f>M254/$C$254</f>
        <v>14900.183697994145</v>
      </c>
      <c r="M254" s="922">
        <v>281.45999999999998</v>
      </c>
      <c r="N254" s="899">
        <f>O254/$C$254</f>
        <v>0</v>
      </c>
      <c r="P254" s="899">
        <f>Q254/$C$254</f>
        <v>0</v>
      </c>
      <c r="R254" s="899">
        <f>S254/$C$254</f>
        <v>0</v>
      </c>
      <c r="S254" s="898">
        <v>0</v>
      </c>
      <c r="T254" s="899">
        <f>U254/$E$254</f>
        <v>0</v>
      </c>
      <c r="U254" s="922">
        <v>0</v>
      </c>
      <c r="V254" s="899">
        <f>W254/$E$254</f>
        <v>0</v>
      </c>
      <c r="X254" s="899">
        <f>Y254/$E$254</f>
        <v>0</v>
      </c>
      <c r="Y254" s="922"/>
      <c r="Z254" s="899">
        <f>AA254/$E$254</f>
        <v>0</v>
      </c>
      <c r="AA254" s="922"/>
      <c r="AB254" s="899">
        <f>AC254/$E$254</f>
        <v>0</v>
      </c>
      <c r="AD254" s="898">
        <f t="shared" si="15"/>
        <v>5806.0900000000011</v>
      </c>
    </row>
    <row r="255" spans="1:31">
      <c r="A255" s="910">
        <v>251</v>
      </c>
      <c r="B255" s="830" t="s">
        <v>2719</v>
      </c>
      <c r="G255" s="922">
        <v>2360.63</v>
      </c>
      <c r="H255" s="924"/>
      <c r="I255" s="922">
        <v>2771.04</v>
      </c>
      <c r="J255" s="924"/>
      <c r="K255" s="922">
        <v>2151.8000000000002</v>
      </c>
      <c r="L255" s="924"/>
      <c r="M255" s="898">
        <v>2137.96</v>
      </c>
      <c r="N255" s="924"/>
      <c r="O255" s="922">
        <v>1983.76</v>
      </c>
      <c r="P255" s="924"/>
      <c r="Q255" s="922">
        <v>1920.09</v>
      </c>
      <c r="R255" s="924"/>
      <c r="S255" s="922">
        <v>2113.44</v>
      </c>
      <c r="T255" s="924"/>
      <c r="U255" s="922">
        <v>2268.48</v>
      </c>
      <c r="V255" s="924"/>
      <c r="W255" s="898">
        <v>2162.87</v>
      </c>
      <c r="Y255" s="922">
        <v>2114.4499999999998</v>
      </c>
      <c r="Z255" s="924"/>
      <c r="AA255" s="922">
        <v>2526.79</v>
      </c>
      <c r="AB255" s="924"/>
      <c r="AC255" s="922">
        <v>2771.8</v>
      </c>
      <c r="AD255" s="898">
        <f t="shared" ref="AD255:AD260" si="16">SUM(G255:AC255)</f>
        <v>27283.11</v>
      </c>
    </row>
    <row r="256" spans="1:31">
      <c r="A256" s="910">
        <v>252</v>
      </c>
      <c r="B256" s="830" t="s">
        <v>2677</v>
      </c>
      <c r="G256" s="922"/>
      <c r="H256" s="924"/>
      <c r="I256" s="922"/>
      <c r="J256" s="924"/>
      <c r="K256" s="922"/>
      <c r="L256" s="924"/>
      <c r="M256" s="922"/>
      <c r="N256" s="924"/>
      <c r="O256" s="922"/>
      <c r="P256" s="924"/>
      <c r="Q256" s="922"/>
      <c r="R256" s="924"/>
      <c r="S256" s="922">
        <v>0</v>
      </c>
      <c r="T256" s="924"/>
      <c r="U256" s="922"/>
      <c r="V256" s="924"/>
      <c r="AD256" s="898">
        <f t="shared" si="16"/>
        <v>0</v>
      </c>
    </row>
    <row r="257" spans="1:31">
      <c r="A257" s="910">
        <v>253</v>
      </c>
      <c r="B257" s="830" t="s">
        <v>2884</v>
      </c>
      <c r="G257" s="922">
        <f>SUM(G249:G256)</f>
        <v>55636.070000000007</v>
      </c>
      <c r="H257" s="922"/>
      <c r="I257" s="922">
        <f>SUM(I249:I256)</f>
        <v>65308.51</v>
      </c>
      <c r="J257" s="922"/>
      <c r="K257" s="922">
        <f>SUM(K249:K256)</f>
        <v>50714.100000000006</v>
      </c>
      <c r="L257" s="922"/>
      <c r="M257" s="922">
        <f>SUM(M249:M256)</f>
        <v>50388</v>
      </c>
      <c r="N257" s="922"/>
      <c r="O257" s="922">
        <f>SUM(O249:O256)</f>
        <v>46753.73</v>
      </c>
      <c r="P257" s="922"/>
      <c r="Q257" s="922">
        <f>SUM(Q249:Q256)</f>
        <v>45253.22</v>
      </c>
      <c r="R257" s="922"/>
      <c r="S257" s="922">
        <f>SUM(S249:S256)</f>
        <v>49810.210000000006</v>
      </c>
      <c r="T257" s="922"/>
      <c r="U257" s="922">
        <v>53464.140000000007</v>
      </c>
      <c r="V257" s="922"/>
      <c r="W257" s="922">
        <f>SUM(W249:W256)</f>
        <v>50975.200000000004</v>
      </c>
      <c r="X257" s="922"/>
      <c r="Y257" s="922">
        <f>SUM(Y249:Y256)</f>
        <v>49833.97</v>
      </c>
      <c r="Z257" s="922"/>
      <c r="AA257" s="922">
        <f>SUM(AA249:AA256)</f>
        <v>59551.970000000008</v>
      </c>
      <c r="AB257" s="922"/>
      <c r="AC257" s="922">
        <f>SUM(AC249:AC256)</f>
        <v>65326.560000000005</v>
      </c>
      <c r="AD257" s="898">
        <f t="shared" si="16"/>
        <v>643015.68000000005</v>
      </c>
    </row>
    <row r="258" spans="1:31">
      <c r="A258" s="910">
        <v>254</v>
      </c>
      <c r="B258" s="830" t="s">
        <v>2514</v>
      </c>
      <c r="F258" s="928"/>
      <c r="G258" s="898">
        <v>2545058</v>
      </c>
      <c r="H258" s="926"/>
      <c r="I258" s="926">
        <v>3006870</v>
      </c>
      <c r="J258" s="926"/>
      <c r="K258" s="926">
        <v>2292202</v>
      </c>
      <c r="L258" s="926"/>
      <c r="M258" s="926">
        <v>2283507</v>
      </c>
      <c r="N258" s="926"/>
      <c r="O258" s="937">
        <v>2069826</v>
      </c>
      <c r="P258" s="926"/>
      <c r="Q258" s="924">
        <v>1973660</v>
      </c>
      <c r="R258" s="926"/>
      <c r="S258" s="924">
        <v>2265713</v>
      </c>
      <c r="T258" s="926"/>
      <c r="U258" s="924">
        <v>2468668</v>
      </c>
      <c r="V258" s="926"/>
      <c r="W258" s="899">
        <v>2310615</v>
      </c>
      <c r="X258" s="928"/>
      <c r="Y258" s="924">
        <v>2238144</v>
      </c>
      <c r="Z258" s="926"/>
      <c r="AA258" s="924">
        <v>2832256</v>
      </c>
      <c r="AB258" s="926"/>
      <c r="AC258" s="924">
        <v>3143984</v>
      </c>
      <c r="AD258" s="898">
        <f t="shared" si="16"/>
        <v>29430503</v>
      </c>
    </row>
    <row r="259" spans="1:31">
      <c r="A259" s="910">
        <v>255</v>
      </c>
      <c r="B259" s="830" t="s">
        <v>2885</v>
      </c>
      <c r="F259" s="928"/>
      <c r="G259" s="928">
        <v>72833</v>
      </c>
      <c r="H259" s="928"/>
      <c r="I259" s="928">
        <v>195282</v>
      </c>
      <c r="J259" s="928"/>
      <c r="K259" s="928">
        <v>24353</v>
      </c>
      <c r="L259" s="928"/>
      <c r="M259" s="928">
        <v>14900</v>
      </c>
      <c r="N259" s="928"/>
      <c r="O259" s="926"/>
      <c r="P259" s="926"/>
      <c r="Q259" s="899"/>
      <c r="R259" s="928"/>
      <c r="S259" s="924"/>
      <c r="T259" s="926"/>
      <c r="U259" s="924"/>
      <c r="V259" s="926"/>
      <c r="W259" s="899"/>
      <c r="X259" s="928"/>
      <c r="Y259" s="899"/>
      <c r="Z259" s="928"/>
      <c r="AA259" s="899"/>
      <c r="AB259" s="928"/>
      <c r="AC259" s="924"/>
      <c r="AD259" s="898">
        <f t="shared" si="16"/>
        <v>307368</v>
      </c>
    </row>
    <row r="260" spans="1:31">
      <c r="A260" s="910">
        <v>256</v>
      </c>
      <c r="B260" s="830" t="s">
        <v>2886</v>
      </c>
      <c r="F260" s="928"/>
      <c r="G260" s="926">
        <f>SUM(G258:G259)</f>
        <v>2617891</v>
      </c>
      <c r="H260" s="926"/>
      <c r="I260" s="926">
        <f>SUM(I258:I259)</f>
        <v>3202152</v>
      </c>
      <c r="J260" s="926"/>
      <c r="K260" s="926">
        <f>SUM(K258:K259)</f>
        <v>2316555</v>
      </c>
      <c r="L260" s="926"/>
      <c r="M260" s="926">
        <f>SUM(M258:M259)</f>
        <v>2298407</v>
      </c>
      <c r="N260" s="926"/>
      <c r="O260" s="926">
        <f>SUM(O258:O259)</f>
        <v>2069826</v>
      </c>
      <c r="P260" s="926"/>
      <c r="Q260" s="924">
        <f>SUM(Q258:Q259)</f>
        <v>1973660</v>
      </c>
      <c r="R260" s="926"/>
      <c r="S260" s="924">
        <f>SUM(S258:S259)</f>
        <v>2265713</v>
      </c>
      <c r="T260" s="926"/>
      <c r="U260" s="924">
        <f>SUM(U258:U259)</f>
        <v>2468668</v>
      </c>
      <c r="V260" s="926"/>
      <c r="W260" s="924">
        <f>SUM(W258:W259)</f>
        <v>2310615</v>
      </c>
      <c r="X260" s="926"/>
      <c r="Y260" s="924">
        <f>SUM(Y258:Y259)</f>
        <v>2238144</v>
      </c>
      <c r="Z260" s="926"/>
      <c r="AA260" s="924">
        <v>2832256</v>
      </c>
      <c r="AB260" s="926"/>
      <c r="AC260" s="924">
        <f>SUM(AC258:AC259)</f>
        <v>3143984</v>
      </c>
      <c r="AD260" s="898">
        <f t="shared" si="16"/>
        <v>29737871</v>
      </c>
    </row>
    <row r="261" spans="1:31">
      <c r="A261" s="910">
        <v>257</v>
      </c>
      <c r="B261" s="830"/>
    </row>
    <row r="262" spans="1:31">
      <c r="A262" s="910">
        <v>258</v>
      </c>
      <c r="B262" s="851" t="s">
        <v>2735</v>
      </c>
    </row>
    <row r="263" spans="1:31">
      <c r="A263" s="910">
        <v>259</v>
      </c>
      <c r="B263" s="830" t="s">
        <v>2724</v>
      </c>
      <c r="G263" s="922">
        <v>625</v>
      </c>
      <c r="H263" s="924"/>
      <c r="I263" s="922">
        <v>625</v>
      </c>
      <c r="J263" s="924"/>
      <c r="K263" s="922">
        <v>625</v>
      </c>
      <c r="L263" s="924"/>
      <c r="M263" s="922">
        <v>625</v>
      </c>
      <c r="N263" s="924"/>
      <c r="O263" s="922">
        <v>625</v>
      </c>
      <c r="P263" s="924"/>
      <c r="Q263" s="922">
        <v>625</v>
      </c>
      <c r="R263" s="924"/>
      <c r="S263" s="922">
        <v>625</v>
      </c>
      <c r="T263" s="924"/>
      <c r="U263" s="922">
        <v>625</v>
      </c>
      <c r="V263" s="924"/>
      <c r="W263" s="923">
        <v>625</v>
      </c>
      <c r="X263" s="925"/>
      <c r="Y263" s="922">
        <v>625</v>
      </c>
      <c r="Z263" s="924"/>
      <c r="AA263" s="922">
        <v>625</v>
      </c>
      <c r="AB263" s="924"/>
      <c r="AC263" s="922">
        <v>625</v>
      </c>
      <c r="AD263" s="898">
        <f t="shared" ref="AD263:AD274" si="17">SUM(G263:AC263)</f>
        <v>7500</v>
      </c>
    </row>
    <row r="264" spans="1:31">
      <c r="A264" s="910">
        <v>260</v>
      </c>
      <c r="B264" s="830" t="s">
        <v>2713</v>
      </c>
      <c r="H264" s="924"/>
      <c r="J264" s="924"/>
      <c r="L264" s="924"/>
      <c r="N264" s="924"/>
      <c r="P264" s="924"/>
      <c r="R264" s="924"/>
      <c r="T264" s="924"/>
      <c r="U264" s="922"/>
      <c r="V264" s="924"/>
      <c r="W264" s="923"/>
      <c r="X264" s="925"/>
      <c r="AD264" s="898">
        <f t="shared" si="17"/>
        <v>0</v>
      </c>
    </row>
    <row r="265" spans="1:31">
      <c r="A265" s="910">
        <v>261</v>
      </c>
      <c r="B265" s="830" t="s">
        <v>2736</v>
      </c>
      <c r="G265" s="922">
        <v>2000</v>
      </c>
      <c r="H265" s="924"/>
      <c r="I265" s="922">
        <v>2000</v>
      </c>
      <c r="J265" s="924"/>
      <c r="K265" s="922">
        <v>2000</v>
      </c>
      <c r="L265" s="924"/>
      <c r="M265" s="922">
        <v>2000</v>
      </c>
      <c r="N265" s="924"/>
      <c r="O265" s="922">
        <v>2000</v>
      </c>
      <c r="P265" s="924"/>
      <c r="Q265" s="922">
        <v>2000</v>
      </c>
      <c r="R265" s="924"/>
      <c r="S265" s="922">
        <v>2000</v>
      </c>
      <c r="T265" s="924"/>
      <c r="U265" s="922">
        <v>2000</v>
      </c>
      <c r="V265" s="924"/>
      <c r="W265" s="923">
        <v>2000</v>
      </c>
      <c r="X265" s="925"/>
      <c r="Y265" s="922">
        <v>2000</v>
      </c>
      <c r="Z265" s="924"/>
      <c r="AA265" s="922">
        <v>2000</v>
      </c>
      <c r="AB265" s="924"/>
      <c r="AC265" s="922">
        <v>2000</v>
      </c>
      <c r="AD265" s="898">
        <f t="shared" si="17"/>
        <v>24000</v>
      </c>
    </row>
    <row r="266" spans="1:31">
      <c r="A266" s="910">
        <v>262</v>
      </c>
      <c r="B266" s="830" t="s">
        <v>2714</v>
      </c>
      <c r="G266" s="922">
        <v>375.43</v>
      </c>
      <c r="H266" s="924"/>
      <c r="I266" s="922">
        <v>816.61</v>
      </c>
      <c r="J266" s="924"/>
      <c r="K266" s="922">
        <v>943.77</v>
      </c>
      <c r="L266" s="924"/>
      <c r="M266" s="922">
        <v>1008.28</v>
      </c>
      <c r="N266" s="924"/>
      <c r="O266" s="922">
        <v>1138.25</v>
      </c>
      <c r="P266" s="924"/>
      <c r="Q266" s="922">
        <v>887.8</v>
      </c>
      <c r="R266" s="924"/>
      <c r="S266" s="922">
        <v>836.27</v>
      </c>
      <c r="T266" s="924"/>
      <c r="U266" s="922">
        <v>1079.04</v>
      </c>
      <c r="V266" s="924"/>
      <c r="W266" s="923">
        <v>1070.8499999999999</v>
      </c>
      <c r="X266" s="925"/>
      <c r="Y266" s="922">
        <v>982.81</v>
      </c>
      <c r="Z266" s="924"/>
      <c r="AA266" s="922">
        <v>1111.9000000000001</v>
      </c>
      <c r="AB266" s="924"/>
      <c r="AC266" s="922">
        <v>1087.8</v>
      </c>
      <c r="AD266" s="898">
        <f t="shared" si="17"/>
        <v>11338.809999999998</v>
      </c>
    </row>
    <row r="267" spans="1:31">
      <c r="A267" s="910">
        <v>263</v>
      </c>
      <c r="B267" s="830" t="s">
        <v>2738</v>
      </c>
      <c r="H267" s="924"/>
      <c r="J267" s="924"/>
      <c r="L267" s="924"/>
      <c r="N267" s="924"/>
      <c r="P267" s="924"/>
      <c r="R267" s="924"/>
      <c r="T267" s="924"/>
      <c r="U267" s="922"/>
      <c r="V267" s="924"/>
      <c r="W267" s="923"/>
      <c r="X267" s="925"/>
      <c r="AD267" s="898">
        <f t="shared" si="17"/>
        <v>0</v>
      </c>
    </row>
    <row r="268" spans="1:31">
      <c r="A268" s="910">
        <v>264</v>
      </c>
      <c r="B268" s="830" t="s">
        <v>2897</v>
      </c>
      <c r="G268" s="922">
        <v>15370.78</v>
      </c>
      <c r="H268" s="924"/>
      <c r="I268" s="922">
        <v>33433.51</v>
      </c>
      <c r="J268" s="924"/>
      <c r="K268" s="922">
        <v>38639.42</v>
      </c>
      <c r="L268" s="924"/>
      <c r="M268" s="922">
        <v>41280.58</v>
      </c>
      <c r="N268" s="924"/>
      <c r="O268" s="922">
        <v>46602.09</v>
      </c>
      <c r="P268" s="924"/>
      <c r="Q268" s="922">
        <v>36348.089999999997</v>
      </c>
      <c r="R268" s="924"/>
      <c r="S268" s="922">
        <v>34238.39</v>
      </c>
      <c r="T268" s="924"/>
      <c r="U268" s="922">
        <v>44177.64</v>
      </c>
      <c r="V268" s="924"/>
      <c r="W268" s="923">
        <v>43842.31</v>
      </c>
      <c r="X268" s="925"/>
      <c r="Y268" s="922">
        <v>40237.85</v>
      </c>
      <c r="Z268" s="924"/>
      <c r="AA268" s="922">
        <v>44653.67</v>
      </c>
      <c r="AB268" s="924"/>
      <c r="AC268" s="922">
        <v>43685.94</v>
      </c>
      <c r="AD268" s="898">
        <f t="shared" si="17"/>
        <v>462510.26999999996</v>
      </c>
    </row>
    <row r="269" spans="1:31">
      <c r="A269" s="910">
        <v>265</v>
      </c>
      <c r="B269" s="830" t="s">
        <v>2719</v>
      </c>
      <c r="G269" s="922">
        <v>814.03</v>
      </c>
      <c r="H269" s="924"/>
      <c r="I269" s="922">
        <v>1633.94</v>
      </c>
      <c r="J269" s="924"/>
      <c r="K269" s="922">
        <v>1870.24</v>
      </c>
      <c r="L269" s="924"/>
      <c r="M269" s="922">
        <v>1990.13</v>
      </c>
      <c r="N269" s="924"/>
      <c r="O269" s="922">
        <v>2231.69</v>
      </c>
      <c r="P269" s="924"/>
      <c r="Q269" s="922">
        <v>1766.24</v>
      </c>
      <c r="R269" s="924"/>
      <c r="S269" s="922">
        <v>1670.47</v>
      </c>
      <c r="T269" s="924"/>
      <c r="U269" s="922">
        <v>2121.64</v>
      </c>
      <c r="V269" s="924"/>
      <c r="W269" s="923">
        <v>2106.42</v>
      </c>
      <c r="X269" s="925"/>
      <c r="Y269" s="922">
        <v>1942.8</v>
      </c>
      <c r="Z269" s="924"/>
      <c r="AA269" s="922">
        <v>2144.19</v>
      </c>
      <c r="AB269" s="924"/>
      <c r="AC269" s="922">
        <v>2100.2399999999998</v>
      </c>
      <c r="AD269" s="898">
        <f t="shared" si="17"/>
        <v>22392.03</v>
      </c>
    </row>
    <row r="270" spans="1:31">
      <c r="A270" s="910">
        <v>266</v>
      </c>
      <c r="B270" s="830" t="s">
        <v>2677</v>
      </c>
      <c r="G270" s="922"/>
      <c r="H270" s="924"/>
      <c r="I270" s="922"/>
      <c r="J270" s="924"/>
      <c r="K270" s="922"/>
      <c r="L270" s="924"/>
      <c r="M270" s="922"/>
      <c r="N270" s="924"/>
      <c r="O270" s="922"/>
      <c r="P270" s="924"/>
      <c r="Q270" s="922"/>
      <c r="R270" s="924"/>
      <c r="S270" s="922"/>
      <c r="T270" s="924"/>
      <c r="U270" s="922"/>
      <c r="V270" s="924"/>
      <c r="W270" s="923"/>
      <c r="X270" s="925"/>
      <c r="AD270" s="898">
        <f t="shared" si="17"/>
        <v>0</v>
      </c>
    </row>
    <row r="271" spans="1:31">
      <c r="A271" s="910">
        <v>267</v>
      </c>
      <c r="B271" s="830" t="s">
        <v>2884</v>
      </c>
      <c r="G271" s="922">
        <f>SUM(G263:G270)</f>
        <v>19185.239999999998</v>
      </c>
      <c r="H271" s="922"/>
      <c r="I271" s="922">
        <f>SUM(I263:I270)</f>
        <v>38509.060000000005</v>
      </c>
      <c r="J271" s="922"/>
      <c r="K271" s="922">
        <f>SUM(K263:K270)</f>
        <v>44078.429999999993</v>
      </c>
      <c r="L271" s="922"/>
      <c r="M271" s="922">
        <f>SUM(M263:M270)</f>
        <v>46903.99</v>
      </c>
      <c r="N271" s="922"/>
      <c r="O271" s="922">
        <f>SUM(O263:O270)</f>
        <v>52597.03</v>
      </c>
      <c r="P271" s="922"/>
      <c r="Q271" s="922">
        <f>SUM(Q263:Q270)</f>
        <v>41627.129999999997</v>
      </c>
      <c r="R271" s="922"/>
      <c r="S271" s="922">
        <f>SUM(S263:S270)</f>
        <v>39370.129999999997</v>
      </c>
      <c r="T271" s="922"/>
      <c r="U271" s="922">
        <f>SUM(U263:U270)</f>
        <v>50003.32</v>
      </c>
      <c r="V271" s="922"/>
      <c r="W271" s="922">
        <f>SUM(W263:W270)</f>
        <v>49644.579999999994</v>
      </c>
      <c r="X271" s="922"/>
      <c r="Y271" s="922">
        <f>SUM(Y263:Y270)</f>
        <v>45788.46</v>
      </c>
      <c r="Z271" s="922"/>
      <c r="AA271" s="922">
        <f>SUM(AA263:AA270)</f>
        <v>50534.76</v>
      </c>
      <c r="AB271" s="922"/>
      <c r="AC271" s="922">
        <f>SUM(AC263:AC270)</f>
        <v>49498.98</v>
      </c>
      <c r="AD271" s="898">
        <f t="shared" si="17"/>
        <v>527741.1100000001</v>
      </c>
    </row>
    <row r="272" spans="1:31">
      <c r="A272" s="910">
        <v>268</v>
      </c>
      <c r="B272" s="830" t="s">
        <v>2514</v>
      </c>
      <c r="E272" s="928"/>
      <c r="F272" s="928"/>
      <c r="G272" s="924">
        <v>938576</v>
      </c>
      <c r="H272" s="924"/>
      <c r="I272" s="924">
        <v>2041529</v>
      </c>
      <c r="J272" s="924"/>
      <c r="K272" s="924">
        <v>2359414</v>
      </c>
      <c r="L272" s="924"/>
      <c r="M272" s="924">
        <v>2520690</v>
      </c>
      <c r="N272" s="924"/>
      <c r="O272" s="924">
        <v>2845634</v>
      </c>
      <c r="P272" s="924"/>
      <c r="Q272" s="924">
        <v>2219500</v>
      </c>
      <c r="R272" s="924"/>
      <c r="S272" s="924">
        <v>2090677</v>
      </c>
      <c r="T272" s="926"/>
      <c r="U272" s="924">
        <v>2697591</v>
      </c>
      <c r="V272" s="926"/>
      <c r="W272" s="930">
        <v>2677115</v>
      </c>
      <c r="X272" s="931"/>
      <c r="Y272" s="924">
        <v>2457018</v>
      </c>
      <c r="Z272" s="926"/>
      <c r="AA272" s="924">
        <v>2779753</v>
      </c>
      <c r="AB272" s="926"/>
      <c r="AC272" s="924">
        <v>2719510</v>
      </c>
      <c r="AD272" s="928">
        <f t="shared" si="17"/>
        <v>28347007</v>
      </c>
      <c r="AE272" s="928"/>
    </row>
    <row r="273" spans="1:31">
      <c r="A273" s="910">
        <v>269</v>
      </c>
      <c r="B273" s="830" t="s">
        <v>2885</v>
      </c>
      <c r="E273" s="928"/>
      <c r="F273" s="928"/>
      <c r="G273" s="899"/>
      <c r="I273" s="899"/>
      <c r="K273" s="899"/>
      <c r="M273" s="899"/>
      <c r="O273" s="899"/>
      <c r="Q273" s="899"/>
      <c r="S273" s="924"/>
      <c r="T273" s="926"/>
      <c r="U273" s="924"/>
      <c r="V273" s="926"/>
      <c r="W273" s="899"/>
      <c r="X273" s="928"/>
      <c r="Y273" s="924"/>
      <c r="Z273" s="926"/>
      <c r="AA273" s="924"/>
      <c r="AB273" s="926"/>
      <c r="AC273" s="924"/>
      <c r="AD273" s="928">
        <f t="shared" si="17"/>
        <v>0</v>
      </c>
      <c r="AE273" s="928"/>
    </row>
    <row r="274" spans="1:31">
      <c r="A274" s="910">
        <v>270</v>
      </c>
      <c r="B274" s="830" t="s">
        <v>2886</v>
      </c>
      <c r="E274" s="928"/>
      <c r="F274" s="928"/>
      <c r="G274" s="924">
        <f>SUM(G272:G273)</f>
        <v>938576</v>
      </c>
      <c r="H274" s="924"/>
      <c r="I274" s="924">
        <f>SUM(I272:I273)</f>
        <v>2041529</v>
      </c>
      <c r="J274" s="924"/>
      <c r="K274" s="924">
        <f>SUM(K272:K273)</f>
        <v>2359414</v>
      </c>
      <c r="L274" s="924"/>
      <c r="M274" s="924">
        <f>SUM(M272:M273)</f>
        <v>2520690</v>
      </c>
      <c r="N274" s="924"/>
      <c r="O274" s="924">
        <f>SUM(O272:O273)</f>
        <v>2845634</v>
      </c>
      <c r="P274" s="924"/>
      <c r="Q274" s="924">
        <f>SUM(Q272:Q273)</f>
        <v>2219500</v>
      </c>
      <c r="R274" s="924"/>
      <c r="S274" s="924">
        <f>SUM(S272:S273)</f>
        <v>2090677</v>
      </c>
      <c r="T274" s="926"/>
      <c r="U274" s="924">
        <f>SUM(U272:U273)</f>
        <v>2697591</v>
      </c>
      <c r="V274" s="926"/>
      <c r="W274" s="924">
        <f>SUM(W272:W273)</f>
        <v>2677115</v>
      </c>
      <c r="X274" s="926"/>
      <c r="Y274" s="924">
        <f>SUM(Y272:Y273)</f>
        <v>2457018</v>
      </c>
      <c r="Z274" s="926"/>
      <c r="AA274" s="924">
        <f>SUM(AA272:AA273)</f>
        <v>2779753</v>
      </c>
      <c r="AB274" s="926"/>
      <c r="AC274" s="924">
        <f>SUM(AC272:AC273)</f>
        <v>2719510</v>
      </c>
      <c r="AD274" s="928">
        <f t="shared" si="17"/>
        <v>28347007</v>
      </c>
      <c r="AE274" s="928"/>
    </row>
    <row r="275" spans="1:31">
      <c r="A275" s="910">
        <v>271</v>
      </c>
      <c r="B275" s="837"/>
    </row>
    <row r="276" spans="1:31">
      <c r="A276" s="910">
        <v>272</v>
      </c>
      <c r="B276" s="851" t="s">
        <v>2741</v>
      </c>
    </row>
    <row r="277" spans="1:31">
      <c r="A277" s="910">
        <v>273</v>
      </c>
      <c r="B277" s="830" t="s">
        <v>2724</v>
      </c>
      <c r="G277" s="922">
        <v>625</v>
      </c>
      <c r="H277" s="924"/>
      <c r="I277" s="922">
        <v>625</v>
      </c>
      <c r="J277" s="924"/>
      <c r="K277" s="922">
        <v>625</v>
      </c>
      <c r="L277" s="924"/>
      <c r="M277" s="922">
        <v>625</v>
      </c>
      <c r="N277" s="924"/>
      <c r="O277" s="922">
        <v>625</v>
      </c>
      <c r="P277" s="924"/>
      <c r="Q277" s="922">
        <v>625</v>
      </c>
      <c r="R277" s="924"/>
      <c r="S277" s="922">
        <v>625</v>
      </c>
      <c r="T277" s="924"/>
      <c r="U277" s="922">
        <v>625</v>
      </c>
      <c r="V277" s="924"/>
      <c r="W277" s="898">
        <v>625</v>
      </c>
      <c r="Y277" s="898">
        <v>625</v>
      </c>
      <c r="AA277" s="922">
        <v>625</v>
      </c>
      <c r="AB277" s="924"/>
      <c r="AC277" s="922">
        <v>625</v>
      </c>
      <c r="AD277" s="898">
        <f t="shared" ref="AD277:AD288" si="18">SUM(G277:AC277)</f>
        <v>7500</v>
      </c>
    </row>
    <row r="278" spans="1:31">
      <c r="A278" s="910">
        <v>274</v>
      </c>
      <c r="B278" s="830" t="s">
        <v>2736</v>
      </c>
      <c r="G278" s="922">
        <v>2250</v>
      </c>
      <c r="H278" s="924"/>
      <c r="I278" s="922">
        <v>2250</v>
      </c>
      <c r="J278" s="924"/>
      <c r="K278" s="922">
        <v>2250</v>
      </c>
      <c r="L278" s="924"/>
      <c r="M278" s="922">
        <v>2250</v>
      </c>
      <c r="N278" s="924"/>
      <c r="O278" s="922">
        <v>2250</v>
      </c>
      <c r="P278" s="924"/>
      <c r="Q278" s="922">
        <v>2250</v>
      </c>
      <c r="R278" s="924"/>
      <c r="S278" s="922">
        <v>2250</v>
      </c>
      <c r="T278" s="924"/>
      <c r="U278" s="922">
        <v>2250</v>
      </c>
      <c r="V278" s="924"/>
      <c r="W278" s="898">
        <v>2250</v>
      </c>
      <c r="Y278" s="922">
        <v>2250</v>
      </c>
      <c r="Z278" s="924"/>
      <c r="AA278" s="922">
        <v>2250</v>
      </c>
      <c r="AB278" s="924"/>
      <c r="AC278" s="922">
        <v>2250</v>
      </c>
      <c r="AD278" s="898">
        <f t="shared" si="18"/>
        <v>27000</v>
      </c>
    </row>
    <row r="279" spans="1:31">
      <c r="A279" s="910">
        <v>275</v>
      </c>
      <c r="B279" s="830" t="s">
        <v>2714</v>
      </c>
      <c r="G279" s="922">
        <v>306.19</v>
      </c>
      <c r="H279" s="924"/>
      <c r="I279" s="922">
        <v>334.17</v>
      </c>
      <c r="J279" s="924"/>
      <c r="K279" s="922">
        <v>294.01</v>
      </c>
      <c r="L279" s="924"/>
      <c r="M279" s="922">
        <v>339.3</v>
      </c>
      <c r="N279" s="924"/>
      <c r="O279" s="922">
        <v>308</v>
      </c>
      <c r="P279" s="924"/>
      <c r="Q279" s="922">
        <v>181.37</v>
      </c>
      <c r="R279" s="924"/>
      <c r="S279" s="922">
        <v>303.63</v>
      </c>
      <c r="T279" s="924"/>
      <c r="U279" s="922">
        <v>262.57</v>
      </c>
      <c r="V279" s="924"/>
      <c r="W279" s="898">
        <v>251.99</v>
      </c>
      <c r="Y279" s="922">
        <v>280.33999999999997</v>
      </c>
      <c r="Z279" s="924"/>
      <c r="AA279" s="922">
        <v>314.82</v>
      </c>
      <c r="AB279" s="924"/>
      <c r="AC279" s="922">
        <v>303.55</v>
      </c>
      <c r="AD279" s="898">
        <f t="shared" si="18"/>
        <v>3479.940000000001</v>
      </c>
    </row>
    <row r="280" spans="1:31">
      <c r="A280" s="910">
        <v>276</v>
      </c>
      <c r="B280" s="830" t="s">
        <v>2713</v>
      </c>
      <c r="G280" s="922">
        <v>8872.9699999999993</v>
      </c>
      <c r="H280" s="924"/>
      <c r="I280" s="922">
        <v>9683.75</v>
      </c>
      <c r="J280" s="924"/>
      <c r="K280" s="922">
        <v>8520.17</v>
      </c>
      <c r="L280" s="924"/>
      <c r="M280" s="922">
        <v>9832.57</v>
      </c>
      <c r="N280" s="924"/>
      <c r="O280" s="922">
        <v>8925.43</v>
      </c>
      <c r="P280" s="924"/>
      <c r="Q280" s="922">
        <v>5255.9</v>
      </c>
      <c r="R280" s="924"/>
      <c r="S280" s="922">
        <v>8798.85</v>
      </c>
      <c r="T280" s="924"/>
      <c r="U280" s="922">
        <v>7608.83</v>
      </c>
      <c r="V280" s="924"/>
      <c r="W280" s="898">
        <v>7302.3</v>
      </c>
      <c r="Y280" s="898">
        <v>8123.82</v>
      </c>
      <c r="AA280" s="898">
        <v>9269.0400000000009</v>
      </c>
      <c r="AC280" s="898">
        <v>8937.14</v>
      </c>
      <c r="AD280" s="898">
        <f t="shared" si="18"/>
        <v>101130.77</v>
      </c>
    </row>
    <row r="281" spans="1:31">
      <c r="A281" s="910">
        <v>277</v>
      </c>
      <c r="B281" s="830" t="s">
        <v>2738</v>
      </c>
      <c r="H281" s="924"/>
      <c r="J281" s="924"/>
      <c r="L281" s="924"/>
      <c r="N281" s="924"/>
      <c r="P281" s="924"/>
      <c r="R281" s="924"/>
      <c r="S281" s="922"/>
      <c r="T281" s="924"/>
      <c r="U281" s="922"/>
      <c r="V281" s="924"/>
      <c r="AD281" s="898">
        <f t="shared" si="18"/>
        <v>0</v>
      </c>
    </row>
    <row r="282" spans="1:31">
      <c r="A282" s="910">
        <v>278</v>
      </c>
      <c r="B282" s="830" t="s">
        <v>2897</v>
      </c>
      <c r="G282" s="922"/>
      <c r="H282" s="924"/>
      <c r="I282" s="922"/>
      <c r="J282" s="924"/>
      <c r="K282" s="922"/>
      <c r="L282" s="924"/>
      <c r="M282" s="922"/>
      <c r="N282" s="924"/>
      <c r="O282" s="922"/>
      <c r="P282" s="924"/>
      <c r="Q282" s="922"/>
      <c r="R282" s="924"/>
      <c r="T282" s="924"/>
      <c r="U282" s="922"/>
      <c r="V282" s="924"/>
      <c r="Y282" s="922"/>
      <c r="Z282" s="924"/>
      <c r="AA282" s="922"/>
      <c r="AB282" s="924"/>
      <c r="AC282" s="922"/>
      <c r="AD282" s="898">
        <f t="shared" si="18"/>
        <v>0</v>
      </c>
    </row>
    <row r="283" spans="1:31">
      <c r="A283" s="910">
        <v>279</v>
      </c>
      <c r="B283" s="830" t="s">
        <v>2719</v>
      </c>
      <c r="G283" s="922">
        <v>534.12</v>
      </c>
      <c r="H283" s="924"/>
      <c r="I283" s="922">
        <v>571.29</v>
      </c>
      <c r="J283" s="924"/>
      <c r="K283" s="922">
        <v>517.95000000000005</v>
      </c>
      <c r="L283" s="924"/>
      <c r="M283" s="922">
        <v>578.11</v>
      </c>
      <c r="N283" s="924"/>
      <c r="O283" s="922">
        <v>536.52</v>
      </c>
      <c r="P283" s="924"/>
      <c r="Q283" s="922">
        <v>368.32</v>
      </c>
      <c r="R283" s="924"/>
      <c r="S283" s="922">
        <v>530.72</v>
      </c>
      <c r="T283" s="924"/>
      <c r="U283" s="922">
        <v>476.17</v>
      </c>
      <c r="V283" s="924"/>
      <c r="W283" s="898">
        <v>462.12</v>
      </c>
      <c r="Y283" s="922">
        <v>499.78</v>
      </c>
      <c r="Z283" s="924"/>
      <c r="AA283" s="922">
        <v>552.04999999999995</v>
      </c>
      <c r="AB283" s="924"/>
      <c r="AC283" s="922">
        <v>536.85</v>
      </c>
      <c r="AD283" s="898">
        <f t="shared" si="18"/>
        <v>6164</v>
      </c>
    </row>
    <row r="284" spans="1:31">
      <c r="A284" s="910">
        <v>280</v>
      </c>
      <c r="B284" s="830" t="s">
        <v>2677</v>
      </c>
      <c r="G284" s="922"/>
      <c r="H284" s="924"/>
      <c r="I284" s="922"/>
      <c r="J284" s="924"/>
      <c r="K284" s="922"/>
      <c r="L284" s="924"/>
      <c r="M284" s="922"/>
      <c r="N284" s="924"/>
      <c r="O284" s="922"/>
      <c r="P284" s="924"/>
      <c r="Q284" s="922"/>
      <c r="R284" s="924"/>
      <c r="S284" s="922"/>
      <c r="T284" s="924"/>
      <c r="U284" s="922"/>
      <c r="V284" s="924"/>
      <c r="AD284" s="898">
        <f t="shared" si="18"/>
        <v>0</v>
      </c>
    </row>
    <row r="285" spans="1:31">
      <c r="A285" s="910">
        <v>281</v>
      </c>
      <c r="B285" s="830" t="s">
        <v>2884</v>
      </c>
      <c r="G285" s="922">
        <f>SUM(G277:G284)</f>
        <v>12588.28</v>
      </c>
      <c r="H285" s="922"/>
      <c r="I285" s="922">
        <f>SUM(I277:I284)</f>
        <v>13464.21</v>
      </c>
      <c r="J285" s="922"/>
      <c r="K285" s="922">
        <f>SUM(K277:K284)</f>
        <v>12207.130000000001</v>
      </c>
      <c r="L285" s="922"/>
      <c r="M285" s="922">
        <f>SUM(M277:M284)</f>
        <v>13624.98</v>
      </c>
      <c r="N285" s="922"/>
      <c r="O285" s="922">
        <f>SUM(O277:O284)</f>
        <v>12644.95</v>
      </c>
      <c r="P285" s="922"/>
      <c r="Q285" s="922">
        <f>SUM(Q277:Q284)</f>
        <v>8680.59</v>
      </c>
      <c r="R285" s="922"/>
      <c r="S285" s="922">
        <f>SUM(S277:S284)</f>
        <v>12508.199999999999</v>
      </c>
      <c r="T285" s="922"/>
      <c r="U285" s="922">
        <f>SUM(U277:U284)</f>
        <v>11222.57</v>
      </c>
      <c r="V285" s="922"/>
      <c r="W285" s="922">
        <f>SUM(W277:W284)</f>
        <v>10891.410000000002</v>
      </c>
      <c r="X285" s="922"/>
      <c r="Y285" s="922">
        <f>SUM(Y277:Y284)</f>
        <v>11778.94</v>
      </c>
      <c r="Z285" s="922"/>
      <c r="AA285" s="922">
        <f>SUM(AA277:AA284)</f>
        <v>13010.91</v>
      </c>
      <c r="AB285" s="922"/>
      <c r="AC285" s="922">
        <f>SUM(AC277:AC284)</f>
        <v>12652.539999999999</v>
      </c>
      <c r="AD285" s="898">
        <f t="shared" si="18"/>
        <v>145274.71</v>
      </c>
    </row>
    <row r="286" spans="1:31">
      <c r="A286" s="910">
        <v>282</v>
      </c>
      <c r="B286" s="830" t="s">
        <v>2514</v>
      </c>
      <c r="F286" s="928"/>
      <c r="G286" s="924">
        <v>765472</v>
      </c>
      <c r="H286" s="924"/>
      <c r="I286" s="924">
        <v>835418</v>
      </c>
      <c r="J286" s="924"/>
      <c r="K286" s="924">
        <v>735036</v>
      </c>
      <c r="L286" s="924"/>
      <c r="M286" s="924">
        <v>848257</v>
      </c>
      <c r="N286" s="924"/>
      <c r="O286" s="924">
        <v>769998</v>
      </c>
      <c r="P286" s="924"/>
      <c r="Q286" s="924">
        <v>453427</v>
      </c>
      <c r="R286" s="926"/>
      <c r="S286" s="924">
        <v>759078</v>
      </c>
      <c r="T286" s="926"/>
      <c r="U286" s="924">
        <v>656415</v>
      </c>
      <c r="V286" s="926"/>
      <c r="W286" s="899">
        <v>629970</v>
      </c>
      <c r="X286" s="928"/>
      <c r="Y286" s="924">
        <v>700843</v>
      </c>
      <c r="Z286" s="926"/>
      <c r="AA286" s="924">
        <v>787046</v>
      </c>
      <c r="AB286" s="926"/>
      <c r="AC286" s="924">
        <v>758864</v>
      </c>
      <c r="AD286" s="928">
        <f t="shared" si="18"/>
        <v>8699824</v>
      </c>
    </row>
    <row r="287" spans="1:31">
      <c r="A287" s="910">
        <v>283</v>
      </c>
      <c r="B287" s="830" t="s">
        <v>2885</v>
      </c>
      <c r="F287" s="928"/>
      <c r="G287" s="899"/>
      <c r="I287" s="899"/>
      <c r="K287" s="899"/>
      <c r="M287" s="899"/>
      <c r="O287" s="899"/>
      <c r="Q287" s="899"/>
      <c r="R287" s="928"/>
      <c r="S287" s="924"/>
      <c r="T287" s="926"/>
      <c r="U287" s="924"/>
      <c r="V287" s="926"/>
      <c r="W287" s="899"/>
      <c r="X287" s="928"/>
      <c r="Y287" s="924"/>
      <c r="Z287" s="926"/>
      <c r="AA287" s="924"/>
      <c r="AB287" s="926"/>
      <c r="AC287" s="924"/>
      <c r="AD287" s="928">
        <f t="shared" si="18"/>
        <v>0</v>
      </c>
    </row>
    <row r="288" spans="1:31">
      <c r="A288" s="910">
        <v>284</v>
      </c>
      <c r="B288" s="830" t="s">
        <v>2886</v>
      </c>
      <c r="F288" s="928"/>
      <c r="G288" s="924">
        <f>SUM(G286:G287)</f>
        <v>765472</v>
      </c>
      <c r="H288" s="924"/>
      <c r="I288" s="924">
        <f>SUM(I286:I287)</f>
        <v>835418</v>
      </c>
      <c r="J288" s="924"/>
      <c r="K288" s="924">
        <f>SUM(K286:K287)</f>
        <v>735036</v>
      </c>
      <c r="L288" s="924"/>
      <c r="M288" s="924">
        <f>SUM(M286:M287)</f>
        <v>848257</v>
      </c>
      <c r="N288" s="924"/>
      <c r="O288" s="924">
        <f>SUM(O286:O287)</f>
        <v>769998</v>
      </c>
      <c r="P288" s="924"/>
      <c r="Q288" s="924">
        <f>SUM(Q286:Q287)</f>
        <v>453427</v>
      </c>
      <c r="R288" s="926"/>
      <c r="S288" s="924">
        <f>SUM(S286:S287)</f>
        <v>759078</v>
      </c>
      <c r="T288" s="926"/>
      <c r="U288" s="924">
        <f>SUM(U286:U287)</f>
        <v>656415</v>
      </c>
      <c r="V288" s="926"/>
      <c r="W288" s="924">
        <f>SUM(W286:W287)</f>
        <v>629970</v>
      </c>
      <c r="X288" s="926"/>
      <c r="Y288" s="924">
        <f>SUM(Y286:Y287)</f>
        <v>700843</v>
      </c>
      <c r="Z288" s="926"/>
      <c r="AA288" s="924">
        <f>SUM(AA286:AA287)</f>
        <v>787046</v>
      </c>
      <c r="AB288" s="926"/>
      <c r="AC288" s="924">
        <f>SUM(AC286:AC287)</f>
        <v>758864</v>
      </c>
      <c r="AD288" s="928">
        <f t="shared" si="18"/>
        <v>8699824</v>
      </c>
    </row>
    <row r="289" spans="1:31">
      <c r="A289" s="910">
        <v>285</v>
      </c>
      <c r="B289" s="837"/>
    </row>
    <row r="290" spans="1:31">
      <c r="A290" s="910">
        <v>286</v>
      </c>
      <c r="B290" s="851" t="s">
        <v>2745</v>
      </c>
    </row>
    <row r="291" spans="1:31">
      <c r="A291" s="910">
        <v>287</v>
      </c>
      <c r="B291" s="830" t="s">
        <v>2724</v>
      </c>
      <c r="G291" s="922">
        <v>625</v>
      </c>
      <c r="H291" s="924"/>
      <c r="I291" s="922">
        <v>625</v>
      </c>
      <c r="J291" s="924"/>
      <c r="K291" s="922">
        <v>625</v>
      </c>
      <c r="L291" s="924"/>
      <c r="M291" s="922">
        <v>625</v>
      </c>
      <c r="N291" s="924"/>
      <c r="O291" s="922">
        <v>625</v>
      </c>
      <c r="P291" s="924"/>
      <c r="Q291" s="922">
        <v>625</v>
      </c>
      <c r="R291" s="924"/>
      <c r="S291" s="922">
        <v>625</v>
      </c>
      <c r="T291" s="924"/>
      <c r="U291" s="922">
        <v>625</v>
      </c>
      <c r="V291" s="924"/>
      <c r="W291" s="898">
        <v>625</v>
      </c>
      <c r="Y291" s="922">
        <v>625</v>
      </c>
      <c r="Z291" s="924"/>
      <c r="AA291" s="946">
        <v>625</v>
      </c>
      <c r="AB291" s="924"/>
      <c r="AC291" s="922">
        <v>625</v>
      </c>
      <c r="AD291" s="898">
        <f t="shared" ref="AD291:AD302" si="19">SUM(G291:AC291)</f>
        <v>7500</v>
      </c>
    </row>
    <row r="292" spans="1:31">
      <c r="A292" s="910">
        <v>288</v>
      </c>
      <c r="B292" s="830" t="s">
        <v>2736</v>
      </c>
      <c r="G292" s="922">
        <v>3950</v>
      </c>
      <c r="H292" s="924"/>
      <c r="I292" s="922">
        <v>3950</v>
      </c>
      <c r="J292" s="924"/>
      <c r="K292" s="922">
        <v>3950</v>
      </c>
      <c r="L292" s="924"/>
      <c r="M292" s="922">
        <v>3950</v>
      </c>
      <c r="N292" s="924"/>
      <c r="O292" s="922">
        <v>3950</v>
      </c>
      <c r="P292" s="924"/>
      <c r="Q292" s="922">
        <v>3950</v>
      </c>
      <c r="R292" s="924"/>
      <c r="S292" s="922">
        <v>3950</v>
      </c>
      <c r="T292" s="924"/>
      <c r="U292" s="922">
        <v>3950</v>
      </c>
      <c r="V292" s="924"/>
      <c r="W292" s="898">
        <v>3950</v>
      </c>
      <c r="Y292" s="922">
        <v>3950</v>
      </c>
      <c r="Z292" s="924"/>
      <c r="AA292" s="946">
        <v>3950</v>
      </c>
      <c r="AB292" s="924"/>
      <c r="AC292" s="922">
        <v>3950</v>
      </c>
      <c r="AD292" s="898">
        <f t="shared" si="19"/>
        <v>47400</v>
      </c>
    </row>
    <row r="293" spans="1:31">
      <c r="A293" s="910">
        <v>289</v>
      </c>
      <c r="B293" s="830" t="s">
        <v>2714</v>
      </c>
      <c r="G293" s="922">
        <v>200.97</v>
      </c>
      <c r="H293" s="924"/>
      <c r="I293" s="922">
        <v>225.62</v>
      </c>
      <c r="J293" s="924"/>
      <c r="K293" s="922">
        <v>215.56</v>
      </c>
      <c r="L293" s="924"/>
      <c r="M293" s="922">
        <v>215.3</v>
      </c>
      <c r="N293" s="924"/>
      <c r="O293" s="922">
        <v>158.93</v>
      </c>
      <c r="P293" s="924"/>
      <c r="Q293" s="922">
        <v>156.27000000000001</v>
      </c>
      <c r="R293" s="924"/>
      <c r="S293" s="922">
        <v>131.12</v>
      </c>
      <c r="T293" s="924"/>
      <c r="U293" s="922">
        <v>135.83000000000001</v>
      </c>
      <c r="V293" s="924"/>
      <c r="W293" s="898">
        <v>111.37</v>
      </c>
      <c r="Y293" s="922">
        <v>127.3</v>
      </c>
      <c r="Z293" s="924"/>
      <c r="AA293" s="946">
        <v>139.5</v>
      </c>
      <c r="AB293" s="924"/>
      <c r="AC293" s="922">
        <v>130.18</v>
      </c>
      <c r="AD293" s="898">
        <f t="shared" si="19"/>
        <v>1947.9499999999998</v>
      </c>
    </row>
    <row r="294" spans="1:31">
      <c r="A294" s="910">
        <v>290</v>
      </c>
      <c r="B294" s="830" t="s">
        <v>2713</v>
      </c>
      <c r="H294" s="924"/>
      <c r="J294" s="924"/>
      <c r="L294" s="924"/>
      <c r="N294" s="924"/>
      <c r="P294" s="924"/>
      <c r="R294" s="924"/>
      <c r="S294" s="922"/>
      <c r="T294" s="924"/>
      <c r="U294" s="922"/>
      <c r="V294" s="924"/>
      <c r="AA294" s="827"/>
      <c r="AD294" s="898">
        <f t="shared" si="19"/>
        <v>0</v>
      </c>
    </row>
    <row r="295" spans="1:31">
      <c r="A295" s="910">
        <v>291</v>
      </c>
      <c r="B295" s="830" t="s">
        <v>2738</v>
      </c>
      <c r="H295" s="924"/>
      <c r="J295" s="924"/>
      <c r="L295" s="924"/>
      <c r="N295" s="924"/>
      <c r="P295" s="924"/>
      <c r="R295" s="924"/>
      <c r="S295" s="922"/>
      <c r="T295" s="924"/>
      <c r="U295" s="922"/>
      <c r="V295" s="924"/>
      <c r="AA295" s="827"/>
      <c r="AD295" s="898">
        <f t="shared" si="19"/>
        <v>0</v>
      </c>
    </row>
    <row r="296" spans="1:31">
      <c r="A296" s="910">
        <v>292</v>
      </c>
      <c r="B296" s="830" t="s">
        <v>2897</v>
      </c>
      <c r="G296" s="922">
        <v>8905.0300000000007</v>
      </c>
      <c r="H296" s="924"/>
      <c r="I296" s="922">
        <v>9997.23</v>
      </c>
      <c r="J296" s="924"/>
      <c r="K296" s="922">
        <v>9551.64</v>
      </c>
      <c r="L296" s="924"/>
      <c r="M296" s="922">
        <v>9540.23</v>
      </c>
      <c r="N296" s="924"/>
      <c r="O296" s="922">
        <v>7042.2</v>
      </c>
      <c r="P296" s="924"/>
      <c r="Q296" s="922">
        <v>6924.62</v>
      </c>
      <c r="R296" s="924"/>
      <c r="S296" s="922">
        <v>5809.81</v>
      </c>
      <c r="T296" s="924"/>
      <c r="U296" s="922">
        <v>6018.62</v>
      </c>
      <c r="V296" s="924"/>
      <c r="W296" s="898">
        <v>4935.1000000000004</v>
      </c>
      <c r="Y296" s="922">
        <v>5640.76</v>
      </c>
      <c r="Z296" s="924"/>
      <c r="AA296" s="946">
        <v>6280.06</v>
      </c>
      <c r="AB296" s="924"/>
      <c r="AC296" s="922">
        <v>5860.56</v>
      </c>
      <c r="AD296" s="898">
        <f t="shared" si="19"/>
        <v>86505.86</v>
      </c>
    </row>
    <row r="297" spans="1:31">
      <c r="A297" s="910">
        <v>293</v>
      </c>
      <c r="B297" s="830" t="s">
        <v>2677</v>
      </c>
      <c r="H297" s="924"/>
      <c r="J297" s="924"/>
      <c r="L297" s="924"/>
      <c r="N297" s="924"/>
      <c r="P297" s="924"/>
      <c r="R297" s="924"/>
      <c r="T297" s="924"/>
      <c r="U297" s="922"/>
      <c r="V297" s="924"/>
      <c r="AA297" s="827"/>
      <c r="AD297" s="898">
        <f t="shared" si="19"/>
        <v>0</v>
      </c>
    </row>
    <row r="298" spans="1:31">
      <c r="A298" s="910">
        <v>294</v>
      </c>
      <c r="B298" s="830" t="s">
        <v>2719</v>
      </c>
      <c r="G298" s="922">
        <v>606.21</v>
      </c>
      <c r="H298" s="924"/>
      <c r="I298" s="922">
        <v>655.69</v>
      </c>
      <c r="J298" s="924"/>
      <c r="K298" s="922">
        <v>635.5</v>
      </c>
      <c r="L298" s="924"/>
      <c r="M298" s="922">
        <v>634.99</v>
      </c>
      <c r="N298" s="924"/>
      <c r="O298" s="922">
        <v>521.79999999999995</v>
      </c>
      <c r="P298" s="924"/>
      <c r="Q298" s="922">
        <v>516.47</v>
      </c>
      <c r="R298" s="924"/>
      <c r="S298" s="922">
        <v>465.96</v>
      </c>
      <c r="T298" s="924"/>
      <c r="U298" s="922">
        <v>475.42</v>
      </c>
      <c r="V298" s="924"/>
      <c r="W298" s="898">
        <v>426.33</v>
      </c>
      <c r="Y298" s="922">
        <v>458.3</v>
      </c>
      <c r="Z298" s="924"/>
      <c r="AA298" s="946">
        <v>487.17</v>
      </c>
      <c r="AB298" s="924"/>
      <c r="AC298" s="922">
        <v>468.17</v>
      </c>
      <c r="AD298" s="898">
        <f t="shared" si="19"/>
        <v>6352.0100000000011</v>
      </c>
    </row>
    <row r="299" spans="1:31">
      <c r="A299" s="910">
        <v>295</v>
      </c>
      <c r="B299" s="830" t="s">
        <v>2884</v>
      </c>
      <c r="G299" s="922">
        <f>SUM(G291:G298)</f>
        <v>14287.21</v>
      </c>
      <c r="H299" s="922"/>
      <c r="I299" s="922">
        <f>SUM(I291:I298)</f>
        <v>15453.539999999999</v>
      </c>
      <c r="J299" s="922"/>
      <c r="K299" s="922">
        <f>SUM(K291:K298)</f>
        <v>14977.7</v>
      </c>
      <c r="L299" s="922"/>
      <c r="M299" s="922">
        <f>SUM(M291:M298)</f>
        <v>14965.519999999999</v>
      </c>
      <c r="N299" s="922"/>
      <c r="O299" s="922">
        <f>SUM(O291:O298)</f>
        <v>12297.93</v>
      </c>
      <c r="P299" s="922"/>
      <c r="Q299" s="922">
        <f>SUM(Q291:Q298)</f>
        <v>12172.359999999999</v>
      </c>
      <c r="R299" s="922"/>
      <c r="S299" s="922">
        <f>SUM(S291:S298)</f>
        <v>10981.89</v>
      </c>
      <c r="T299" s="922"/>
      <c r="U299" s="922">
        <f>SUM(U291:U298)</f>
        <v>11204.87</v>
      </c>
      <c r="V299" s="922"/>
      <c r="W299" s="922">
        <f>SUM(W291:W298)</f>
        <v>10047.800000000001</v>
      </c>
      <c r="X299" s="922"/>
      <c r="Y299" s="922">
        <f>SUM(Y291:Y298)</f>
        <v>10801.36</v>
      </c>
      <c r="Z299" s="922"/>
      <c r="AA299" s="946">
        <f>SUM(AA291:AA298)</f>
        <v>11481.730000000001</v>
      </c>
      <c r="AB299" s="922"/>
      <c r="AC299" s="922">
        <f>SUM(AC291:AC298)</f>
        <v>11033.910000000002</v>
      </c>
      <c r="AD299" s="898">
        <f t="shared" si="19"/>
        <v>149705.82</v>
      </c>
    </row>
    <row r="300" spans="1:31">
      <c r="A300" s="910">
        <v>296</v>
      </c>
      <c r="B300" s="830" t="s">
        <v>2514</v>
      </c>
      <c r="F300" s="928"/>
      <c r="G300" s="924">
        <v>502419</v>
      </c>
      <c r="H300" s="924"/>
      <c r="I300" s="924">
        <v>564041</v>
      </c>
      <c r="J300" s="924"/>
      <c r="K300" s="924">
        <v>538901</v>
      </c>
      <c r="L300" s="924"/>
      <c r="M300" s="924">
        <v>538257</v>
      </c>
      <c r="N300" s="924"/>
      <c r="O300" s="924">
        <v>397319</v>
      </c>
      <c r="P300" s="924"/>
      <c r="Q300" s="924">
        <v>390685</v>
      </c>
      <c r="R300" s="924"/>
      <c r="S300" s="924">
        <v>327788</v>
      </c>
      <c r="T300" s="924"/>
      <c r="U300" s="924">
        <v>339569</v>
      </c>
      <c r="V300" s="926"/>
      <c r="W300" s="899">
        <v>278437</v>
      </c>
      <c r="X300" s="928"/>
      <c r="Y300" s="924">
        <v>318250</v>
      </c>
      <c r="Z300" s="926"/>
      <c r="AA300" s="947">
        <v>348739</v>
      </c>
      <c r="AB300" s="926"/>
      <c r="AC300" s="924">
        <v>325444</v>
      </c>
      <c r="AD300" s="928">
        <f t="shared" si="19"/>
        <v>4869849</v>
      </c>
      <c r="AE300" s="928"/>
    </row>
    <row r="301" spans="1:31">
      <c r="A301" s="910">
        <v>297</v>
      </c>
      <c r="B301" s="830" t="s">
        <v>2885</v>
      </c>
      <c r="F301" s="928"/>
      <c r="G301" s="899"/>
      <c r="I301" s="899"/>
      <c r="K301" s="899"/>
      <c r="M301" s="899"/>
      <c r="O301" s="899"/>
      <c r="Q301" s="899"/>
      <c r="S301" s="924"/>
      <c r="T301" s="924"/>
      <c r="U301" s="924"/>
      <c r="V301" s="926"/>
      <c r="W301" s="899"/>
      <c r="X301" s="928"/>
      <c r="Y301" s="924"/>
      <c r="Z301" s="926"/>
      <c r="AA301" s="947"/>
      <c r="AB301" s="926"/>
      <c r="AC301" s="924"/>
      <c r="AD301" s="928">
        <f t="shared" si="19"/>
        <v>0</v>
      </c>
      <c r="AE301" s="928"/>
    </row>
    <row r="302" spans="1:31">
      <c r="A302" s="910">
        <v>298</v>
      </c>
      <c r="B302" s="830" t="s">
        <v>2886</v>
      </c>
      <c r="F302" s="928"/>
      <c r="G302" s="924">
        <f>SUM(G300:G301)</f>
        <v>502419</v>
      </c>
      <c r="H302" s="924"/>
      <c r="I302" s="924">
        <f>SUM(I300:I301)</f>
        <v>564041</v>
      </c>
      <c r="J302" s="924"/>
      <c r="K302" s="924">
        <f>SUM(K300:K301)</f>
        <v>538901</v>
      </c>
      <c r="L302" s="924"/>
      <c r="M302" s="924">
        <f>SUM(M300:M301)</f>
        <v>538257</v>
      </c>
      <c r="N302" s="924"/>
      <c r="O302" s="924">
        <f>SUM(O300:O301)</f>
        <v>397319</v>
      </c>
      <c r="P302" s="924"/>
      <c r="Q302" s="924">
        <f>SUM(Q300:Q301)</f>
        <v>390685</v>
      </c>
      <c r="R302" s="924"/>
      <c r="S302" s="924">
        <f>SUM(S300:S301)</f>
        <v>327788</v>
      </c>
      <c r="T302" s="924"/>
      <c r="U302" s="924">
        <f>SUM(U300:U301)</f>
        <v>339569</v>
      </c>
      <c r="V302" s="926"/>
      <c r="W302" s="924">
        <f>SUM(W300:W301)</f>
        <v>278437</v>
      </c>
      <c r="X302" s="926"/>
      <c r="Y302" s="924">
        <f>SUM(Y300:Y301)</f>
        <v>318250</v>
      </c>
      <c r="Z302" s="926"/>
      <c r="AA302" s="948">
        <f>SUM(AA300:AA301)</f>
        <v>348739</v>
      </c>
      <c r="AB302" s="926"/>
      <c r="AC302" s="924">
        <f>SUM(AC300:AC301)</f>
        <v>325444</v>
      </c>
      <c r="AD302" s="928">
        <f t="shared" si="19"/>
        <v>4869849</v>
      </c>
      <c r="AE302" s="928"/>
    </row>
    <row r="303" spans="1:31">
      <c r="A303" s="910">
        <v>299</v>
      </c>
      <c r="B303" s="837"/>
      <c r="G303" s="935"/>
      <c r="I303" s="935"/>
      <c r="K303" s="935"/>
      <c r="M303" s="935"/>
      <c r="O303" s="935"/>
      <c r="Q303" s="935"/>
      <c r="S303" s="935"/>
    </row>
    <row r="304" spans="1:31">
      <c r="A304" s="910">
        <v>300</v>
      </c>
      <c r="B304" s="851" t="s">
        <v>2747</v>
      </c>
      <c r="G304" s="935"/>
      <c r="I304" s="935"/>
      <c r="K304" s="935"/>
      <c r="M304" s="935"/>
      <c r="O304" s="935"/>
      <c r="Q304" s="935"/>
      <c r="S304" s="935"/>
    </row>
    <row r="305" spans="1:30">
      <c r="A305" s="910">
        <v>301</v>
      </c>
      <c r="B305" s="830" t="s">
        <v>2724</v>
      </c>
      <c r="G305" s="922">
        <v>625</v>
      </c>
      <c r="H305" s="924"/>
      <c r="I305" s="922">
        <v>625</v>
      </c>
      <c r="J305" s="924"/>
      <c r="K305" s="922">
        <v>625</v>
      </c>
      <c r="L305" s="924"/>
      <c r="M305" s="922">
        <v>625</v>
      </c>
      <c r="N305" s="924"/>
      <c r="O305" s="922">
        <v>625</v>
      </c>
      <c r="P305" s="924"/>
      <c r="Q305" s="922">
        <v>625</v>
      </c>
      <c r="R305" s="924"/>
      <c r="S305" s="922">
        <v>625</v>
      </c>
      <c r="T305" s="924"/>
      <c r="U305" s="922">
        <v>625</v>
      </c>
      <c r="V305" s="924"/>
      <c r="W305" s="923">
        <v>625</v>
      </c>
      <c r="X305" s="925"/>
      <c r="Y305" s="922">
        <v>625</v>
      </c>
      <c r="Z305" s="924"/>
      <c r="AA305" s="922">
        <v>625</v>
      </c>
      <c r="AB305" s="924"/>
      <c r="AC305" s="922">
        <v>625</v>
      </c>
      <c r="AD305" s="898">
        <f t="shared" ref="AD305:AD316" si="20">SUM(G305:AC305)</f>
        <v>7500</v>
      </c>
    </row>
    <row r="306" spans="1:30">
      <c r="A306" s="910">
        <v>302</v>
      </c>
      <c r="B306" s="830" t="s">
        <v>2736</v>
      </c>
      <c r="G306" s="922">
        <v>6725</v>
      </c>
      <c r="H306" s="924"/>
      <c r="I306" s="922">
        <v>6725</v>
      </c>
      <c r="J306" s="924"/>
      <c r="K306" s="922">
        <v>6725</v>
      </c>
      <c r="L306" s="924"/>
      <c r="M306" s="922">
        <v>6725</v>
      </c>
      <c r="N306" s="924"/>
      <c r="O306" s="922">
        <v>6725</v>
      </c>
      <c r="P306" s="924"/>
      <c r="Q306" s="922">
        <v>6725</v>
      </c>
      <c r="R306" s="924"/>
      <c r="S306" s="922">
        <v>6725</v>
      </c>
      <c r="T306" s="924"/>
      <c r="U306" s="922">
        <v>6725</v>
      </c>
      <c r="V306" s="924"/>
      <c r="W306" s="923">
        <v>6725</v>
      </c>
      <c r="X306" s="925"/>
      <c r="Y306" s="922">
        <v>6725</v>
      </c>
      <c r="Z306" s="924"/>
      <c r="AA306" s="922">
        <v>6725</v>
      </c>
      <c r="AB306" s="924"/>
      <c r="AC306" s="922">
        <v>6725</v>
      </c>
      <c r="AD306" s="898">
        <f t="shared" si="20"/>
        <v>80700</v>
      </c>
    </row>
    <row r="307" spans="1:30">
      <c r="A307" s="910">
        <v>303</v>
      </c>
      <c r="B307" s="830" t="s">
        <v>2714</v>
      </c>
      <c r="G307" s="922">
        <v>477.05</v>
      </c>
      <c r="H307" s="924"/>
      <c r="I307" s="922">
        <v>488.28</v>
      </c>
      <c r="J307" s="924"/>
      <c r="K307" s="922">
        <v>431.3</v>
      </c>
      <c r="L307" s="924"/>
      <c r="M307" s="922">
        <v>461.84</v>
      </c>
      <c r="N307" s="924"/>
      <c r="O307" s="922">
        <v>424.58</v>
      </c>
      <c r="P307" s="924"/>
      <c r="Q307" s="922">
        <v>409.84</v>
      </c>
      <c r="R307" s="924"/>
      <c r="S307" s="922">
        <v>374.87</v>
      </c>
      <c r="T307" s="924"/>
      <c r="U307" s="922">
        <v>383.85</v>
      </c>
      <c r="V307" s="924"/>
      <c r="W307" s="923">
        <v>391.81</v>
      </c>
      <c r="X307" s="925"/>
      <c r="Y307" s="922">
        <v>352.05</v>
      </c>
      <c r="Z307" s="924"/>
      <c r="AA307" s="922">
        <v>394.31</v>
      </c>
      <c r="AB307" s="924"/>
      <c r="AC307" s="922">
        <v>397.82</v>
      </c>
      <c r="AD307" s="898">
        <f t="shared" si="20"/>
        <v>4987.5999999999995</v>
      </c>
    </row>
    <row r="308" spans="1:30">
      <c r="A308" s="910">
        <v>304</v>
      </c>
      <c r="B308" s="830" t="s">
        <v>2713</v>
      </c>
      <c r="H308" s="924"/>
      <c r="J308" s="924"/>
      <c r="L308" s="924"/>
      <c r="N308" s="924"/>
      <c r="P308" s="924"/>
      <c r="R308" s="924"/>
      <c r="S308" s="922"/>
      <c r="T308" s="924"/>
      <c r="U308" s="922"/>
      <c r="V308" s="924"/>
      <c r="W308" s="923"/>
      <c r="X308" s="925"/>
      <c r="AD308" s="898">
        <f t="shared" si="20"/>
        <v>0</v>
      </c>
    </row>
    <row r="309" spans="1:30">
      <c r="A309" s="910">
        <v>305</v>
      </c>
      <c r="B309" s="830" t="s">
        <v>2738</v>
      </c>
      <c r="H309" s="924"/>
      <c r="J309" s="924"/>
      <c r="L309" s="924"/>
      <c r="N309" s="924"/>
      <c r="P309" s="924"/>
      <c r="R309" s="924"/>
      <c r="S309" s="922"/>
      <c r="T309" s="924"/>
      <c r="U309" s="922"/>
      <c r="V309" s="924"/>
      <c r="W309" s="923"/>
      <c r="X309" s="925"/>
      <c r="AD309" s="898">
        <f t="shared" si="20"/>
        <v>0</v>
      </c>
    </row>
    <row r="310" spans="1:30">
      <c r="A310" s="910">
        <v>306</v>
      </c>
      <c r="B310" s="830" t="s">
        <v>2897</v>
      </c>
      <c r="G310" s="922">
        <v>12929.28</v>
      </c>
      <c r="H310" s="924"/>
      <c r="I310" s="922">
        <v>13233.72</v>
      </c>
      <c r="J310" s="924"/>
      <c r="K310" s="922">
        <v>11689.36</v>
      </c>
      <c r="L310" s="924"/>
      <c r="M310" s="922">
        <v>12517.23</v>
      </c>
      <c r="N310" s="924"/>
      <c r="O310" s="922">
        <v>11507.29</v>
      </c>
      <c r="P310" s="924"/>
      <c r="Q310" s="922">
        <v>11107.73</v>
      </c>
      <c r="R310" s="924"/>
      <c r="S310" s="922">
        <v>10160.02</v>
      </c>
      <c r="T310" s="924"/>
      <c r="U310" s="922">
        <v>10403.299999999999</v>
      </c>
      <c r="V310" s="924"/>
      <c r="W310" s="923">
        <v>10619.15</v>
      </c>
      <c r="X310" s="925"/>
      <c r="Y310" s="922">
        <v>9541.57</v>
      </c>
      <c r="Z310" s="924"/>
      <c r="AA310" s="922">
        <v>10858.01</v>
      </c>
      <c r="AB310" s="924"/>
      <c r="AC310" s="922">
        <v>10954.7</v>
      </c>
      <c r="AD310" s="898">
        <f t="shared" si="20"/>
        <v>135521.35999999999</v>
      </c>
    </row>
    <row r="311" spans="1:30">
      <c r="A311" s="910">
        <v>307</v>
      </c>
      <c r="B311" s="830" t="s">
        <v>2719</v>
      </c>
      <c r="G311" s="922">
        <v>919.71</v>
      </c>
      <c r="H311" s="924"/>
      <c r="I311" s="922">
        <v>933.7</v>
      </c>
      <c r="J311" s="924"/>
      <c r="K311" s="922">
        <v>862.74</v>
      </c>
      <c r="L311" s="924"/>
      <c r="M311" s="922">
        <v>900.78</v>
      </c>
      <c r="N311" s="924"/>
      <c r="O311" s="922">
        <v>854.38</v>
      </c>
      <c r="P311" s="924"/>
      <c r="Q311" s="922">
        <v>836.02</v>
      </c>
      <c r="R311" s="924"/>
      <c r="S311" s="922">
        <v>792.48</v>
      </c>
      <c r="T311" s="924"/>
      <c r="U311" s="922">
        <v>803.66</v>
      </c>
      <c r="V311" s="924"/>
      <c r="W311" s="923">
        <v>813.57</v>
      </c>
      <c r="X311" s="925"/>
      <c r="Y311" s="922">
        <v>764.06</v>
      </c>
      <c r="Z311" s="924"/>
      <c r="AA311" s="922">
        <v>824.27</v>
      </c>
      <c r="AB311" s="924"/>
      <c r="AC311" s="922">
        <v>828.71</v>
      </c>
      <c r="AD311" s="898">
        <f t="shared" si="20"/>
        <v>10134.079999999998</v>
      </c>
    </row>
    <row r="312" spans="1:30">
      <c r="A312" s="910">
        <v>308</v>
      </c>
      <c r="B312" s="830" t="s">
        <v>2677</v>
      </c>
      <c r="G312" s="922"/>
      <c r="H312" s="924"/>
      <c r="I312" s="922"/>
      <c r="J312" s="924"/>
      <c r="K312" s="922"/>
      <c r="L312" s="924"/>
      <c r="M312" s="922"/>
      <c r="N312" s="924"/>
      <c r="O312" s="922"/>
      <c r="P312" s="924"/>
      <c r="Q312" s="922"/>
      <c r="R312" s="924"/>
      <c r="S312" s="922"/>
      <c r="T312" s="924"/>
      <c r="U312" s="922"/>
      <c r="V312" s="924"/>
      <c r="W312" s="923"/>
      <c r="X312" s="925"/>
      <c r="AD312" s="898">
        <f t="shared" si="20"/>
        <v>0</v>
      </c>
    </row>
    <row r="313" spans="1:30">
      <c r="A313" s="910">
        <v>309</v>
      </c>
      <c r="B313" s="830" t="s">
        <v>2884</v>
      </c>
      <c r="G313" s="922">
        <f>SUM(G305:G312)</f>
        <v>21676.04</v>
      </c>
      <c r="H313" s="922"/>
      <c r="I313" s="922">
        <f>SUM(I305:I312)</f>
        <v>22005.7</v>
      </c>
      <c r="J313" s="922"/>
      <c r="K313" s="922">
        <f>SUM(K305:K312)</f>
        <v>20333.400000000001</v>
      </c>
      <c r="L313" s="922"/>
      <c r="M313" s="922">
        <f>SUM(M305:M312)</f>
        <v>21229.85</v>
      </c>
      <c r="N313" s="922"/>
      <c r="O313" s="922">
        <f>SUM(O305:O312)</f>
        <v>20136.250000000004</v>
      </c>
      <c r="P313" s="922"/>
      <c r="Q313" s="922">
        <f>SUM(Q305:Q312)</f>
        <v>19703.59</v>
      </c>
      <c r="R313" s="922"/>
      <c r="S313" s="922">
        <f>SUM(S305:S312)</f>
        <v>18677.37</v>
      </c>
      <c r="T313" s="922"/>
      <c r="U313" s="922">
        <f>SUM(U305:U312)</f>
        <v>18940.810000000001</v>
      </c>
      <c r="V313" s="922"/>
      <c r="W313" s="922">
        <f>SUM(W305:W312)</f>
        <v>19174.53</v>
      </c>
      <c r="X313" s="922"/>
      <c r="Y313" s="922">
        <f>SUM(Y305:Y312)</f>
        <v>18007.68</v>
      </c>
      <c r="Z313" s="922"/>
      <c r="AA313" s="922">
        <f>SUM(AA305:AA312)</f>
        <v>19426.59</v>
      </c>
      <c r="AB313" s="922"/>
      <c r="AC313" s="922">
        <f>SUM(AC305:AC312)</f>
        <v>19531.23</v>
      </c>
      <c r="AD313" s="898">
        <f t="shared" si="20"/>
        <v>238843.04</v>
      </c>
    </row>
    <row r="314" spans="1:30">
      <c r="A314" s="910">
        <v>310</v>
      </c>
      <c r="B314" s="830" t="s">
        <v>2514</v>
      </c>
      <c r="F314" s="928"/>
      <c r="G314" s="924">
        <v>1192617</v>
      </c>
      <c r="H314" s="924"/>
      <c r="I314" s="924">
        <v>1220699</v>
      </c>
      <c r="J314" s="924"/>
      <c r="K314" s="924">
        <v>1078245</v>
      </c>
      <c r="L314" s="924"/>
      <c r="M314" s="924">
        <v>1154609</v>
      </c>
      <c r="N314" s="924"/>
      <c r="O314" s="924">
        <v>1061450</v>
      </c>
      <c r="P314" s="924"/>
      <c r="Q314" s="924">
        <v>1024594</v>
      </c>
      <c r="R314" s="924"/>
      <c r="S314" s="924">
        <v>937176</v>
      </c>
      <c r="T314" s="926"/>
      <c r="U314" s="924">
        <v>959617</v>
      </c>
      <c r="V314" s="926"/>
      <c r="W314" s="899">
        <v>979527</v>
      </c>
      <c r="X314" s="928"/>
      <c r="Y314" s="924">
        <v>880129</v>
      </c>
      <c r="Z314" s="926"/>
      <c r="AA314" s="924">
        <v>985783</v>
      </c>
      <c r="AB314" s="926"/>
      <c r="AC314" s="924">
        <v>994562</v>
      </c>
      <c r="AD314" s="928">
        <f t="shared" si="20"/>
        <v>12469008</v>
      </c>
    </row>
    <row r="315" spans="1:30">
      <c r="A315" s="910">
        <v>311</v>
      </c>
      <c r="B315" s="830" t="s">
        <v>2885</v>
      </c>
      <c r="F315" s="928"/>
      <c r="G315" s="899"/>
      <c r="I315" s="899"/>
      <c r="K315" s="899"/>
      <c r="M315" s="899"/>
      <c r="O315" s="899"/>
      <c r="Q315" s="899"/>
      <c r="S315" s="924"/>
      <c r="T315" s="926"/>
      <c r="U315" s="924"/>
      <c r="V315" s="926"/>
      <c r="W315" s="928"/>
      <c r="X315" s="928"/>
      <c r="Y315" s="924"/>
      <c r="Z315" s="926"/>
      <c r="AA315" s="924"/>
      <c r="AB315" s="926"/>
      <c r="AC315" s="924"/>
      <c r="AD315" s="928">
        <f t="shared" si="20"/>
        <v>0</v>
      </c>
    </row>
    <row r="316" spans="1:30">
      <c r="A316" s="910">
        <v>312</v>
      </c>
      <c r="B316" s="830" t="s">
        <v>2886</v>
      </c>
      <c r="F316" s="928"/>
      <c r="G316" s="924">
        <f>SUM(G314:G315)</f>
        <v>1192617</v>
      </c>
      <c r="H316" s="924"/>
      <c r="I316" s="924">
        <f>SUM(I314:I315)</f>
        <v>1220699</v>
      </c>
      <c r="J316" s="924"/>
      <c r="K316" s="924">
        <f>SUM(K314:K315)</f>
        <v>1078245</v>
      </c>
      <c r="L316" s="924"/>
      <c r="M316" s="924">
        <f>SUM(M314:M315)</f>
        <v>1154609</v>
      </c>
      <c r="N316" s="924"/>
      <c r="O316" s="924">
        <f>SUM(O314:O315)</f>
        <v>1061450</v>
      </c>
      <c r="P316" s="924"/>
      <c r="Q316" s="924">
        <f>SUM(Q314:Q315)</f>
        <v>1024594</v>
      </c>
      <c r="R316" s="924"/>
      <c r="S316" s="924">
        <f>SUM(S314:S315)</f>
        <v>937176</v>
      </c>
      <c r="T316" s="926"/>
      <c r="U316" s="924">
        <f>SUM(U314:U315)</f>
        <v>959617</v>
      </c>
      <c r="V316" s="926"/>
      <c r="W316" s="924">
        <f>SUM(W314:W315)</f>
        <v>979527</v>
      </c>
      <c r="X316" s="926"/>
      <c r="Y316" s="924">
        <f>SUM(Y314:Y315)</f>
        <v>880129</v>
      </c>
      <c r="Z316" s="926"/>
      <c r="AA316" s="924">
        <f>SUM(AA314:AA315)</f>
        <v>985783</v>
      </c>
      <c r="AB316" s="926"/>
      <c r="AC316" s="924">
        <f>SUM(AC314:AC315)</f>
        <v>994562</v>
      </c>
      <c r="AD316" s="928">
        <f t="shared" si="20"/>
        <v>12469008</v>
      </c>
    </row>
    <row r="317" spans="1:30">
      <c r="A317" s="910">
        <v>313</v>
      </c>
      <c r="B317" s="830"/>
      <c r="F317" s="928"/>
      <c r="G317" s="926"/>
      <c r="H317" s="926"/>
      <c r="I317" s="926"/>
      <c r="J317" s="926"/>
      <c r="K317" s="926"/>
      <c r="L317" s="926"/>
      <c r="M317" s="926"/>
      <c r="N317" s="926"/>
      <c r="O317" s="926"/>
      <c r="P317" s="926"/>
      <c r="Q317" s="926"/>
      <c r="R317" s="926"/>
      <c r="S317" s="926"/>
      <c r="T317" s="926"/>
      <c r="U317" s="926"/>
      <c r="V317" s="926"/>
      <c r="W317" s="928"/>
      <c r="X317" s="928"/>
      <c r="Y317" s="926"/>
      <c r="Z317" s="926"/>
      <c r="AA317" s="926"/>
      <c r="AB317" s="926"/>
      <c r="AC317" s="926"/>
      <c r="AD317" s="928"/>
    </row>
    <row r="318" spans="1:30">
      <c r="A318" s="910">
        <v>314</v>
      </c>
      <c r="B318" s="851" t="s">
        <v>2898</v>
      </c>
      <c r="G318" s="922"/>
      <c r="H318" s="924"/>
      <c r="I318" s="922"/>
      <c r="J318" s="924"/>
      <c r="K318" s="922"/>
      <c r="L318" s="924"/>
      <c r="M318" s="922"/>
      <c r="N318" s="924"/>
      <c r="O318" s="922"/>
      <c r="P318" s="924"/>
      <c r="Q318" s="922"/>
      <c r="R318" s="924"/>
      <c r="S318" s="922"/>
      <c r="T318" s="924"/>
      <c r="U318" s="922"/>
      <c r="V318" s="924"/>
      <c r="Y318" s="922"/>
      <c r="Z318" s="924"/>
      <c r="AA318" s="922"/>
      <c r="AB318" s="924"/>
      <c r="AC318" s="922"/>
    </row>
    <row r="319" spans="1:30">
      <c r="A319" s="910">
        <v>315</v>
      </c>
      <c r="B319" s="895" t="s">
        <v>2462</v>
      </c>
      <c r="C319" s="939">
        <v>625</v>
      </c>
      <c r="D319" s="939"/>
      <c r="E319" s="939"/>
      <c r="F319" s="899">
        <f>G319/$C$319</f>
        <v>2</v>
      </c>
      <c r="G319" s="922">
        <v>1250</v>
      </c>
      <c r="H319" s="899">
        <f>I319/$C$319</f>
        <v>2</v>
      </c>
      <c r="I319" s="922">
        <v>1250</v>
      </c>
      <c r="J319" s="899">
        <f>K319/$C$319</f>
        <v>2</v>
      </c>
      <c r="K319" s="922">
        <v>1250</v>
      </c>
      <c r="L319" s="899">
        <f>M319/$C$319</f>
        <v>2</v>
      </c>
      <c r="M319" s="922">
        <v>1250</v>
      </c>
      <c r="N319" s="899">
        <f>O319/$C$319</f>
        <v>2</v>
      </c>
      <c r="O319" s="922">
        <v>1250</v>
      </c>
      <c r="P319" s="899">
        <f>Q319/$C$319</f>
        <v>2</v>
      </c>
      <c r="Q319" s="922">
        <v>1250</v>
      </c>
      <c r="R319" s="899">
        <f>S319/$C$319</f>
        <v>2</v>
      </c>
      <c r="S319" s="922">
        <v>1250</v>
      </c>
      <c r="T319" s="899">
        <f>U319/$C$319</f>
        <v>2</v>
      </c>
      <c r="U319" s="922">
        <v>1250</v>
      </c>
      <c r="V319" s="899">
        <f>W319/$C$319</f>
        <v>2</v>
      </c>
      <c r="W319" s="898">
        <v>1250</v>
      </c>
      <c r="X319" s="899">
        <f>Y319/$C$319</f>
        <v>2</v>
      </c>
      <c r="Y319" s="922">
        <v>1250</v>
      </c>
      <c r="Z319" s="899">
        <f>AA319/$C$319</f>
        <v>2</v>
      </c>
      <c r="AA319" s="922">
        <v>1250</v>
      </c>
      <c r="AB319" s="941">
        <f>AC319/$C$319</f>
        <v>2</v>
      </c>
      <c r="AC319" s="922">
        <v>1250</v>
      </c>
      <c r="AD319" s="898">
        <f t="shared" ref="AD319:AD325" si="21">SUM(G319,I319,K319,M319,O319,Q319,S319,U319,W319,Y319,AA319,AC319)</f>
        <v>15000</v>
      </c>
    </row>
    <row r="320" spans="1:30">
      <c r="A320" s="910">
        <v>316</v>
      </c>
      <c r="B320" s="949" t="s">
        <v>2713</v>
      </c>
      <c r="C320" s="910">
        <v>0.2</v>
      </c>
      <c r="E320" s="945"/>
      <c r="F320" s="899">
        <f>G320/$C$320</f>
        <v>520000</v>
      </c>
      <c r="G320" s="922">
        <v>104000</v>
      </c>
      <c r="H320" s="899">
        <f>I320/$C$320</f>
        <v>520000</v>
      </c>
      <c r="I320" s="922">
        <v>104000</v>
      </c>
      <c r="J320" s="899">
        <f>K320/$C$320</f>
        <v>520000</v>
      </c>
      <c r="K320" s="922">
        <v>104000</v>
      </c>
      <c r="L320" s="899">
        <f>M320/$C$320</f>
        <v>520000</v>
      </c>
      <c r="M320" s="922">
        <v>104000</v>
      </c>
      <c r="N320" s="899">
        <f>O320/$C$320</f>
        <v>520000</v>
      </c>
      <c r="O320" s="922">
        <v>104000</v>
      </c>
      <c r="P320" s="899">
        <f>Q320/$C$320</f>
        <v>520000</v>
      </c>
      <c r="Q320" s="922">
        <v>104000</v>
      </c>
      <c r="R320" s="899">
        <f>S320/$C$320</f>
        <v>520000</v>
      </c>
      <c r="S320" s="922">
        <v>104000</v>
      </c>
      <c r="T320" s="899">
        <f>U320/$C$320</f>
        <v>520000</v>
      </c>
      <c r="U320" s="922">
        <v>104000</v>
      </c>
      <c r="V320" s="899">
        <f>W320/$C$320</f>
        <v>520000</v>
      </c>
      <c r="W320" s="898">
        <v>104000</v>
      </c>
      <c r="X320" s="899">
        <f>Y320/$C$320</f>
        <v>520000</v>
      </c>
      <c r="Y320" s="922">
        <v>104000</v>
      </c>
      <c r="Z320" s="899">
        <f>AA320/$C$320</f>
        <v>520000</v>
      </c>
      <c r="AA320" s="922">
        <v>104000</v>
      </c>
      <c r="AB320" s="899">
        <f>AC320/$C$320</f>
        <v>520000</v>
      </c>
      <c r="AC320" s="922">
        <v>104000</v>
      </c>
      <c r="AD320" s="898">
        <f t="shared" si="21"/>
        <v>1248000</v>
      </c>
    </row>
    <row r="321" spans="1:30">
      <c r="A321" s="910">
        <v>317</v>
      </c>
      <c r="B321" s="949" t="s">
        <v>2714</v>
      </c>
      <c r="C321" s="910">
        <v>4.0000000000000002E-4</v>
      </c>
      <c r="F321" s="899">
        <f>G321/$C$321</f>
        <v>14382574.999999998</v>
      </c>
      <c r="G321" s="922">
        <v>5753.03</v>
      </c>
      <c r="H321" s="899">
        <f>I321/$C$321</f>
        <v>14944500</v>
      </c>
      <c r="I321" s="922">
        <v>5977.8</v>
      </c>
      <c r="J321" s="899">
        <f>K321/$C$321</f>
        <v>7408850</v>
      </c>
      <c r="K321" s="922">
        <v>2963.54</v>
      </c>
      <c r="L321" s="899">
        <f>M321/$C$321</f>
        <v>9817650</v>
      </c>
      <c r="M321" s="922">
        <v>3927.06</v>
      </c>
      <c r="N321" s="899">
        <f>O321/$C$321</f>
        <v>7594199.9999999991</v>
      </c>
      <c r="O321" s="922">
        <v>3037.68</v>
      </c>
      <c r="P321" s="899">
        <f>Q321/$C$321</f>
        <v>5340650</v>
      </c>
      <c r="Q321" s="922">
        <v>2136.2600000000002</v>
      </c>
      <c r="R321" s="899">
        <f>S321/$C$321</f>
        <v>7824550</v>
      </c>
      <c r="S321" s="922">
        <v>3129.82</v>
      </c>
      <c r="T321" s="899">
        <f>U321/$C$321</f>
        <v>14501175</v>
      </c>
      <c r="U321" s="922">
        <v>5800.47</v>
      </c>
      <c r="V321" s="899">
        <f>W321/$C$321</f>
        <v>16164674.999999998</v>
      </c>
      <c r="W321" s="898">
        <v>6465.87</v>
      </c>
      <c r="X321" s="899">
        <f>Y321/$C$321</f>
        <v>15653550</v>
      </c>
      <c r="Y321" s="922">
        <v>6261.42</v>
      </c>
      <c r="Z321" s="899">
        <f>AA321/$C$321</f>
        <v>11066775</v>
      </c>
      <c r="AA321" s="922">
        <v>4426.71</v>
      </c>
      <c r="AB321" s="899">
        <f>AC321/$C$321</f>
        <v>12699050</v>
      </c>
      <c r="AC321" s="922">
        <v>5079.62</v>
      </c>
      <c r="AD321" s="898">
        <f t="shared" si="21"/>
        <v>54959.280000000006</v>
      </c>
    </row>
    <row r="322" spans="1:30">
      <c r="A322" s="910">
        <v>318</v>
      </c>
      <c r="B322" s="949" t="s">
        <v>2716</v>
      </c>
      <c r="C322" s="910">
        <v>5.3310000000000003E-2</v>
      </c>
      <c r="F322" s="899">
        <f>G322/$C$322</f>
        <v>100000</v>
      </c>
      <c r="G322" s="922">
        <v>5331</v>
      </c>
      <c r="H322" s="899">
        <f>I322/$C$322</f>
        <v>100000</v>
      </c>
      <c r="I322" s="922">
        <v>5331</v>
      </c>
      <c r="J322" s="899">
        <f>K322/$C$322</f>
        <v>100000</v>
      </c>
      <c r="K322" s="922">
        <v>5331</v>
      </c>
      <c r="L322" s="899">
        <f>M322/$C$322</f>
        <v>100000</v>
      </c>
      <c r="M322" s="922">
        <v>5331</v>
      </c>
      <c r="N322" s="899">
        <f>O322/$C$322</f>
        <v>100000</v>
      </c>
      <c r="O322" s="922">
        <v>5331</v>
      </c>
      <c r="P322" s="899">
        <f>Q322/$C$322</f>
        <v>100000</v>
      </c>
      <c r="Q322" s="922">
        <v>5331</v>
      </c>
      <c r="R322" s="899">
        <f>S322/$C$322</f>
        <v>100000</v>
      </c>
      <c r="S322" s="922">
        <v>5331</v>
      </c>
      <c r="T322" s="899">
        <f>U322/$C$322</f>
        <v>100000</v>
      </c>
      <c r="U322" s="922">
        <v>5331</v>
      </c>
      <c r="V322" s="899">
        <f>W322/$C$322</f>
        <v>100000</v>
      </c>
      <c r="W322" s="898">
        <v>5331</v>
      </c>
      <c r="X322" s="899">
        <f>Y322/$C$322</f>
        <v>100000</v>
      </c>
      <c r="Y322" s="922">
        <v>5331</v>
      </c>
      <c r="Z322" s="899">
        <f>AA322/$C$322</f>
        <v>100000</v>
      </c>
      <c r="AA322" s="922">
        <v>5331</v>
      </c>
      <c r="AB322" s="899">
        <f>AC322/$C$322</f>
        <v>100000</v>
      </c>
      <c r="AC322" s="922">
        <v>5331</v>
      </c>
      <c r="AD322" s="898">
        <f t="shared" si="21"/>
        <v>63972</v>
      </c>
    </row>
    <row r="323" spans="1:30">
      <c r="A323" s="910">
        <v>319</v>
      </c>
      <c r="B323" s="949" t="s">
        <v>2494</v>
      </c>
      <c r="C323" s="910">
        <v>1.9449999999999999E-2</v>
      </c>
      <c r="F323" s="899">
        <f>G323/$C$323</f>
        <v>200000.00000000003</v>
      </c>
      <c r="G323" s="922">
        <v>3890</v>
      </c>
      <c r="H323" s="899">
        <f>I323/$C$323</f>
        <v>200000.00000000003</v>
      </c>
      <c r="I323" s="922">
        <v>3890</v>
      </c>
      <c r="J323" s="899">
        <f>K323/$C$323</f>
        <v>200000.00000000003</v>
      </c>
      <c r="K323" s="922">
        <v>3890</v>
      </c>
      <c r="L323" s="899">
        <f>M323/$C$323</f>
        <v>200000.00000000003</v>
      </c>
      <c r="M323" s="922">
        <v>3890</v>
      </c>
      <c r="N323" s="899">
        <f>O323/$C$323</f>
        <v>200000.00000000003</v>
      </c>
      <c r="O323" s="922">
        <v>3890</v>
      </c>
      <c r="P323" s="899">
        <f>Q323/$C$323</f>
        <v>200000.00000000003</v>
      </c>
      <c r="Q323" s="922">
        <v>3890</v>
      </c>
      <c r="R323" s="899">
        <f>S323/$C$323</f>
        <v>321542.41645244218</v>
      </c>
      <c r="S323" s="922">
        <v>6254</v>
      </c>
      <c r="T323" s="899">
        <f>U323/$C$323</f>
        <v>200000.00000000003</v>
      </c>
      <c r="U323" s="922">
        <v>3890</v>
      </c>
      <c r="V323" s="899">
        <f>W323/$C$323</f>
        <v>200000.00000000003</v>
      </c>
      <c r="W323" s="898">
        <v>3890</v>
      </c>
      <c r="X323" s="899">
        <f>Y323/$C$323</f>
        <v>200000.00000000003</v>
      </c>
      <c r="Y323" s="922">
        <v>3890</v>
      </c>
      <c r="Z323" s="899">
        <f>AA323/$C$323</f>
        <v>200000.00000000003</v>
      </c>
      <c r="AA323" s="922">
        <v>3890</v>
      </c>
      <c r="AB323" s="899">
        <f>AC323/$C$323</f>
        <v>200000.00000000003</v>
      </c>
      <c r="AC323" s="898">
        <v>3890</v>
      </c>
      <c r="AD323" s="898">
        <f t="shared" si="21"/>
        <v>49044</v>
      </c>
    </row>
    <row r="324" spans="1:30">
      <c r="A324" s="910">
        <v>320</v>
      </c>
      <c r="B324" s="949" t="s">
        <v>2494</v>
      </c>
      <c r="C324" s="910">
        <v>1.1820000000000001E-2</v>
      </c>
      <c r="F324" s="899">
        <f>G324/$C$324</f>
        <v>200000</v>
      </c>
      <c r="G324" s="922">
        <v>2364</v>
      </c>
      <c r="H324" s="899">
        <f>I324/$C$324</f>
        <v>200000</v>
      </c>
      <c r="I324" s="922">
        <v>2364</v>
      </c>
      <c r="J324" s="899">
        <f>K324/$C$324</f>
        <v>200000</v>
      </c>
      <c r="K324" s="922">
        <v>2364</v>
      </c>
      <c r="L324" s="899">
        <f>M324/$C$324</f>
        <v>200000</v>
      </c>
      <c r="M324" s="922">
        <v>2364</v>
      </c>
      <c r="N324" s="899">
        <f>O324/$C$324</f>
        <v>200000</v>
      </c>
      <c r="O324" s="922">
        <v>2364</v>
      </c>
      <c r="P324" s="899">
        <f>Q324/$C$324</f>
        <v>200000</v>
      </c>
      <c r="Q324" s="922">
        <v>2364</v>
      </c>
      <c r="R324" s="899">
        <f>S324/$C$324</f>
        <v>0</v>
      </c>
      <c r="S324" s="922"/>
      <c r="T324" s="899">
        <f>U324/$C$324</f>
        <v>200000</v>
      </c>
      <c r="U324" s="922">
        <v>2364</v>
      </c>
      <c r="V324" s="899">
        <f>W324/$C$324</f>
        <v>200000</v>
      </c>
      <c r="W324" s="898">
        <v>2364</v>
      </c>
      <c r="X324" s="899">
        <f>Y324/$C$324</f>
        <v>200000</v>
      </c>
      <c r="Y324" s="922">
        <v>2364</v>
      </c>
      <c r="Z324" s="899">
        <f>AA324/$C$324</f>
        <v>200000</v>
      </c>
      <c r="AA324" s="922">
        <v>2364</v>
      </c>
      <c r="AB324" s="899">
        <f>AC324/$C$324</f>
        <v>200000</v>
      </c>
      <c r="AC324" s="898">
        <v>2364</v>
      </c>
      <c r="AD324" s="898">
        <f t="shared" si="21"/>
        <v>26004</v>
      </c>
    </row>
    <row r="325" spans="1:30">
      <c r="A325" s="910">
        <v>321</v>
      </c>
      <c r="B325" s="949" t="s">
        <v>2717</v>
      </c>
      <c r="C325" s="910">
        <v>5.62E-3</v>
      </c>
      <c r="F325" s="899">
        <f>G325/$C$325</f>
        <v>13882578.291814946</v>
      </c>
      <c r="G325" s="922">
        <v>78020.09</v>
      </c>
      <c r="H325" s="899">
        <f>I325/$C$325</f>
        <v>14444498.22064057</v>
      </c>
      <c r="I325" s="922">
        <v>81178.080000000002</v>
      </c>
      <c r="J325" s="899">
        <f>K325/$C$325</f>
        <v>6908861.2099644132</v>
      </c>
      <c r="K325" s="922">
        <v>38827.800000000003</v>
      </c>
      <c r="L325" s="899">
        <f>M325/$C$325</f>
        <v>9317658.3629893232</v>
      </c>
      <c r="M325" s="922">
        <v>52365.24</v>
      </c>
      <c r="N325" s="899">
        <f>O325/$C$325</f>
        <v>7094206.4056939511</v>
      </c>
      <c r="O325" s="922">
        <v>39869.440000000002</v>
      </c>
      <c r="P325" s="899">
        <f>Q325/$C$325</f>
        <v>4840649.466192171</v>
      </c>
      <c r="Q325" s="922">
        <v>27204.45</v>
      </c>
      <c r="R325" s="899">
        <f>S325/$C$325</f>
        <v>7324546.263345195</v>
      </c>
      <c r="S325" s="922">
        <v>41163.949999999997</v>
      </c>
      <c r="T325" s="899">
        <f>U325/$C$325</f>
        <v>14001183.274021352</v>
      </c>
      <c r="U325" s="922">
        <v>78686.649999999994</v>
      </c>
      <c r="V325" s="899">
        <f>W325/$C$325</f>
        <v>15664686.832740212</v>
      </c>
      <c r="W325" s="898">
        <v>88035.54</v>
      </c>
      <c r="X325" s="899">
        <f>Y325/$C$325</f>
        <v>15153555.160142347</v>
      </c>
      <c r="Y325" s="922">
        <v>85162.98</v>
      </c>
      <c r="Z325" s="899">
        <f>AA325/$C$325</f>
        <v>10566763.345195729</v>
      </c>
      <c r="AA325" s="922">
        <v>59385.21</v>
      </c>
      <c r="AB325" s="899">
        <f>AC325/$C$325</f>
        <v>12199044.483985767</v>
      </c>
      <c r="AC325" s="898">
        <v>68558.63</v>
      </c>
      <c r="AD325" s="898">
        <f t="shared" si="21"/>
        <v>738458.05999999994</v>
      </c>
    </row>
    <row r="326" spans="1:30">
      <c r="A326" s="910">
        <v>322</v>
      </c>
      <c r="B326" s="949" t="s">
        <v>2658</v>
      </c>
      <c r="G326" s="922">
        <v>-9061.02</v>
      </c>
      <c r="H326" s="924"/>
      <c r="I326" s="922">
        <v>-9415.0300000000007</v>
      </c>
      <c r="J326" s="924"/>
      <c r="K326" s="922">
        <v>-4667.58</v>
      </c>
      <c r="L326" s="924"/>
      <c r="M326" s="922">
        <v>-6185.13</v>
      </c>
      <c r="N326" s="924"/>
      <c r="O326" s="922">
        <v>-4784.3500000000004</v>
      </c>
      <c r="P326" s="924"/>
      <c r="Q326" s="922">
        <v>-3364.61</v>
      </c>
      <c r="R326" s="924"/>
      <c r="S326" s="922">
        <v>-4929.46</v>
      </c>
      <c r="T326" s="924"/>
      <c r="U326" s="922">
        <v>-9135.75</v>
      </c>
      <c r="V326" s="924"/>
      <c r="W326" s="898">
        <v>-10183.75</v>
      </c>
      <c r="Y326" s="922">
        <v>-9861.74</v>
      </c>
      <c r="Z326" s="924"/>
      <c r="AA326" s="922">
        <v>-6972.06</v>
      </c>
      <c r="AB326" s="924"/>
      <c r="AC326" s="922">
        <v>-9016.32</v>
      </c>
      <c r="AD326" s="898">
        <f t="shared" ref="AD326:AD336" si="22">SUM(G326:AC326)</f>
        <v>-87576.800000000017</v>
      </c>
    </row>
    <row r="327" spans="1:30">
      <c r="A327" s="910">
        <v>323</v>
      </c>
      <c r="B327" s="949" t="s">
        <v>2659</v>
      </c>
      <c r="G327" s="922">
        <v>-4170.95</v>
      </c>
      <c r="H327" s="924"/>
      <c r="I327" s="922">
        <v>-4333.8999999999996</v>
      </c>
      <c r="J327" s="924"/>
      <c r="K327" s="922">
        <v>-2148.5700000000002</v>
      </c>
      <c r="L327" s="924"/>
      <c r="M327" s="922">
        <v>-2847.12</v>
      </c>
      <c r="N327" s="924"/>
      <c r="O327" s="922">
        <v>-2202.3200000000002</v>
      </c>
      <c r="P327" s="924"/>
      <c r="Q327" s="922">
        <v>-1548.79</v>
      </c>
      <c r="R327" s="924"/>
      <c r="S327" s="922">
        <v>-2269.12</v>
      </c>
      <c r="T327" s="924"/>
      <c r="U327" s="922">
        <v>-4205.34</v>
      </c>
      <c r="V327" s="924"/>
      <c r="W327" s="898">
        <v>-4687.76</v>
      </c>
      <c r="Y327" s="922">
        <v>-4539.53</v>
      </c>
      <c r="Z327" s="924"/>
      <c r="AA327" s="922">
        <v>-3209.36</v>
      </c>
      <c r="AB327" s="924"/>
      <c r="AC327" s="922">
        <v>-3314.45</v>
      </c>
      <c r="AD327" s="898">
        <f t="shared" si="22"/>
        <v>-39477.209999999992</v>
      </c>
    </row>
    <row r="328" spans="1:30">
      <c r="A328" s="910">
        <v>324</v>
      </c>
      <c r="B328" s="949" t="s">
        <v>2660</v>
      </c>
      <c r="G328" s="922">
        <v>-7766.59</v>
      </c>
      <c r="H328" s="924"/>
      <c r="I328" s="922">
        <v>-8070.03</v>
      </c>
      <c r="J328" s="924"/>
      <c r="K328" s="922">
        <v>-4000.78</v>
      </c>
      <c r="L328" s="924"/>
      <c r="M328" s="922">
        <v>-5301.54</v>
      </c>
      <c r="N328" s="924"/>
      <c r="O328" s="922">
        <v>-4100.87</v>
      </c>
      <c r="P328" s="924"/>
      <c r="Q328" s="922">
        <v>-2883.95</v>
      </c>
      <c r="R328" s="924"/>
      <c r="S328" s="922">
        <v>-4225.25</v>
      </c>
      <c r="T328" s="924"/>
      <c r="U328" s="922">
        <v>-7830.64</v>
      </c>
      <c r="V328" s="924"/>
      <c r="W328" s="898">
        <v>-8728.93</v>
      </c>
      <c r="Y328" s="922">
        <v>-8452.92</v>
      </c>
      <c r="Z328" s="924"/>
      <c r="AA328" s="922">
        <v>-5976.05</v>
      </c>
      <c r="AB328" s="924"/>
      <c r="AC328" s="922"/>
      <c r="AD328" s="898">
        <f t="shared" si="22"/>
        <v>-67337.549999999988</v>
      </c>
    </row>
    <row r="329" spans="1:30">
      <c r="A329" s="910">
        <v>325</v>
      </c>
      <c r="B329" s="949" t="s">
        <v>2653</v>
      </c>
      <c r="G329" s="922">
        <v>4458.6000000000004</v>
      </c>
      <c r="H329" s="924"/>
      <c r="I329" s="922">
        <v>4632.79</v>
      </c>
      <c r="J329" s="924"/>
      <c r="K329" s="922">
        <v>2296.75</v>
      </c>
      <c r="L329" s="924"/>
      <c r="M329" s="922">
        <v>3043.47</v>
      </c>
      <c r="N329" s="924"/>
      <c r="O329" s="922">
        <v>2354.2000000000003</v>
      </c>
      <c r="P329" s="924"/>
      <c r="Q329" s="922">
        <v>1655.6</v>
      </c>
      <c r="R329" s="924"/>
      <c r="S329" s="922">
        <v>2425.61</v>
      </c>
      <c r="T329" s="924"/>
      <c r="U329" s="922">
        <v>4495.37</v>
      </c>
      <c r="V329" s="924"/>
      <c r="W329" s="898">
        <v>5011.05</v>
      </c>
      <c r="Y329" s="922">
        <v>4852.6000000000004</v>
      </c>
      <c r="Z329" s="924"/>
      <c r="AA329" s="922">
        <v>3430.7</v>
      </c>
      <c r="AB329" s="924"/>
      <c r="AC329" s="922">
        <v>3809.71</v>
      </c>
      <c r="AD329" s="898">
        <f t="shared" si="22"/>
        <v>42466.44999999999</v>
      </c>
    </row>
    <row r="330" spans="1:30">
      <c r="A330" s="910">
        <v>326</v>
      </c>
      <c r="B330" s="949" t="s">
        <v>2654</v>
      </c>
      <c r="G330" s="922">
        <v>24594.21</v>
      </c>
      <c r="H330" s="924"/>
      <c r="I330" s="922">
        <v>25555.09</v>
      </c>
      <c r="J330" s="924"/>
      <c r="K330" s="922">
        <v>12669.15</v>
      </c>
      <c r="L330" s="924"/>
      <c r="M330" s="922">
        <v>16788.2</v>
      </c>
      <c r="N330" s="924"/>
      <c r="O330" s="922">
        <v>12986.09</v>
      </c>
      <c r="P330" s="924"/>
      <c r="Q330" s="922">
        <v>9132.51</v>
      </c>
      <c r="R330" s="924"/>
      <c r="S330" s="922">
        <v>13379.97</v>
      </c>
      <c r="T330" s="924"/>
      <c r="U330" s="922">
        <v>24797.02</v>
      </c>
      <c r="V330" s="924"/>
      <c r="W330" s="898">
        <v>27641.61</v>
      </c>
      <c r="Y330" s="922">
        <v>26767.58</v>
      </c>
      <c r="Z330" s="924"/>
      <c r="AA330" s="922">
        <v>18924.16</v>
      </c>
      <c r="AB330" s="924"/>
      <c r="AC330" s="922">
        <v>22096.34</v>
      </c>
      <c r="AD330" s="898">
        <f t="shared" si="22"/>
        <v>235331.93</v>
      </c>
    </row>
    <row r="331" spans="1:30">
      <c r="A331" s="910">
        <v>327</v>
      </c>
      <c r="B331" s="895" t="s">
        <v>2719</v>
      </c>
      <c r="G331" s="922">
        <v>8888.94</v>
      </c>
      <c r="H331" s="924"/>
      <c r="I331" s="922">
        <v>9038.83</v>
      </c>
      <c r="J331" s="924"/>
      <c r="K331" s="922">
        <v>7028.73</v>
      </c>
      <c r="L331" s="924"/>
      <c r="M331" s="922">
        <v>7671.27</v>
      </c>
      <c r="N331" s="924"/>
      <c r="O331" s="922">
        <v>7078.17</v>
      </c>
      <c r="P331" s="924"/>
      <c r="Q331" s="922">
        <v>6477.04</v>
      </c>
      <c r="R331" s="924"/>
      <c r="S331" s="922">
        <v>7139.61</v>
      </c>
      <c r="T331" s="924"/>
      <c r="U331" s="922">
        <v>8920.58</v>
      </c>
      <c r="V331" s="924"/>
      <c r="W331" s="898">
        <v>9364.3100000000013</v>
      </c>
      <c r="Y331" s="922">
        <v>9227.9700000000012</v>
      </c>
      <c r="Z331" s="924"/>
      <c r="AA331" s="922">
        <v>8004.46</v>
      </c>
      <c r="AB331" s="924"/>
      <c r="AC331" s="922">
        <v>8439.8700000000008</v>
      </c>
      <c r="AD331" s="898">
        <f t="shared" si="22"/>
        <v>97279.780000000013</v>
      </c>
    </row>
    <row r="332" spans="1:30">
      <c r="A332" s="910">
        <v>328</v>
      </c>
      <c r="B332" s="942" t="s">
        <v>2684</v>
      </c>
      <c r="G332" s="922">
        <v>60</v>
      </c>
      <c r="H332" s="924"/>
      <c r="I332" s="922">
        <v>60</v>
      </c>
      <c r="J332" s="924"/>
      <c r="K332" s="922">
        <v>60</v>
      </c>
      <c r="L332" s="924"/>
      <c r="M332" s="922">
        <v>60</v>
      </c>
      <c r="N332" s="924"/>
      <c r="O332" s="922">
        <v>60</v>
      </c>
      <c r="P332" s="924"/>
      <c r="Q332" s="922">
        <v>60</v>
      </c>
      <c r="R332" s="924"/>
      <c r="S332" s="922">
        <v>60</v>
      </c>
      <c r="T332" s="924"/>
      <c r="U332" s="922">
        <v>60</v>
      </c>
      <c r="V332" s="924"/>
      <c r="W332" s="898">
        <v>60</v>
      </c>
      <c r="Y332" s="922">
        <v>60</v>
      </c>
      <c r="Z332" s="924"/>
      <c r="AA332" s="922">
        <v>60</v>
      </c>
      <c r="AB332" s="924"/>
      <c r="AC332" s="922">
        <v>60</v>
      </c>
      <c r="AD332" s="898">
        <f t="shared" si="22"/>
        <v>720</v>
      </c>
    </row>
    <row r="333" spans="1:30">
      <c r="A333" s="910">
        <v>329</v>
      </c>
      <c r="B333" s="830" t="s">
        <v>2884</v>
      </c>
      <c r="G333" s="922">
        <f>SUM(G319:G332)</f>
        <v>217611.31</v>
      </c>
      <c r="H333" s="922"/>
      <c r="I333" s="922">
        <f>SUM(I319:I332)</f>
        <v>221458.63</v>
      </c>
      <c r="J333" s="922"/>
      <c r="K333" s="922">
        <f>SUM(K319:K332)</f>
        <v>169864.04</v>
      </c>
      <c r="L333" s="922"/>
      <c r="M333" s="922">
        <f>SUM(M319:M332)</f>
        <v>186356.44999999998</v>
      </c>
      <c r="N333" s="922"/>
      <c r="O333" s="922">
        <f>SUM(O319:O332)</f>
        <v>171133.04</v>
      </c>
      <c r="P333" s="922"/>
      <c r="Q333" s="922">
        <f>SUM(Q319:Q332)</f>
        <v>155703.51</v>
      </c>
      <c r="R333" s="922"/>
      <c r="S333" s="922">
        <f>SUM(S319:S332)</f>
        <v>172710.13</v>
      </c>
      <c r="T333" s="922"/>
      <c r="U333" s="922">
        <f>SUM(U319:U332)</f>
        <v>218423.35999999996</v>
      </c>
      <c r="V333" s="922"/>
      <c r="W333" s="922">
        <f>SUM(W319:W332)</f>
        <v>229812.93999999994</v>
      </c>
      <c r="X333" s="922"/>
      <c r="Y333" s="922">
        <f>SUM(Y319:Y332)</f>
        <v>226313.36000000002</v>
      </c>
      <c r="Z333" s="922"/>
      <c r="AA333" s="922">
        <f>SUM(AA319:AA332)</f>
        <v>194908.77000000005</v>
      </c>
      <c r="AB333" s="922"/>
      <c r="AC333" s="922">
        <f>SUM(AC319:AC332)</f>
        <v>212548.39999999997</v>
      </c>
      <c r="AD333" s="898">
        <f t="shared" si="22"/>
        <v>2376843.94</v>
      </c>
    </row>
    <row r="334" spans="1:30">
      <c r="A334" s="910">
        <v>330</v>
      </c>
      <c r="B334" s="830" t="s">
        <v>2514</v>
      </c>
      <c r="G334" s="924">
        <v>14382579</v>
      </c>
      <c r="H334" s="924"/>
      <c r="I334" s="924">
        <v>14944499</v>
      </c>
      <c r="J334" s="924"/>
      <c r="K334" s="924">
        <v>7408861</v>
      </c>
      <c r="L334" s="924"/>
      <c r="M334" s="924">
        <v>9817659</v>
      </c>
      <c r="N334" s="924"/>
      <c r="O334" s="924">
        <v>7594206</v>
      </c>
      <c r="P334" s="926"/>
      <c r="Q334" s="924">
        <v>5340649</v>
      </c>
      <c r="R334" s="926"/>
      <c r="S334" s="924">
        <v>7824546</v>
      </c>
      <c r="T334" s="926"/>
      <c r="U334" s="924">
        <v>14501183</v>
      </c>
      <c r="V334" s="926"/>
      <c r="W334" s="899">
        <v>16164686</v>
      </c>
      <c r="X334" s="928"/>
      <c r="Y334" s="924">
        <v>15653555</v>
      </c>
      <c r="Z334" s="926"/>
      <c r="AA334" s="924">
        <v>11066763</v>
      </c>
      <c r="AB334" s="926"/>
      <c r="AC334" s="924">
        <v>12699045</v>
      </c>
      <c r="AD334" s="928">
        <f t="shared" si="22"/>
        <v>137398231</v>
      </c>
    </row>
    <row r="335" spans="1:30">
      <c r="A335" s="910">
        <v>331</v>
      </c>
      <c r="B335" s="830" t="s">
        <v>2885</v>
      </c>
      <c r="G335" s="924"/>
      <c r="H335" s="924"/>
      <c r="I335" s="924"/>
      <c r="J335" s="924"/>
      <c r="K335" s="924"/>
      <c r="L335" s="924"/>
      <c r="M335" s="924"/>
      <c r="N335" s="924"/>
      <c r="O335" s="924"/>
      <c r="P335" s="926"/>
      <c r="Q335" s="924"/>
      <c r="R335" s="926"/>
      <c r="S335" s="924"/>
      <c r="T335" s="926"/>
      <c r="U335" s="924"/>
      <c r="V335" s="926"/>
      <c r="W335" s="899"/>
      <c r="X335" s="928"/>
      <c r="Y335" s="924"/>
      <c r="Z335" s="926"/>
      <c r="AA335" s="899"/>
      <c r="AB335" s="928"/>
      <c r="AC335" s="924"/>
      <c r="AD335" s="928">
        <f t="shared" si="22"/>
        <v>0</v>
      </c>
    </row>
    <row r="336" spans="1:30">
      <c r="A336" s="910">
        <v>332</v>
      </c>
      <c r="B336" s="830" t="s">
        <v>2886</v>
      </c>
      <c r="G336" s="924">
        <f>SUM(G334:G335)</f>
        <v>14382579</v>
      </c>
      <c r="H336" s="924"/>
      <c r="I336" s="924">
        <f>SUM(I334:I335)</f>
        <v>14944499</v>
      </c>
      <c r="J336" s="924"/>
      <c r="K336" s="924">
        <f>SUM(K334:K335)</f>
        <v>7408861</v>
      </c>
      <c r="L336" s="924"/>
      <c r="M336" s="924">
        <f>SUM(M334:M335)</f>
        <v>9817659</v>
      </c>
      <c r="N336" s="924"/>
      <c r="O336" s="924">
        <f>SUM(O334:O335)</f>
        <v>7594206</v>
      </c>
      <c r="P336" s="926"/>
      <c r="Q336" s="924">
        <f>SUM(Q334:Q335)</f>
        <v>5340649</v>
      </c>
      <c r="R336" s="926"/>
      <c r="S336" s="924">
        <f>SUM(S334:S335)</f>
        <v>7824546</v>
      </c>
      <c r="T336" s="926"/>
      <c r="U336" s="924">
        <f>SUM(U334:U335)</f>
        <v>14501183</v>
      </c>
      <c r="V336" s="926"/>
      <c r="W336" s="924">
        <f>SUM(W334:W335)</f>
        <v>16164686</v>
      </c>
      <c r="X336" s="926"/>
      <c r="Y336" s="924">
        <f>SUM(Y334:Y335)</f>
        <v>15653555</v>
      </c>
      <c r="Z336" s="926"/>
      <c r="AA336" s="924">
        <f>SUM(AA334:AA335)</f>
        <v>11066763</v>
      </c>
      <c r="AB336" s="926"/>
      <c r="AC336" s="924">
        <f>SUM(AC334:AC335)</f>
        <v>12699045</v>
      </c>
      <c r="AD336" s="928">
        <f t="shared" si="22"/>
        <v>137398231</v>
      </c>
    </row>
    <row r="337" spans="1:30">
      <c r="A337" s="910">
        <v>333</v>
      </c>
      <c r="B337" s="837"/>
    </row>
    <row r="338" spans="1:30">
      <c r="A338" s="910">
        <v>334</v>
      </c>
      <c r="B338" s="851" t="s">
        <v>2753</v>
      </c>
    </row>
    <row r="339" spans="1:30">
      <c r="A339" s="910">
        <v>335</v>
      </c>
      <c r="B339" s="830" t="s">
        <v>2462</v>
      </c>
      <c r="C339" s="939">
        <v>625</v>
      </c>
      <c r="D339" s="939"/>
      <c r="E339" s="939"/>
      <c r="F339" s="899">
        <f>G339/$C$339</f>
        <v>1</v>
      </c>
      <c r="G339" s="922">
        <v>625</v>
      </c>
      <c r="H339" s="899">
        <f>I339/$C$339</f>
        <v>1</v>
      </c>
      <c r="I339" s="922">
        <v>625</v>
      </c>
      <c r="J339" s="899">
        <f>K339/$C$339</f>
        <v>1</v>
      </c>
      <c r="K339" s="922">
        <v>625</v>
      </c>
      <c r="L339" s="899">
        <f>M339/$C$339</f>
        <v>1</v>
      </c>
      <c r="M339" s="922">
        <v>625</v>
      </c>
      <c r="N339" s="899">
        <f>O339/$C$339</f>
        <v>1</v>
      </c>
      <c r="O339" s="922">
        <v>625</v>
      </c>
      <c r="P339" s="899">
        <f>Q339/$C$339</f>
        <v>1</v>
      </c>
      <c r="Q339" s="922">
        <v>625</v>
      </c>
      <c r="R339" s="899">
        <f>S339/$C$339</f>
        <v>1</v>
      </c>
      <c r="S339" s="922">
        <v>625</v>
      </c>
      <c r="T339" s="899">
        <f>U339/$C$339</f>
        <v>1</v>
      </c>
      <c r="U339" s="922">
        <v>625</v>
      </c>
      <c r="V339" s="899">
        <f>W339/$C$339</f>
        <v>1</v>
      </c>
      <c r="W339" s="923">
        <v>625</v>
      </c>
      <c r="X339" s="899">
        <f>Y339/$C$339</f>
        <v>1</v>
      </c>
      <c r="Y339" s="922">
        <v>625</v>
      </c>
      <c r="Z339" s="899">
        <f>AA339/$C$339</f>
        <v>1</v>
      </c>
      <c r="AA339" s="922">
        <v>625</v>
      </c>
      <c r="AB339" s="941">
        <f>AC339/$C$339</f>
        <v>1</v>
      </c>
      <c r="AC339" s="922">
        <v>625</v>
      </c>
      <c r="AD339" s="898">
        <f t="shared" ref="AD339:AD344" si="23">SUM(G339,I339,K339,M339,O339,Q339,S339,U339,W339,Y339,AA339,AC339)</f>
        <v>7500</v>
      </c>
    </row>
    <row r="340" spans="1:30">
      <c r="A340" s="910">
        <v>336</v>
      </c>
      <c r="B340" s="830" t="s">
        <v>2713</v>
      </c>
      <c r="C340" s="910">
        <v>0.2</v>
      </c>
      <c r="F340" s="899">
        <f>G340/$C$340</f>
        <v>520000</v>
      </c>
      <c r="G340" s="922">
        <v>104000</v>
      </c>
      <c r="H340" s="899">
        <f>I340/$C$340</f>
        <v>520000</v>
      </c>
      <c r="I340" s="922">
        <v>104000</v>
      </c>
      <c r="J340" s="899">
        <f>K340/$C$340</f>
        <v>520000</v>
      </c>
      <c r="K340" s="922">
        <v>104000</v>
      </c>
      <c r="L340" s="899">
        <f>M340/$C$340</f>
        <v>520000</v>
      </c>
      <c r="M340" s="922">
        <v>104000</v>
      </c>
      <c r="N340" s="899">
        <f>O340/$C$340</f>
        <v>520000</v>
      </c>
      <c r="O340" s="922">
        <v>104000</v>
      </c>
      <c r="P340" s="899">
        <f>Q340/$C$340</f>
        <v>520000</v>
      </c>
      <c r="Q340" s="922">
        <v>104000</v>
      </c>
      <c r="R340" s="899">
        <f>S340/$C$340</f>
        <v>520000</v>
      </c>
      <c r="S340" s="922">
        <v>104000</v>
      </c>
      <c r="T340" s="899">
        <f>U340/$C$340</f>
        <v>520000</v>
      </c>
      <c r="U340" s="922">
        <v>104000</v>
      </c>
      <c r="V340" s="899">
        <f>W340/$C$340</f>
        <v>520000</v>
      </c>
      <c r="W340" s="923">
        <v>104000</v>
      </c>
      <c r="X340" s="899">
        <f>Y340/$C$340</f>
        <v>520000</v>
      </c>
      <c r="Y340" s="922">
        <v>104000</v>
      </c>
      <c r="Z340" s="899">
        <f>AA340/$C$340</f>
        <v>520000</v>
      </c>
      <c r="AA340" s="922">
        <v>104000</v>
      </c>
      <c r="AB340" s="899">
        <f>AC340/$C$340</f>
        <v>520000</v>
      </c>
      <c r="AC340" s="922">
        <v>104000</v>
      </c>
      <c r="AD340" s="898">
        <f t="shared" si="23"/>
        <v>1248000</v>
      </c>
    </row>
    <row r="341" spans="1:30">
      <c r="A341" s="910">
        <v>337</v>
      </c>
      <c r="B341" s="830" t="s">
        <v>2714</v>
      </c>
      <c r="C341" s="910">
        <v>4.0000000000000002E-4</v>
      </c>
      <c r="F341" s="899">
        <f>G341/$C$341</f>
        <v>4450625</v>
      </c>
      <c r="G341" s="922">
        <v>1780.25</v>
      </c>
      <c r="H341" s="899">
        <f>I341/$C$341</f>
        <v>4088100</v>
      </c>
      <c r="I341" s="922">
        <v>1635.24</v>
      </c>
      <c r="J341" s="899">
        <f>K341/$C$341</f>
        <v>5846725</v>
      </c>
      <c r="K341" s="922">
        <v>2338.69</v>
      </c>
      <c r="L341" s="899">
        <f>M341/$C$341</f>
        <v>3088150</v>
      </c>
      <c r="M341" s="922">
        <v>1235.26</v>
      </c>
      <c r="N341" s="899">
        <f>O341/$C$341</f>
        <v>2551100</v>
      </c>
      <c r="O341" s="922">
        <v>1020.44</v>
      </c>
      <c r="P341" s="899">
        <f>Q341/$C$341</f>
        <v>381974.99999999994</v>
      </c>
      <c r="Q341" s="922">
        <v>152.79</v>
      </c>
      <c r="R341" s="899">
        <f>S341/$C$341</f>
        <v>6776825</v>
      </c>
      <c r="S341" s="922">
        <v>2710.73</v>
      </c>
      <c r="T341" s="899">
        <f>U341/$C$341</f>
        <v>14122850</v>
      </c>
      <c r="U341" s="922">
        <v>5649.14</v>
      </c>
      <c r="V341" s="899">
        <f>W341/$C$341</f>
        <v>15605299.999999998</v>
      </c>
      <c r="W341" s="923">
        <v>6242.12</v>
      </c>
      <c r="X341" s="899">
        <f>Y341/$C$341</f>
        <v>14512825</v>
      </c>
      <c r="Y341" s="922">
        <v>5805.13</v>
      </c>
      <c r="Z341" s="899">
        <f>AA341/$C$341</f>
        <v>667150</v>
      </c>
      <c r="AA341" s="922">
        <v>266.86</v>
      </c>
      <c r="AB341" s="899">
        <f>AC341/$C$341</f>
        <v>5956000</v>
      </c>
      <c r="AC341" s="922">
        <v>2382.4</v>
      </c>
      <c r="AD341" s="898">
        <f t="shared" si="23"/>
        <v>31219.050000000003</v>
      </c>
    </row>
    <row r="342" spans="1:30">
      <c r="A342" s="910">
        <v>338</v>
      </c>
      <c r="B342" s="830" t="s">
        <v>2716</v>
      </c>
      <c r="C342" s="910">
        <v>5.3310000000000003E-2</v>
      </c>
      <c r="F342" s="899">
        <f>G342/$C$342</f>
        <v>100000</v>
      </c>
      <c r="G342" s="922">
        <v>5331</v>
      </c>
      <c r="H342" s="899">
        <f>I342/$C$342</f>
        <v>100000</v>
      </c>
      <c r="I342" s="922">
        <v>5331</v>
      </c>
      <c r="J342" s="899">
        <f>K342/$C$342</f>
        <v>100000</v>
      </c>
      <c r="K342" s="922">
        <v>5331</v>
      </c>
      <c r="L342" s="899">
        <f>M342/$C$342</f>
        <v>100000</v>
      </c>
      <c r="M342" s="922">
        <v>5331</v>
      </c>
      <c r="N342" s="899">
        <f>O342/$C$342</f>
        <v>100000</v>
      </c>
      <c r="O342" s="922">
        <v>5331</v>
      </c>
      <c r="P342" s="899">
        <f>Q342/$C$342</f>
        <v>100000</v>
      </c>
      <c r="Q342" s="922">
        <v>5331</v>
      </c>
      <c r="R342" s="899">
        <f>S342/$C$342</f>
        <v>100000</v>
      </c>
      <c r="S342" s="922">
        <v>5331</v>
      </c>
      <c r="T342" s="899">
        <f>U342/$C$342</f>
        <v>100000</v>
      </c>
      <c r="U342" s="922">
        <v>5331</v>
      </c>
      <c r="V342" s="899">
        <f>W342/$C$342</f>
        <v>100000</v>
      </c>
      <c r="W342" s="923">
        <v>5331</v>
      </c>
      <c r="X342" s="899">
        <f>Y342/$C$342</f>
        <v>100000</v>
      </c>
      <c r="Y342" s="922">
        <v>5331</v>
      </c>
      <c r="Z342" s="899">
        <f>AA342/$C$342</f>
        <v>100000</v>
      </c>
      <c r="AA342" s="922">
        <v>5331</v>
      </c>
      <c r="AB342" s="899">
        <f>AC342/$C$342</f>
        <v>100000</v>
      </c>
      <c r="AC342" s="922">
        <v>5331</v>
      </c>
      <c r="AD342" s="898">
        <f t="shared" si="23"/>
        <v>63972</v>
      </c>
    </row>
    <row r="343" spans="1:30">
      <c r="A343" s="910">
        <v>339</v>
      </c>
      <c r="B343" s="830" t="s">
        <v>2494</v>
      </c>
      <c r="C343" s="910">
        <v>1.9449999999999999E-2</v>
      </c>
      <c r="F343" s="899">
        <f>G343/$C$343</f>
        <v>200000.00000000003</v>
      </c>
      <c r="G343" s="922">
        <v>3890</v>
      </c>
      <c r="H343" s="899">
        <f>I343/$C$343</f>
        <v>200000.00000000003</v>
      </c>
      <c r="I343" s="898">
        <v>3890</v>
      </c>
      <c r="J343" s="899">
        <f>K343/$C$343</f>
        <v>200000.00000000003</v>
      </c>
      <c r="K343" s="922">
        <v>3890</v>
      </c>
      <c r="L343" s="899">
        <f>M343/$C$343</f>
        <v>200000.00000000003</v>
      </c>
      <c r="M343" s="922">
        <v>3890</v>
      </c>
      <c r="N343" s="899">
        <f>O343/$C$343</f>
        <v>200000.00000000003</v>
      </c>
      <c r="O343" s="922">
        <v>3890</v>
      </c>
      <c r="P343" s="899">
        <f>Q343/$C$343</f>
        <v>200000.00000000003</v>
      </c>
      <c r="Q343" s="922">
        <v>3890</v>
      </c>
      <c r="R343" s="899">
        <f>S343/$C$343</f>
        <v>200000.00000000003</v>
      </c>
      <c r="S343" s="922">
        <v>3890</v>
      </c>
      <c r="T343" s="899">
        <f>U343/$C$343</f>
        <v>200000.00000000003</v>
      </c>
      <c r="U343" s="922">
        <v>3890</v>
      </c>
      <c r="V343" s="899">
        <f>W343/$C$343</f>
        <v>200000.00000000003</v>
      </c>
      <c r="W343" s="923">
        <v>3890</v>
      </c>
      <c r="X343" s="899">
        <f>Y343/$C$343</f>
        <v>200000.00000000003</v>
      </c>
      <c r="Y343" s="922">
        <v>3890</v>
      </c>
      <c r="Z343" s="899">
        <f>AA343/$C$343</f>
        <v>200000.00000000003</v>
      </c>
      <c r="AA343" s="922">
        <v>3890</v>
      </c>
      <c r="AB343" s="899">
        <f>AC343/$C$343</f>
        <v>200000.00000000003</v>
      </c>
      <c r="AC343" s="898">
        <v>3890</v>
      </c>
      <c r="AD343" s="898">
        <f t="shared" si="23"/>
        <v>46680</v>
      </c>
    </row>
    <row r="344" spans="1:30">
      <c r="A344" s="910">
        <v>340</v>
      </c>
      <c r="B344" s="830" t="s">
        <v>2494</v>
      </c>
      <c r="C344" s="910">
        <v>1.1820000000000001E-2</v>
      </c>
      <c r="F344" s="899">
        <f>G344/$C$344</f>
        <v>200000</v>
      </c>
      <c r="G344" s="922">
        <v>2364</v>
      </c>
      <c r="H344" s="899">
        <f>I344/$C$344</f>
        <v>200000</v>
      </c>
      <c r="I344" s="898">
        <v>2364</v>
      </c>
      <c r="J344" s="899">
        <f>K344/$C$344</f>
        <v>200000</v>
      </c>
      <c r="K344" s="922">
        <v>2364</v>
      </c>
      <c r="L344" s="899">
        <f>M344/$C$344</f>
        <v>200000</v>
      </c>
      <c r="M344" s="922">
        <v>2364</v>
      </c>
      <c r="N344" s="899">
        <f>O344/$C$344</f>
        <v>200000</v>
      </c>
      <c r="O344" s="922">
        <v>2364</v>
      </c>
      <c r="P344" s="899">
        <f>Q344/$C$344</f>
        <v>81981.387478849399</v>
      </c>
      <c r="Q344" s="922">
        <v>969.02</v>
      </c>
      <c r="R344" s="899">
        <f>S344/$C$344</f>
        <v>200000</v>
      </c>
      <c r="S344" s="922">
        <v>2364</v>
      </c>
      <c r="T344" s="899">
        <f>U344/$C$344</f>
        <v>200000</v>
      </c>
      <c r="U344" s="922">
        <v>2364</v>
      </c>
      <c r="V344" s="899">
        <f>W344/$C$344</f>
        <v>200000</v>
      </c>
      <c r="W344" s="923">
        <v>2364</v>
      </c>
      <c r="X344" s="899">
        <f>Y344/$C$344</f>
        <v>200000</v>
      </c>
      <c r="Y344" s="922">
        <v>2364</v>
      </c>
      <c r="Z344" s="899">
        <f>AA344/$C$344</f>
        <v>200000</v>
      </c>
      <c r="AA344" s="922">
        <v>2364</v>
      </c>
      <c r="AB344" s="899">
        <f>AC344/$C$344</f>
        <v>200000</v>
      </c>
      <c r="AC344" s="898">
        <v>2364</v>
      </c>
      <c r="AD344" s="898">
        <f t="shared" si="23"/>
        <v>26973.02</v>
      </c>
    </row>
    <row r="345" spans="1:30">
      <c r="A345" s="910">
        <v>341</v>
      </c>
      <c r="B345" s="830" t="s">
        <v>2717</v>
      </c>
      <c r="C345" s="910">
        <v>5.62E-3</v>
      </c>
      <c r="F345" s="899">
        <f>G345/$C$345</f>
        <v>3950624.555160142</v>
      </c>
      <c r="G345" s="922">
        <v>22202.51</v>
      </c>
      <c r="H345" s="899">
        <f>I345/$C$345</f>
        <v>3588087.1886120997</v>
      </c>
      <c r="I345" s="922">
        <v>20165.05</v>
      </c>
      <c r="J345" s="899">
        <f>K345/$C$345</f>
        <v>5346715.3024911033</v>
      </c>
      <c r="K345" s="922">
        <v>30048.54</v>
      </c>
      <c r="L345" s="899">
        <f>M345/$C$345</f>
        <v>2588142.3487544484</v>
      </c>
      <c r="M345" s="922">
        <v>14545.36</v>
      </c>
      <c r="N345" s="899">
        <f>O345/$C$345</f>
        <v>2051096.0854092527</v>
      </c>
      <c r="O345" s="922">
        <v>11527.16</v>
      </c>
      <c r="P345" s="899">
        <f>Q346/$C$345</f>
        <v>-42820.284697508898</v>
      </c>
      <c r="R345" s="899">
        <f>S345/$C$345</f>
        <v>6276820.2846975094</v>
      </c>
      <c r="S345" s="898">
        <v>35275.730000000003</v>
      </c>
      <c r="T345" s="899">
        <f>U345/$C$345</f>
        <v>13622838.078291817</v>
      </c>
      <c r="U345" s="922">
        <v>76560.350000000006</v>
      </c>
      <c r="V345" s="899">
        <f>W345/$C$345</f>
        <v>15105297.153024912</v>
      </c>
      <c r="W345" s="923">
        <v>84891.77</v>
      </c>
      <c r="X345" s="899">
        <f>Y345/$C$345</f>
        <v>14012834.519572955</v>
      </c>
      <c r="Y345" s="922">
        <v>78752.13</v>
      </c>
      <c r="Z345" s="899">
        <f>AA345/$C$345</f>
        <v>167138.79003558721</v>
      </c>
      <c r="AA345" s="922">
        <v>939.32</v>
      </c>
      <c r="AB345" s="899">
        <f>AC345/$C$345</f>
        <v>5456005.3380782921</v>
      </c>
      <c r="AC345" s="898">
        <v>30662.75</v>
      </c>
      <c r="AD345" s="898">
        <f>SUM(G345,I345,K345,M345,O345,Q345,S345,U345,W345,Y345,AA345,AC345)</f>
        <v>405570.67000000004</v>
      </c>
    </row>
    <row r="346" spans="1:30">
      <c r="A346" s="910">
        <v>342</v>
      </c>
      <c r="B346" s="830" t="s">
        <v>2658</v>
      </c>
      <c r="G346" s="922">
        <v>-2803.89</v>
      </c>
      <c r="H346" s="924"/>
      <c r="I346" s="922">
        <v>-2575.5</v>
      </c>
      <c r="J346" s="924"/>
      <c r="K346" s="922">
        <v>-3683.43</v>
      </c>
      <c r="L346" s="924"/>
      <c r="M346" s="922">
        <v>-1945.53</v>
      </c>
      <c r="N346" s="924"/>
      <c r="O346" s="922">
        <v>-1607.19</v>
      </c>
      <c r="P346" s="924"/>
      <c r="Q346" s="922">
        <v>-240.65</v>
      </c>
      <c r="R346" s="924"/>
      <c r="S346" s="898">
        <v>-4269.3999999999996</v>
      </c>
      <c r="U346" s="922">
        <v>-8897.39</v>
      </c>
      <c r="V346" s="924"/>
      <c r="W346" s="923">
        <v>-9831.34</v>
      </c>
      <c r="X346" s="925"/>
      <c r="Y346" s="922">
        <v>-9143.09</v>
      </c>
      <c r="Z346" s="924"/>
      <c r="AA346" s="922">
        <v>-420.3</v>
      </c>
      <c r="AB346" s="924"/>
      <c r="AC346" s="922">
        <v>-4228.76</v>
      </c>
      <c r="AD346" s="898">
        <f t="shared" ref="AD346:AD355" si="24">SUM(G346:AC346)</f>
        <v>-49646.470000000008</v>
      </c>
    </row>
    <row r="347" spans="1:30">
      <c r="A347" s="910">
        <v>343</v>
      </c>
      <c r="B347" s="830" t="s">
        <v>2659</v>
      </c>
      <c r="G347" s="922">
        <v>-1290.68</v>
      </c>
      <c r="H347" s="924"/>
      <c r="I347" s="922">
        <v>-1185.55</v>
      </c>
      <c r="J347" s="924"/>
      <c r="K347" s="922">
        <v>-1695.55</v>
      </c>
      <c r="L347" s="924"/>
      <c r="M347" s="922">
        <v>-895.56</v>
      </c>
      <c r="N347" s="924"/>
      <c r="O347" s="922">
        <v>-739.82</v>
      </c>
      <c r="P347" s="924"/>
      <c r="Q347" s="922">
        <v>-110.77</v>
      </c>
      <c r="R347" s="924"/>
      <c r="S347" s="898">
        <v>-1965.28</v>
      </c>
      <c r="U347" s="922">
        <v>-4095.62</v>
      </c>
      <c r="V347" s="924"/>
      <c r="W347" s="923">
        <v>-4525.54</v>
      </c>
      <c r="X347" s="925"/>
      <c r="Y347" s="922">
        <v>-4208.72</v>
      </c>
      <c r="Z347" s="924"/>
      <c r="AA347" s="922">
        <v>-193.47</v>
      </c>
      <c r="AB347" s="924"/>
      <c r="AC347" s="922">
        <v>-1554.52</v>
      </c>
      <c r="AD347" s="898">
        <f t="shared" si="24"/>
        <v>-22461.08</v>
      </c>
    </row>
    <row r="348" spans="1:30">
      <c r="A348" s="910">
        <v>344</v>
      </c>
      <c r="B348" s="830" t="s">
        <v>2660</v>
      </c>
      <c r="G348" s="922">
        <v>-2403.34</v>
      </c>
      <c r="H348" s="924"/>
      <c r="I348" s="922">
        <v>-2207.5700000000002</v>
      </c>
      <c r="J348" s="924"/>
      <c r="K348" s="922">
        <v>-3157.23</v>
      </c>
      <c r="L348" s="924"/>
      <c r="M348" s="922">
        <v>-1667.6</v>
      </c>
      <c r="N348" s="924"/>
      <c r="O348" s="922">
        <v>-1377.59</v>
      </c>
      <c r="P348" s="924"/>
      <c r="Q348" s="922">
        <v>-206.27</v>
      </c>
      <c r="R348" s="924"/>
      <c r="S348" s="898">
        <v>-3659.48</v>
      </c>
      <c r="U348" s="922">
        <v>-7626.33</v>
      </c>
      <c r="V348" s="924"/>
      <c r="W348" s="923">
        <v>-8426.86</v>
      </c>
      <c r="X348" s="925"/>
      <c r="Y348" s="922">
        <v>-7836.93</v>
      </c>
      <c r="Z348" s="924"/>
      <c r="AA348" s="922">
        <v>-360.25</v>
      </c>
      <c r="AB348" s="924"/>
      <c r="AC348" s="922"/>
      <c r="AD348" s="898">
        <f t="shared" si="24"/>
        <v>-38929.449999999997</v>
      </c>
    </row>
    <row r="349" spans="1:30">
      <c r="A349" s="910">
        <v>345</v>
      </c>
      <c r="B349" s="830" t="s">
        <v>2653</v>
      </c>
      <c r="G349" s="922">
        <v>1379.69</v>
      </c>
      <c r="H349" s="924"/>
      <c r="I349" s="922">
        <v>1267.31</v>
      </c>
      <c r="J349" s="924"/>
      <c r="K349" s="922">
        <v>1812.48</v>
      </c>
      <c r="L349" s="924"/>
      <c r="M349" s="922">
        <v>957.32</v>
      </c>
      <c r="N349" s="924"/>
      <c r="O349" s="922">
        <v>790.84</v>
      </c>
      <c r="P349" s="924"/>
      <c r="Q349" s="922">
        <v>118.41</v>
      </c>
      <c r="R349" s="924"/>
      <c r="S349" s="922">
        <v>2100.81</v>
      </c>
      <c r="T349" s="924"/>
      <c r="U349" s="922">
        <v>4378.08</v>
      </c>
      <c r="V349" s="924"/>
      <c r="W349" s="923">
        <v>4837.6400000000003</v>
      </c>
      <c r="X349" s="925"/>
      <c r="Y349" s="922">
        <v>4498.9799999999996</v>
      </c>
      <c r="Z349" s="924"/>
      <c r="AA349" s="922">
        <v>206.81</v>
      </c>
      <c r="AB349" s="924"/>
      <c r="AC349" s="922">
        <v>1786.8</v>
      </c>
      <c r="AD349" s="898">
        <f t="shared" si="24"/>
        <v>24135.17</v>
      </c>
    </row>
    <row r="350" spans="1:30">
      <c r="A350" s="910">
        <v>346</v>
      </c>
      <c r="B350" s="830" t="s">
        <v>2654</v>
      </c>
      <c r="G350" s="922">
        <v>7610.57</v>
      </c>
      <c r="H350" s="924"/>
      <c r="I350" s="922">
        <v>6990.63</v>
      </c>
      <c r="J350" s="924"/>
      <c r="K350" s="922">
        <v>9997.880000000001</v>
      </c>
      <c r="L350" s="924"/>
      <c r="M350" s="922">
        <v>5280.72</v>
      </c>
      <c r="N350" s="924"/>
      <c r="O350" s="922">
        <v>4362.37</v>
      </c>
      <c r="P350" s="924"/>
      <c r="Q350" s="922">
        <v>653.19000000000005</v>
      </c>
      <c r="R350" s="924"/>
      <c r="S350" s="922">
        <v>11588.36</v>
      </c>
      <c r="T350" s="924"/>
      <c r="U350" s="922">
        <v>24150.05</v>
      </c>
      <c r="V350" s="924"/>
      <c r="W350" s="923">
        <v>26685.06</v>
      </c>
      <c r="X350" s="925"/>
      <c r="Y350" s="922">
        <v>24816.95</v>
      </c>
      <c r="Z350" s="924"/>
      <c r="AA350" s="922">
        <v>1140.81</v>
      </c>
      <c r="AB350" s="924"/>
      <c r="AC350" s="922">
        <v>10363.450000000001</v>
      </c>
      <c r="AD350" s="898">
        <f t="shared" si="24"/>
        <v>133640.04</v>
      </c>
    </row>
    <row r="351" spans="1:30">
      <c r="A351" s="910">
        <v>347</v>
      </c>
      <c r="B351" s="830" t="s">
        <v>2719</v>
      </c>
      <c r="G351" s="922">
        <v>6211.94</v>
      </c>
      <c r="H351" s="924"/>
      <c r="I351" s="922">
        <v>6115.24</v>
      </c>
      <c r="J351" s="924"/>
      <c r="K351" s="922">
        <v>6584.34</v>
      </c>
      <c r="L351" s="924"/>
      <c r="M351" s="922">
        <v>5848.5</v>
      </c>
      <c r="N351" s="924"/>
      <c r="O351" s="922">
        <v>5705.25</v>
      </c>
      <c r="P351" s="924"/>
      <c r="Q351" s="922">
        <v>5094.22</v>
      </c>
      <c r="R351" s="924"/>
      <c r="S351" s="922">
        <v>6832.45</v>
      </c>
      <c r="T351" s="924"/>
      <c r="U351" s="922">
        <v>8791.9699999999993</v>
      </c>
      <c r="V351" s="924"/>
      <c r="W351" s="898">
        <v>9187.41</v>
      </c>
      <c r="Y351" s="922">
        <v>8896</v>
      </c>
      <c r="Z351" s="924"/>
      <c r="AA351" s="922">
        <v>5202.71</v>
      </c>
      <c r="AB351" s="924"/>
      <c r="AC351" s="922">
        <v>6613.5</v>
      </c>
      <c r="AD351" s="898">
        <f t="shared" si="24"/>
        <v>81083.53</v>
      </c>
    </row>
    <row r="352" spans="1:30">
      <c r="A352" s="910">
        <v>348</v>
      </c>
      <c r="B352" s="830" t="s">
        <v>2884</v>
      </c>
      <c r="G352" s="922">
        <f>SUM(G339:G351)</f>
        <v>148897.05000000002</v>
      </c>
      <c r="H352" s="922"/>
      <c r="I352" s="922">
        <f>SUM(I339:I351)</f>
        <v>146414.85</v>
      </c>
      <c r="J352" s="922"/>
      <c r="K352" s="922">
        <f>SUM(K339:K351)</f>
        <v>158455.72000000003</v>
      </c>
      <c r="L352" s="922"/>
      <c r="M352" s="922">
        <f>SUM(M339:M351)</f>
        <v>139568.47</v>
      </c>
      <c r="N352" s="922"/>
      <c r="O352" s="922">
        <f>SUM(O339:O351)</f>
        <v>135891.46</v>
      </c>
      <c r="P352" s="922"/>
      <c r="Q352" s="922">
        <f>SUM(Q339:Q351)</f>
        <v>120275.94</v>
      </c>
      <c r="R352" s="922"/>
      <c r="S352" s="922">
        <f>SUM(S339:S351)</f>
        <v>164823.91999999998</v>
      </c>
      <c r="T352" s="922"/>
      <c r="U352" s="922">
        <f>SUM(U339:U351)</f>
        <v>215120.24999999997</v>
      </c>
      <c r="V352" s="922"/>
      <c r="W352" s="922">
        <f>SUM(W339:W351)</f>
        <v>225270.26000000004</v>
      </c>
      <c r="X352" s="922"/>
      <c r="Y352" s="922">
        <f>SUM(Y339:Y351)</f>
        <v>217790.45000000004</v>
      </c>
      <c r="Z352" s="922"/>
      <c r="AA352" s="922">
        <f>SUM(AA339:AA351)</f>
        <v>122992.49</v>
      </c>
      <c r="AB352" s="922"/>
      <c r="AC352" s="922">
        <f>SUM(AC339:AC351)</f>
        <v>162235.62</v>
      </c>
      <c r="AD352" s="898">
        <f t="shared" si="24"/>
        <v>1957736.48</v>
      </c>
    </row>
    <row r="353" spans="1:30">
      <c r="A353" s="910">
        <v>349</v>
      </c>
      <c r="B353" s="830" t="s">
        <v>2514</v>
      </c>
      <c r="F353" s="928"/>
      <c r="G353" s="924">
        <v>4450625</v>
      </c>
      <c r="H353" s="924"/>
      <c r="I353" s="924">
        <v>4088088</v>
      </c>
      <c r="J353" s="924"/>
      <c r="K353" s="924">
        <v>5846716</v>
      </c>
      <c r="L353" s="924"/>
      <c r="M353" s="924">
        <v>3088142</v>
      </c>
      <c r="N353" s="924"/>
      <c r="O353" s="924">
        <v>2551096</v>
      </c>
      <c r="P353" s="924"/>
      <c r="Q353" s="924">
        <v>381981</v>
      </c>
      <c r="R353" s="926"/>
      <c r="S353" s="924">
        <v>6776820</v>
      </c>
      <c r="T353" s="926"/>
      <c r="U353" s="926">
        <v>14122838</v>
      </c>
      <c r="V353" s="926"/>
      <c r="W353" s="930">
        <v>15605297</v>
      </c>
      <c r="X353" s="931"/>
      <c r="Y353" s="924">
        <v>14512835</v>
      </c>
      <c r="Z353" s="926"/>
      <c r="AA353" s="924">
        <v>667138</v>
      </c>
      <c r="AB353" s="926"/>
      <c r="AC353" s="924">
        <v>5956005</v>
      </c>
      <c r="AD353" s="928">
        <f t="shared" si="24"/>
        <v>78047581</v>
      </c>
    </row>
    <row r="354" spans="1:30">
      <c r="A354" s="910">
        <v>350</v>
      </c>
      <c r="B354" s="830" t="s">
        <v>2885</v>
      </c>
      <c r="F354" s="928"/>
      <c r="G354" s="899"/>
      <c r="I354" s="899"/>
      <c r="K354" s="899"/>
      <c r="M354" s="899"/>
      <c r="O354" s="899"/>
      <c r="Q354" s="899"/>
      <c r="R354" s="928"/>
      <c r="S354" s="924"/>
      <c r="T354" s="926"/>
      <c r="U354" s="926"/>
      <c r="V354" s="926"/>
      <c r="W354" s="899"/>
      <c r="X354" s="928"/>
      <c r="Y354" s="924"/>
      <c r="Z354" s="926"/>
      <c r="AA354" s="924"/>
      <c r="AB354" s="926"/>
      <c r="AC354" s="924"/>
      <c r="AD354" s="928">
        <f t="shared" si="24"/>
        <v>0</v>
      </c>
    </row>
    <row r="355" spans="1:30">
      <c r="A355" s="910">
        <v>351</v>
      </c>
      <c r="B355" s="830" t="s">
        <v>2886</v>
      </c>
      <c r="F355" s="928"/>
      <c r="G355" s="924">
        <f>SUM(G353:G354)</f>
        <v>4450625</v>
      </c>
      <c r="H355" s="924"/>
      <c r="I355" s="924">
        <f>SUM(I353:I354)</f>
        <v>4088088</v>
      </c>
      <c r="J355" s="924"/>
      <c r="K355" s="924">
        <f>SUM(K353:K354)</f>
        <v>5846716</v>
      </c>
      <c r="L355" s="924"/>
      <c r="M355" s="924">
        <f>SUM(M353:M354)</f>
        <v>3088142</v>
      </c>
      <c r="N355" s="924"/>
      <c r="O355" s="924">
        <f>SUM(O353:O354)</f>
        <v>2551096</v>
      </c>
      <c r="P355" s="924"/>
      <c r="Q355" s="924">
        <f>SUM(Q353:Q354)</f>
        <v>381981</v>
      </c>
      <c r="R355" s="926"/>
      <c r="S355" s="924">
        <f>SUM(S353:S354)</f>
        <v>6776820</v>
      </c>
      <c r="T355" s="926"/>
      <c r="U355" s="926">
        <f>SUM(U353:U354)</f>
        <v>14122838</v>
      </c>
      <c r="V355" s="926"/>
      <c r="W355" s="924">
        <f>SUM(W353:W354)</f>
        <v>15605297</v>
      </c>
      <c r="X355" s="926"/>
      <c r="Y355" s="924">
        <f>SUM(Y353:Y354)</f>
        <v>14512835</v>
      </c>
      <c r="Z355" s="926"/>
      <c r="AA355" s="924">
        <f>SUM(AA353:AA354)</f>
        <v>667138</v>
      </c>
      <c r="AB355" s="926"/>
      <c r="AC355" s="924">
        <f>SUM(AC353:AC354)</f>
        <v>5956005</v>
      </c>
      <c r="AD355" s="928">
        <f t="shared" si="24"/>
        <v>78047581</v>
      </c>
    </row>
    <row r="356" spans="1:30">
      <c r="A356" s="910">
        <v>352</v>
      </c>
      <c r="B356" s="837"/>
    </row>
    <row r="357" spans="1:30">
      <c r="A357" s="910">
        <v>353</v>
      </c>
      <c r="B357" s="851" t="s">
        <v>2755</v>
      </c>
    </row>
    <row r="358" spans="1:30">
      <c r="A358" s="910">
        <v>354</v>
      </c>
      <c r="B358" s="830" t="s">
        <v>2462</v>
      </c>
      <c r="C358" s="939">
        <v>625</v>
      </c>
      <c r="D358" s="939"/>
      <c r="E358" s="939"/>
      <c r="F358" s="899">
        <f>G358/$C$358</f>
        <v>1</v>
      </c>
      <c r="G358" s="922">
        <v>625</v>
      </c>
      <c r="H358" s="899">
        <f>I358/$C$358</f>
        <v>1</v>
      </c>
      <c r="I358" s="922">
        <v>625</v>
      </c>
      <c r="J358" s="899">
        <f>K358/$C$358</f>
        <v>1</v>
      </c>
      <c r="K358" s="922">
        <v>625</v>
      </c>
      <c r="L358" s="899">
        <f>M358/$C$358</f>
        <v>1</v>
      </c>
      <c r="M358" s="922">
        <v>625</v>
      </c>
      <c r="N358" s="899">
        <f>O358/$C$358</f>
        <v>1</v>
      </c>
      <c r="O358" s="922">
        <v>625</v>
      </c>
      <c r="P358" s="899">
        <f>Q358/$C$358</f>
        <v>1</v>
      </c>
      <c r="Q358" s="922">
        <v>625</v>
      </c>
      <c r="R358" s="899">
        <f>S358/$C$358</f>
        <v>1</v>
      </c>
      <c r="S358" s="922">
        <v>625</v>
      </c>
      <c r="T358" s="899">
        <f>U358/$C$358</f>
        <v>1</v>
      </c>
      <c r="U358" s="922">
        <v>625</v>
      </c>
      <c r="V358" s="899">
        <f>W358/$C$358</f>
        <v>1</v>
      </c>
      <c r="W358" s="898">
        <v>625</v>
      </c>
      <c r="X358" s="899">
        <f>Y358/$C$358</f>
        <v>1</v>
      </c>
      <c r="Y358" s="922">
        <v>625</v>
      </c>
      <c r="Z358" s="899">
        <f>AA358/$C$358</f>
        <v>1</v>
      </c>
      <c r="AA358" s="922">
        <v>625</v>
      </c>
      <c r="AB358" s="941">
        <f>AC358/$C$358</f>
        <v>1</v>
      </c>
      <c r="AC358" s="922">
        <v>625</v>
      </c>
      <c r="AD358" s="898">
        <f t="shared" ref="AD358:AD363" si="25">SUM(G358,I358,K358,M358,O358,Q358,S358,U358,W358,Y358,AA358,AC358)</f>
        <v>7500</v>
      </c>
    </row>
    <row r="359" spans="1:30">
      <c r="A359" s="910">
        <v>355</v>
      </c>
      <c r="B359" s="830" t="s">
        <v>2714</v>
      </c>
      <c r="C359" s="910">
        <v>4.0000000000000002E-4</v>
      </c>
      <c r="F359" s="899">
        <f>G359/C359</f>
        <v>57474.999999999993</v>
      </c>
      <c r="G359" s="922">
        <v>22.99</v>
      </c>
      <c r="H359" s="899" t="e">
        <f>I359/E359</f>
        <v>#DIV/0!</v>
      </c>
      <c r="I359" s="922">
        <v>42.43</v>
      </c>
      <c r="J359" s="899">
        <f>K359/G359</f>
        <v>3.9791213571117883</v>
      </c>
      <c r="K359" s="922">
        <v>91.48</v>
      </c>
      <c r="L359" s="899">
        <f>M359/I359</f>
        <v>0</v>
      </c>
      <c r="N359" s="899">
        <f>O359/K359</f>
        <v>0.10614341932662878</v>
      </c>
      <c r="O359" s="922">
        <v>9.7100000000000009</v>
      </c>
      <c r="P359" s="899" t="e">
        <f>Q359/M359</f>
        <v>#DIV/0!</v>
      </c>
      <c r="Q359" s="922">
        <v>93.62</v>
      </c>
      <c r="R359" s="899">
        <f>S359/O359</f>
        <v>45.845520082389285</v>
      </c>
      <c r="S359" s="922">
        <v>445.16</v>
      </c>
      <c r="T359" s="899">
        <f>U359/Q359</f>
        <v>21.578722495193333</v>
      </c>
      <c r="U359" s="922">
        <v>2020.2</v>
      </c>
      <c r="V359" s="899">
        <f>W359/S359</f>
        <v>8.5371102524934859</v>
      </c>
      <c r="W359" s="898">
        <v>3800.38</v>
      </c>
      <c r="X359" s="899">
        <f>Y359/U359</f>
        <v>0.96081081081081077</v>
      </c>
      <c r="Y359" s="922">
        <v>1941.03</v>
      </c>
      <c r="Z359" s="899">
        <f>AA359/W359</f>
        <v>9.4453712523484487E-2</v>
      </c>
      <c r="AA359" s="922">
        <v>358.96</v>
      </c>
      <c r="AB359" s="899">
        <f>AC359/Y359</f>
        <v>4.3538739741271391E-2</v>
      </c>
      <c r="AC359" s="922">
        <v>84.51</v>
      </c>
      <c r="AD359" s="898">
        <f t="shared" si="25"/>
        <v>8910.4699999999993</v>
      </c>
    </row>
    <row r="360" spans="1:30">
      <c r="A360" s="910">
        <v>356</v>
      </c>
      <c r="B360" s="830" t="s">
        <v>2716</v>
      </c>
      <c r="C360" s="910">
        <v>5.3310000000000003E-2</v>
      </c>
      <c r="F360" s="899">
        <f>G360/$C$360</f>
        <v>57483.023822922529</v>
      </c>
      <c r="G360" s="922">
        <v>3064.42</v>
      </c>
      <c r="H360" s="899">
        <f>I360/$C$360</f>
        <v>100000</v>
      </c>
      <c r="I360" s="922">
        <v>5331</v>
      </c>
      <c r="J360" s="899">
        <f>K360/$C$360</f>
        <v>100000</v>
      </c>
      <c r="K360" s="922">
        <v>5331</v>
      </c>
      <c r="L360" s="899">
        <f>M360/$C$360</f>
        <v>0</v>
      </c>
      <c r="N360" s="899">
        <f>O360/$C$360</f>
        <v>24269.930594635149</v>
      </c>
      <c r="O360" s="922">
        <v>1293.83</v>
      </c>
      <c r="P360" s="899">
        <f>Q360/$C$360</f>
        <v>100000</v>
      </c>
      <c r="Q360" s="922">
        <v>5331</v>
      </c>
      <c r="R360" s="899">
        <f>S360/$C$360</f>
        <v>100000</v>
      </c>
      <c r="S360" s="922">
        <v>5331</v>
      </c>
      <c r="T360" s="899">
        <f>U360/$C$360</f>
        <v>100000</v>
      </c>
      <c r="U360" s="922">
        <v>5331</v>
      </c>
      <c r="V360" s="899">
        <f>W360/$C$360</f>
        <v>100000</v>
      </c>
      <c r="W360" s="898">
        <v>5331</v>
      </c>
      <c r="X360" s="899">
        <f>Y360/$C$360</f>
        <v>100000</v>
      </c>
      <c r="Y360" s="922">
        <v>5331</v>
      </c>
      <c r="Z360" s="899">
        <f>AA360/$C$360</f>
        <v>100000</v>
      </c>
      <c r="AA360" s="922">
        <v>5331</v>
      </c>
      <c r="AB360" s="899">
        <f>AC360/$C$360</f>
        <v>100000</v>
      </c>
      <c r="AC360" s="922">
        <v>5331</v>
      </c>
      <c r="AD360" s="898">
        <f t="shared" si="25"/>
        <v>52337.25</v>
      </c>
    </row>
    <row r="361" spans="1:30">
      <c r="A361" s="910">
        <v>357</v>
      </c>
      <c r="B361" s="830" t="s">
        <v>2494</v>
      </c>
      <c r="C361" s="910">
        <v>1.9449999999999999E-2</v>
      </c>
      <c r="F361" s="899">
        <f>G361/$C$361</f>
        <v>0</v>
      </c>
      <c r="H361" s="899">
        <f>I361/$C$361</f>
        <v>6085.8611825192811</v>
      </c>
      <c r="I361" s="922">
        <v>118.37</v>
      </c>
      <c r="J361" s="899">
        <f>K361/$C$361</f>
        <v>128696.1439588689</v>
      </c>
      <c r="K361" s="922">
        <v>2503.14</v>
      </c>
      <c r="L361" s="899">
        <f>M361/$C$361</f>
        <v>0</v>
      </c>
      <c r="N361" s="899">
        <f>O361/$C$361</f>
        <v>0</v>
      </c>
      <c r="P361" s="899">
        <f>Q361/$C$361</f>
        <v>134043.18766066839</v>
      </c>
      <c r="Q361" s="922">
        <v>2607.14</v>
      </c>
      <c r="R361" s="899">
        <f>S361/$C$361</f>
        <v>200000.00000000003</v>
      </c>
      <c r="S361" s="922">
        <v>3890</v>
      </c>
      <c r="T361" s="899">
        <f>U361/$C$361</f>
        <v>200000.00000000003</v>
      </c>
      <c r="U361" s="922">
        <v>3890</v>
      </c>
      <c r="V361" s="899">
        <f>W361/$C$361</f>
        <v>200000.00000000003</v>
      </c>
      <c r="W361" s="898">
        <v>3890</v>
      </c>
      <c r="X361" s="899">
        <f>Y361/$C$361</f>
        <v>200000.00000000003</v>
      </c>
      <c r="Y361" s="922">
        <v>3890</v>
      </c>
      <c r="Z361" s="899">
        <f>AA361/$C$361</f>
        <v>200000.00000000003</v>
      </c>
      <c r="AA361" s="922">
        <v>3890</v>
      </c>
      <c r="AB361" s="899">
        <f>AC361/$C$361</f>
        <v>111268.89460154242</v>
      </c>
      <c r="AC361" s="898">
        <v>2164.1799999999998</v>
      </c>
      <c r="AD361" s="898">
        <f t="shared" si="25"/>
        <v>26842.83</v>
      </c>
    </row>
    <row r="362" spans="1:30">
      <c r="A362" s="910">
        <v>358</v>
      </c>
      <c r="B362" s="830" t="s">
        <v>2494</v>
      </c>
      <c r="C362" s="910">
        <v>1.1820000000000001E-2</v>
      </c>
      <c r="F362" s="899">
        <f>G362/$C$362</f>
        <v>0</v>
      </c>
      <c r="H362" s="899">
        <f>I362/$C$362</f>
        <v>0</v>
      </c>
      <c r="J362" s="899">
        <f>K362/$C$362</f>
        <v>0</v>
      </c>
      <c r="L362" s="899">
        <f>M362/$C$362</f>
        <v>0</v>
      </c>
      <c r="N362" s="899">
        <f>O362/$C$362</f>
        <v>0</v>
      </c>
      <c r="P362" s="899">
        <f>Q362/$C$362</f>
        <v>0</v>
      </c>
      <c r="Q362" s="922"/>
      <c r="R362" s="899">
        <f>S362/$C$362</f>
        <v>200000</v>
      </c>
      <c r="S362" s="922">
        <v>2364</v>
      </c>
      <c r="T362" s="899">
        <f>U362/$C$362</f>
        <v>200000</v>
      </c>
      <c r="U362" s="922">
        <v>2364</v>
      </c>
      <c r="V362" s="899">
        <f>W362/$C$362</f>
        <v>200000</v>
      </c>
      <c r="W362" s="898">
        <v>2364</v>
      </c>
      <c r="X362" s="899">
        <f>Y362/$C$362</f>
        <v>200000</v>
      </c>
      <c r="Y362" s="922">
        <v>2364</v>
      </c>
      <c r="Z362" s="899">
        <f>AA362/$C$362</f>
        <v>200000</v>
      </c>
      <c r="AA362" s="922">
        <v>2364</v>
      </c>
      <c r="AB362" s="899">
        <f>AC362/$C$362</f>
        <v>0</v>
      </c>
      <c r="AD362" s="898">
        <f t="shared" si="25"/>
        <v>11820</v>
      </c>
    </row>
    <row r="363" spans="1:30">
      <c r="A363" s="910">
        <v>359</v>
      </c>
      <c r="B363" s="830" t="s">
        <v>2756</v>
      </c>
      <c r="C363" s="910">
        <v>5.62E-3</v>
      </c>
      <c r="F363" s="899">
        <f>G363/$C$363</f>
        <v>0</v>
      </c>
      <c r="H363" s="899">
        <f>I363/$C$363</f>
        <v>0</v>
      </c>
      <c r="J363" s="899">
        <f>K363/$C$363</f>
        <v>0</v>
      </c>
      <c r="L363" s="899">
        <f>M363/$C$363</f>
        <v>0</v>
      </c>
      <c r="N363" s="899">
        <f>O363/$C$363</f>
        <v>0</v>
      </c>
      <c r="P363" s="899">
        <f>Q363/$C$363</f>
        <v>0</v>
      </c>
      <c r="R363" s="899">
        <f>S363/$C$363</f>
        <v>612893.23843416374</v>
      </c>
      <c r="S363" s="922">
        <v>3444.46</v>
      </c>
      <c r="T363" s="899">
        <f>U363/$C$363</f>
        <v>4550507.1174377222</v>
      </c>
      <c r="U363" s="922">
        <v>25573.85</v>
      </c>
      <c r="V363" s="899">
        <f>W363/$C$363</f>
        <v>9000953.736654805</v>
      </c>
      <c r="W363" s="898">
        <v>50585.36</v>
      </c>
      <c r="X363" s="899">
        <f>Y363/$C$363</f>
        <v>4352567.6156583633</v>
      </c>
      <c r="Y363" s="922">
        <v>24461.43</v>
      </c>
      <c r="Z363" s="899">
        <f>AA363/$C$363</f>
        <v>397403.91459074733</v>
      </c>
      <c r="AA363" s="922">
        <v>2233.41</v>
      </c>
      <c r="AB363" s="899">
        <f>AC363/$C$363</f>
        <v>0</v>
      </c>
      <c r="AD363" s="898">
        <f t="shared" si="25"/>
        <v>106298.51000000001</v>
      </c>
    </row>
    <row r="364" spans="1:30">
      <c r="A364" s="910">
        <v>360</v>
      </c>
      <c r="B364" s="830" t="s">
        <v>2658</v>
      </c>
      <c r="G364" s="922">
        <v>-36.21</v>
      </c>
      <c r="H364" s="924"/>
      <c r="I364" s="898">
        <v>-66.83</v>
      </c>
      <c r="K364" s="922">
        <v>-144.08000000000001</v>
      </c>
      <c r="L364" s="924"/>
      <c r="O364" s="922">
        <v>-15.29</v>
      </c>
      <c r="Q364" s="898">
        <v>-147.44999999999999</v>
      </c>
      <c r="S364" s="922">
        <v>-701.12</v>
      </c>
      <c r="T364" s="924"/>
      <c r="U364" s="922">
        <v>-3181.82</v>
      </c>
      <c r="V364" s="924"/>
      <c r="W364" s="898">
        <v>-5985.6</v>
      </c>
      <c r="Y364" s="922">
        <v>-3057.12</v>
      </c>
      <c r="Z364" s="924"/>
      <c r="AA364" s="922">
        <v>-565.36</v>
      </c>
      <c r="AB364" s="924"/>
      <c r="AC364" s="922">
        <v>-150</v>
      </c>
      <c r="AD364" s="898">
        <f>SUM(G364:AC364)</f>
        <v>-14050.880000000001</v>
      </c>
    </row>
    <row r="365" spans="1:30">
      <c r="A365" s="910">
        <v>361</v>
      </c>
      <c r="B365" s="830" t="s">
        <v>2659</v>
      </c>
      <c r="G365" s="922">
        <v>-16.670000000000002</v>
      </c>
      <c r="H365" s="924"/>
      <c r="I365" s="898">
        <v>-30.76</v>
      </c>
      <c r="K365" s="922">
        <v>-66.320000000000007</v>
      </c>
      <c r="L365" s="924"/>
      <c r="O365" s="898">
        <v>-7.04</v>
      </c>
      <c r="Q365" s="898">
        <v>-67.87</v>
      </c>
      <c r="S365" s="922">
        <v>-322.74</v>
      </c>
      <c r="T365" s="924"/>
      <c r="U365" s="922">
        <v>-1464.65</v>
      </c>
      <c r="V365" s="924"/>
      <c r="W365" s="898">
        <v>-2755.28</v>
      </c>
      <c r="Y365" s="922">
        <v>-1407.24</v>
      </c>
      <c r="Z365" s="924"/>
      <c r="AA365" s="922">
        <v>-260.25</v>
      </c>
      <c r="AB365" s="924"/>
      <c r="AC365" s="922">
        <v>-55.14</v>
      </c>
      <c r="AD365" s="898">
        <f>SUM(G365:AC365)</f>
        <v>-6453.96</v>
      </c>
    </row>
    <row r="366" spans="1:30">
      <c r="A366" s="910">
        <v>362</v>
      </c>
      <c r="B366" s="830" t="s">
        <v>2660</v>
      </c>
      <c r="G366" s="922">
        <v>-31.04</v>
      </c>
      <c r="H366" s="924"/>
      <c r="I366" s="898">
        <v>-57.29</v>
      </c>
      <c r="K366" s="922">
        <v>-123.5</v>
      </c>
      <c r="L366" s="924"/>
      <c r="O366" s="898">
        <v>-13.11</v>
      </c>
      <c r="Q366" s="898">
        <v>-126.38</v>
      </c>
      <c r="S366" s="922">
        <v>-600.96</v>
      </c>
      <c r="T366" s="924"/>
      <c r="U366" s="922">
        <v>-2727.27</v>
      </c>
      <c r="V366" s="924"/>
      <c r="W366" s="898">
        <v>-5130.5200000000004</v>
      </c>
      <c r="Y366" s="922">
        <v>-2620.39</v>
      </c>
      <c r="Z366" s="924"/>
      <c r="AA366" s="922">
        <v>-484.6</v>
      </c>
      <c r="AB366" s="924"/>
      <c r="AC366" s="922"/>
      <c r="AD366" s="898">
        <f t="shared" ref="AD366:AD382" si="26">SUM(G366:AC366)</f>
        <v>-11915.06</v>
      </c>
    </row>
    <row r="367" spans="1:30">
      <c r="A367" s="910">
        <v>363</v>
      </c>
      <c r="B367" s="830" t="s">
        <v>2653</v>
      </c>
      <c r="G367" s="922">
        <v>17.82</v>
      </c>
      <c r="H367" s="924"/>
      <c r="I367" s="898">
        <v>32.89</v>
      </c>
      <c r="J367" s="924"/>
      <c r="K367" s="922">
        <v>70.900000000000006</v>
      </c>
      <c r="L367" s="924"/>
      <c r="M367" s="922"/>
      <c r="N367" s="924"/>
      <c r="O367" s="898">
        <v>7.52</v>
      </c>
      <c r="P367" s="924"/>
      <c r="Q367" s="922">
        <v>72.55</v>
      </c>
      <c r="R367" s="924"/>
      <c r="S367" s="922">
        <v>345</v>
      </c>
      <c r="T367" s="924"/>
      <c r="U367" s="922">
        <v>1565.66</v>
      </c>
      <c r="V367" s="924"/>
      <c r="W367" s="898">
        <v>2945.3</v>
      </c>
      <c r="Y367" s="922">
        <v>1504.3</v>
      </c>
      <c r="Z367" s="924"/>
      <c r="AA367" s="922">
        <v>278.2</v>
      </c>
      <c r="AB367" s="924"/>
      <c r="AC367" s="922">
        <v>63.38</v>
      </c>
      <c r="AD367" s="898">
        <f t="shared" si="26"/>
        <v>6903.52</v>
      </c>
    </row>
    <row r="368" spans="1:30">
      <c r="A368" s="910">
        <v>364</v>
      </c>
      <c r="B368" s="830" t="s">
        <v>2654</v>
      </c>
      <c r="G368" s="922">
        <v>98.3</v>
      </c>
      <c r="H368" s="924"/>
      <c r="I368" s="898">
        <v>181.41</v>
      </c>
      <c r="J368" s="924"/>
      <c r="K368" s="922">
        <v>391.07</v>
      </c>
      <c r="L368" s="924"/>
      <c r="M368" s="922"/>
      <c r="N368" s="924"/>
      <c r="O368" s="898">
        <v>41.5</v>
      </c>
      <c r="P368" s="924"/>
      <c r="Q368" s="922">
        <v>400.21</v>
      </c>
      <c r="R368" s="924"/>
      <c r="S368" s="922">
        <v>1903.05</v>
      </c>
      <c r="T368" s="924"/>
      <c r="U368" s="922">
        <v>8636.3700000000008</v>
      </c>
      <c r="V368" s="924"/>
      <c r="W368" s="898">
        <v>16246.63</v>
      </c>
      <c r="Y368" s="922">
        <v>8297.89</v>
      </c>
      <c r="Z368" s="924"/>
      <c r="AA368" s="922">
        <v>1534.56</v>
      </c>
      <c r="AB368" s="924"/>
      <c r="AC368" s="922">
        <v>367.61</v>
      </c>
      <c r="AD368" s="898">
        <f t="shared" si="26"/>
        <v>38098.6</v>
      </c>
    </row>
    <row r="369" spans="1:31">
      <c r="A369" s="910">
        <v>365</v>
      </c>
      <c r="B369" s="830" t="s">
        <v>2757</v>
      </c>
      <c r="G369" s="922">
        <v>-2982.22</v>
      </c>
      <c r="H369" s="924"/>
      <c r="I369" s="922">
        <v>-5188</v>
      </c>
      <c r="J369" s="924"/>
      <c r="K369" s="922">
        <v>-5188</v>
      </c>
      <c r="L369" s="924"/>
      <c r="M369" s="922"/>
      <c r="N369" s="924"/>
      <c r="O369" s="922">
        <v>-1259.1300000000001</v>
      </c>
      <c r="P369" s="924"/>
      <c r="Q369" s="922">
        <v>-5188</v>
      </c>
      <c r="R369" s="924"/>
      <c r="S369" s="922">
        <v>-5188</v>
      </c>
      <c r="T369" s="924"/>
      <c r="U369" s="922">
        <v>-5188</v>
      </c>
      <c r="V369" s="924"/>
      <c r="W369" s="922">
        <v>-5188</v>
      </c>
      <c r="X369" s="924"/>
      <c r="Y369" s="922">
        <v>-5188</v>
      </c>
      <c r="Z369" s="924"/>
      <c r="AA369" s="922">
        <v>-5188</v>
      </c>
      <c r="AB369" s="924"/>
      <c r="AC369" s="922"/>
      <c r="AD369" s="898">
        <f t="shared" si="26"/>
        <v>-45745.35</v>
      </c>
      <c r="AE369" s="950"/>
    </row>
    <row r="370" spans="1:31">
      <c r="A370" s="910">
        <v>366</v>
      </c>
      <c r="B370" s="830" t="s">
        <v>2758</v>
      </c>
      <c r="H370" s="924"/>
      <c r="I370" s="922">
        <v>-106.32</v>
      </c>
      <c r="J370" s="924"/>
      <c r="K370" s="922">
        <v>-2248.3200000000002</v>
      </c>
      <c r="L370" s="924"/>
      <c r="M370" s="922"/>
      <c r="N370" s="924"/>
      <c r="P370" s="924"/>
      <c r="Q370" s="922">
        <v>-2341.73</v>
      </c>
      <c r="R370" s="924"/>
      <c r="S370" s="922">
        <v>-3494</v>
      </c>
      <c r="T370" s="924"/>
      <c r="U370" s="922">
        <v>-3494</v>
      </c>
      <c r="V370" s="924"/>
      <c r="W370" s="922">
        <v>-3494</v>
      </c>
      <c r="X370" s="924"/>
      <c r="Y370" s="922">
        <v>-3494</v>
      </c>
      <c r="Z370" s="924"/>
      <c r="AA370" s="922">
        <v>-3494</v>
      </c>
      <c r="AB370" s="924"/>
      <c r="AD370" s="898">
        <f t="shared" si="26"/>
        <v>-22166.370000000003</v>
      </c>
      <c r="AE370" s="950"/>
    </row>
    <row r="371" spans="1:31">
      <c r="A371" s="910">
        <v>367</v>
      </c>
      <c r="B371" s="830" t="s">
        <v>2758</v>
      </c>
      <c r="H371" s="924"/>
      <c r="L371" s="924"/>
      <c r="Q371" s="922"/>
      <c r="R371" s="924"/>
      <c r="S371" s="922">
        <v>-1682</v>
      </c>
      <c r="T371" s="924"/>
      <c r="U371" s="922">
        <v>-1682</v>
      </c>
      <c r="V371" s="924"/>
      <c r="W371" s="922">
        <v>-1682</v>
      </c>
      <c r="X371" s="924"/>
      <c r="Y371" s="922">
        <v>-1682</v>
      </c>
      <c r="Z371" s="924"/>
      <c r="AA371" s="922">
        <v>-1682</v>
      </c>
      <c r="AB371" s="924"/>
      <c r="AD371" s="898">
        <f t="shared" si="26"/>
        <v>-8410</v>
      </c>
      <c r="AE371" s="950"/>
    </row>
    <row r="372" spans="1:31">
      <c r="A372" s="910">
        <v>368</v>
      </c>
      <c r="B372" s="830" t="s">
        <v>2759</v>
      </c>
      <c r="H372" s="924"/>
      <c r="K372" s="922"/>
      <c r="L372" s="924"/>
      <c r="S372" s="922">
        <v>-825</v>
      </c>
      <c r="T372" s="924"/>
      <c r="U372" s="922">
        <v>-825</v>
      </c>
      <c r="V372" s="924"/>
      <c r="W372" s="922">
        <v>-825</v>
      </c>
      <c r="X372" s="924"/>
      <c r="Y372" s="922">
        <v>-825</v>
      </c>
      <c r="Z372" s="924"/>
      <c r="AA372" s="922">
        <v>-825</v>
      </c>
      <c r="AB372" s="924"/>
      <c r="AD372" s="898">
        <f t="shared" si="26"/>
        <v>-4125</v>
      </c>
      <c r="AE372" s="950"/>
    </row>
    <row r="373" spans="1:31">
      <c r="A373" s="910">
        <v>369</v>
      </c>
      <c r="B373" s="830" t="s">
        <v>2760</v>
      </c>
      <c r="G373" s="922"/>
      <c r="H373" s="924"/>
      <c r="K373" s="922"/>
      <c r="L373" s="924"/>
      <c r="S373" s="922">
        <v>-1935</v>
      </c>
      <c r="T373" s="924"/>
      <c r="U373" s="922">
        <v>-1935</v>
      </c>
      <c r="V373" s="924"/>
      <c r="W373" s="922">
        <v>-1935</v>
      </c>
      <c r="X373" s="924"/>
      <c r="Y373" s="922">
        <v>-1935</v>
      </c>
      <c r="Z373" s="924"/>
      <c r="AA373" s="922">
        <v>-1918.26</v>
      </c>
      <c r="AB373" s="924"/>
      <c r="AD373" s="898">
        <f t="shared" si="26"/>
        <v>-9658.26</v>
      </c>
      <c r="AE373" s="950"/>
    </row>
    <row r="374" spans="1:31">
      <c r="A374" s="910">
        <v>370</v>
      </c>
      <c r="B374" s="830" t="s">
        <v>2761</v>
      </c>
      <c r="G374" s="922"/>
      <c r="H374" s="924"/>
      <c r="K374" s="922"/>
      <c r="L374" s="924"/>
      <c r="S374" s="922">
        <v>-958.02</v>
      </c>
      <c r="T374" s="924"/>
      <c r="U374" s="922">
        <v>-1800</v>
      </c>
      <c r="V374" s="924"/>
      <c r="W374" s="922">
        <v>-1800</v>
      </c>
      <c r="X374" s="924"/>
      <c r="Y374" s="922">
        <v>-1800</v>
      </c>
      <c r="Z374" s="924"/>
      <c r="AA374" s="922"/>
      <c r="AB374" s="924"/>
      <c r="AD374" s="898">
        <f t="shared" si="26"/>
        <v>-6358.02</v>
      </c>
      <c r="AE374" s="950"/>
    </row>
    <row r="375" spans="1:31">
      <c r="A375" s="910">
        <v>371</v>
      </c>
      <c r="B375" s="830" t="s">
        <v>2762</v>
      </c>
      <c r="G375" s="922"/>
      <c r="H375" s="924"/>
      <c r="K375" s="922"/>
      <c r="L375" s="924"/>
      <c r="S375" s="922"/>
      <c r="T375" s="924"/>
      <c r="U375" s="922">
        <v>-11251.52</v>
      </c>
      <c r="V375" s="924"/>
      <c r="W375" s="898">
        <v>-24602.86</v>
      </c>
      <c r="Y375" s="922">
        <v>-10657.7</v>
      </c>
      <c r="Z375" s="924"/>
      <c r="AA375" s="922"/>
      <c r="AB375" s="924"/>
      <c r="AC375" s="898">
        <v>-7131.87</v>
      </c>
      <c r="AD375" s="898">
        <f t="shared" si="26"/>
        <v>-53643.950000000004</v>
      </c>
      <c r="AE375" s="950"/>
    </row>
    <row r="376" spans="1:31">
      <c r="A376" s="910">
        <v>372</v>
      </c>
      <c r="B376" s="830" t="s">
        <v>2763</v>
      </c>
      <c r="G376" s="922">
        <v>120485</v>
      </c>
      <c r="H376" s="924"/>
      <c r="I376" s="922">
        <v>120485</v>
      </c>
      <c r="J376" s="924"/>
      <c r="K376" s="922">
        <v>120485</v>
      </c>
      <c r="L376" s="924"/>
      <c r="M376" s="922">
        <v>120485</v>
      </c>
      <c r="N376" s="924"/>
      <c r="O376" s="922">
        <v>120485</v>
      </c>
      <c r="P376" s="924"/>
      <c r="Q376" s="922">
        <v>120485</v>
      </c>
      <c r="R376" s="924"/>
      <c r="S376" s="922">
        <v>120485</v>
      </c>
      <c r="T376" s="924"/>
      <c r="U376" s="922">
        <v>120485</v>
      </c>
      <c r="V376" s="924"/>
      <c r="W376" s="898">
        <v>120485</v>
      </c>
      <c r="Y376" s="922">
        <v>120485</v>
      </c>
      <c r="Z376" s="924"/>
      <c r="AA376" s="922">
        <v>120485</v>
      </c>
      <c r="AB376" s="924"/>
      <c r="AC376" s="922">
        <v>120485</v>
      </c>
      <c r="AD376" s="898">
        <f t="shared" si="26"/>
        <v>1445820</v>
      </c>
    </row>
    <row r="377" spans="1:31">
      <c r="A377" s="910">
        <v>373</v>
      </c>
      <c r="B377" s="830" t="s">
        <v>2764</v>
      </c>
      <c r="G377" s="922">
        <v>-347.12</v>
      </c>
      <c r="H377" s="924"/>
      <c r="I377" s="922">
        <v>-347.12</v>
      </c>
      <c r="J377" s="924"/>
      <c r="K377" s="922">
        <v>-347.12</v>
      </c>
      <c r="L377" s="924"/>
      <c r="M377" s="922">
        <v>-347.12</v>
      </c>
      <c r="N377" s="924"/>
      <c r="O377" s="922">
        <v>-347.12</v>
      </c>
      <c r="P377" s="924"/>
      <c r="Q377" s="922">
        <v>-347.12</v>
      </c>
      <c r="R377" s="924"/>
      <c r="S377" s="922">
        <v>-347.12</v>
      </c>
      <c r="T377" s="924"/>
      <c r="U377" s="922">
        <v>-2753.15</v>
      </c>
      <c r="V377" s="924"/>
      <c r="W377" s="922">
        <v>-2753.15</v>
      </c>
      <c r="X377" s="924"/>
      <c r="Y377" s="922">
        <v>-2753.15</v>
      </c>
      <c r="Z377" s="924"/>
      <c r="AA377" s="922">
        <v>-2753.15</v>
      </c>
      <c r="AB377" s="924"/>
      <c r="AC377" s="922">
        <v>-2753.15</v>
      </c>
      <c r="AD377" s="898">
        <f t="shared" si="26"/>
        <v>-16195.589999999998</v>
      </c>
    </row>
    <row r="378" spans="1:31">
      <c r="A378" s="910">
        <v>374</v>
      </c>
      <c r="B378" s="830" t="s">
        <v>2719</v>
      </c>
      <c r="G378" s="922">
        <v>5355.66</v>
      </c>
      <c r="H378" s="924"/>
      <c r="I378" s="898">
        <v>5359.75</v>
      </c>
      <c r="J378" s="924"/>
      <c r="K378" s="922">
        <v>5372.68</v>
      </c>
      <c r="L378" s="924"/>
      <c r="M378" s="922">
        <v>5351</v>
      </c>
      <c r="N378" s="924"/>
      <c r="O378" s="922">
        <v>5352.97</v>
      </c>
      <c r="P378" s="924"/>
      <c r="Q378" s="922">
        <v>5373.25</v>
      </c>
      <c r="R378" s="924"/>
      <c r="S378" s="922">
        <v>5412.71</v>
      </c>
      <c r="T378" s="924"/>
      <c r="U378" s="922">
        <v>5820.58</v>
      </c>
      <c r="V378" s="924"/>
      <c r="W378" s="898">
        <v>6416.12</v>
      </c>
      <c r="Y378" s="922">
        <v>5794.09</v>
      </c>
      <c r="Z378" s="924"/>
      <c r="AA378" s="922">
        <v>5291.81</v>
      </c>
      <c r="AB378" s="924"/>
      <c r="AC378" s="922">
        <v>5264.23</v>
      </c>
      <c r="AD378" s="898">
        <f t="shared" si="26"/>
        <v>66164.850000000006</v>
      </c>
    </row>
    <row r="379" spans="1:31">
      <c r="A379" s="910">
        <v>375</v>
      </c>
      <c r="B379" s="830" t="s">
        <v>2884</v>
      </c>
      <c r="G379" s="922">
        <f>SUM(G358:G378)</f>
        <v>126255.93000000001</v>
      </c>
      <c r="H379" s="922"/>
      <c r="I379" s="922">
        <f>SUM(I358:I378)</f>
        <v>126379.53</v>
      </c>
      <c r="J379" s="922"/>
      <c r="K379" s="922">
        <f>SUM(K358:K378)</f>
        <v>126752.93</v>
      </c>
      <c r="L379" s="922"/>
      <c r="M379" s="922">
        <f>SUM(M358:M378)</f>
        <v>126113.88</v>
      </c>
      <c r="N379" s="922"/>
      <c r="O379" s="922">
        <f>SUM(O358:O378)</f>
        <v>126173.84000000001</v>
      </c>
      <c r="P379" s="922"/>
      <c r="Q379" s="922">
        <f>SUM(Q358:Q378)</f>
        <v>126769.22</v>
      </c>
      <c r="R379" s="922"/>
      <c r="S379" s="922">
        <f>SUM(S358:S378)</f>
        <v>128191.42000000001</v>
      </c>
      <c r="T379" s="922"/>
      <c r="U379" s="922">
        <f>SUM(U358:U378)</f>
        <v>140009.25</v>
      </c>
      <c r="V379" s="922"/>
      <c r="W379" s="922">
        <f>SUM(W358:W378)</f>
        <v>156537.38000000003</v>
      </c>
      <c r="X379" s="922"/>
      <c r="Y379" s="922">
        <f>SUM(Y358:Y378)</f>
        <v>139274.14000000001</v>
      </c>
      <c r="Z379" s="922"/>
      <c r="AA379" s="922">
        <f>SUM(AA358:AA378)</f>
        <v>125221.32</v>
      </c>
      <c r="AB379" s="922"/>
      <c r="AC379" s="922">
        <f>SUM(AC358:AC378)</f>
        <v>124294.75</v>
      </c>
      <c r="AD379" s="898">
        <f t="shared" si="26"/>
        <v>1571973.59</v>
      </c>
    </row>
    <row r="380" spans="1:31">
      <c r="A380" s="910">
        <v>376</v>
      </c>
      <c r="B380" s="830" t="s">
        <v>2514</v>
      </c>
      <c r="F380" s="928"/>
      <c r="G380" s="937">
        <v>57483</v>
      </c>
      <c r="H380" s="926"/>
      <c r="I380" s="924">
        <v>106086</v>
      </c>
      <c r="J380" s="924"/>
      <c r="K380" s="924">
        <v>228696</v>
      </c>
      <c r="L380" s="924"/>
      <c r="M380" s="926">
        <v>0</v>
      </c>
      <c r="N380" s="926"/>
      <c r="O380" s="924">
        <v>24270</v>
      </c>
      <c r="P380" s="926"/>
      <c r="Q380" s="924">
        <v>234043</v>
      </c>
      <c r="R380" s="926"/>
      <c r="S380" s="924">
        <v>1112893</v>
      </c>
      <c r="T380" s="926"/>
      <c r="U380" s="924">
        <v>5050508</v>
      </c>
      <c r="V380" s="926"/>
      <c r="W380" s="899">
        <v>9500954</v>
      </c>
      <c r="X380" s="928"/>
      <c r="Y380" s="924">
        <v>4852567</v>
      </c>
      <c r="Z380" s="926"/>
      <c r="AA380" s="924">
        <v>897404</v>
      </c>
      <c r="AB380" s="926"/>
      <c r="AC380" s="924">
        <v>211269</v>
      </c>
      <c r="AD380" s="928">
        <f t="shared" si="26"/>
        <v>22276173</v>
      </c>
    </row>
    <row r="381" spans="1:31">
      <c r="A381" s="910">
        <v>377</v>
      </c>
      <c r="B381" s="830" t="s">
        <v>2885</v>
      </c>
      <c r="F381" s="928"/>
      <c r="G381" s="928"/>
      <c r="H381" s="928"/>
      <c r="I381" s="899"/>
      <c r="K381" s="899"/>
      <c r="M381" s="928"/>
      <c r="N381" s="928"/>
      <c r="O381" s="899"/>
      <c r="P381" s="928"/>
      <c r="Q381" s="899"/>
      <c r="R381" s="928"/>
      <c r="S381" s="899"/>
      <c r="T381" s="928"/>
      <c r="U381" s="899"/>
      <c r="V381" s="928"/>
      <c r="W381" s="899"/>
      <c r="X381" s="928"/>
      <c r="Y381" s="899"/>
      <c r="Z381" s="928"/>
      <c r="AA381" s="899"/>
      <c r="AB381" s="928"/>
      <c r="AC381" s="899"/>
      <c r="AD381" s="928">
        <f t="shared" si="26"/>
        <v>0</v>
      </c>
    </row>
    <row r="382" spans="1:31">
      <c r="A382" s="910">
        <v>378</v>
      </c>
      <c r="B382" s="830" t="s">
        <v>2886</v>
      </c>
      <c r="F382" s="928"/>
      <c r="G382" s="926">
        <f>SUM(G380:G381)</f>
        <v>57483</v>
      </c>
      <c r="H382" s="926"/>
      <c r="I382" s="924">
        <f>SUM(I380:I381)</f>
        <v>106086</v>
      </c>
      <c r="J382" s="924"/>
      <c r="K382" s="924">
        <f>SUM(K380:K381)</f>
        <v>228696</v>
      </c>
      <c r="L382" s="924"/>
      <c r="M382" s="926">
        <f>SUM(M380:M381)</f>
        <v>0</v>
      </c>
      <c r="N382" s="926"/>
      <c r="O382" s="924">
        <f>SUM(O380:O381)</f>
        <v>24270</v>
      </c>
      <c r="P382" s="926"/>
      <c r="Q382" s="924">
        <f>SUM(Q380:Q381)</f>
        <v>234043</v>
      </c>
      <c r="R382" s="926"/>
      <c r="S382" s="924">
        <f>SUM(S380:S381)</f>
        <v>1112893</v>
      </c>
      <c r="T382" s="926"/>
      <c r="U382" s="924">
        <f>SUM(U380:U381)</f>
        <v>5050508</v>
      </c>
      <c r="V382" s="926"/>
      <c r="W382" s="924">
        <f>SUM(W380:W381)</f>
        <v>9500954</v>
      </c>
      <c r="X382" s="926"/>
      <c r="Y382" s="924">
        <f>SUM(Y380:Y381)</f>
        <v>4852567</v>
      </c>
      <c r="Z382" s="926"/>
      <c r="AA382" s="924">
        <f>SUM(AA380:AA381)</f>
        <v>897404</v>
      </c>
      <c r="AB382" s="926"/>
      <c r="AC382" s="924">
        <f>SUM(AC380:AC381)</f>
        <v>211269</v>
      </c>
      <c r="AD382" s="928">
        <f t="shared" si="26"/>
        <v>22276173</v>
      </c>
    </row>
    <row r="383" spans="1:31">
      <c r="A383" s="910">
        <v>379</v>
      </c>
      <c r="B383" s="830"/>
      <c r="F383" s="928"/>
      <c r="G383" s="928"/>
      <c r="H383" s="928"/>
      <c r="I383" s="928"/>
      <c r="J383" s="928"/>
      <c r="K383" s="928"/>
      <c r="L383" s="928"/>
      <c r="M383" s="928"/>
      <c r="N383" s="928"/>
      <c r="O383" s="928"/>
      <c r="P383" s="928"/>
      <c r="Q383" s="928"/>
      <c r="R383" s="928"/>
      <c r="S383" s="928"/>
      <c r="T383" s="928"/>
      <c r="U383" s="928"/>
      <c r="V383" s="928"/>
      <c r="W383" s="928"/>
      <c r="X383" s="928"/>
      <c r="Y383" s="928"/>
      <c r="Z383" s="928"/>
      <c r="AA383" s="928"/>
      <c r="AB383" s="928"/>
      <c r="AC383" s="928"/>
      <c r="AD383" s="928"/>
    </row>
    <row r="384" spans="1:31">
      <c r="A384" s="910">
        <v>380</v>
      </c>
      <c r="B384" s="851" t="s">
        <v>2766</v>
      </c>
    </row>
    <row r="385" spans="1:31">
      <c r="A385" s="910">
        <v>381</v>
      </c>
      <c r="B385" s="951" t="s">
        <v>2724</v>
      </c>
      <c r="G385" s="922">
        <v>625</v>
      </c>
      <c r="H385" s="924"/>
      <c r="I385" s="922">
        <v>625</v>
      </c>
      <c r="J385" s="924"/>
      <c r="K385" s="922">
        <v>625</v>
      </c>
      <c r="L385" s="924"/>
      <c r="M385" s="922">
        <v>625</v>
      </c>
      <c r="N385" s="924"/>
      <c r="O385" s="922">
        <v>625</v>
      </c>
      <c r="P385" s="924"/>
      <c r="Q385" s="922">
        <v>625</v>
      </c>
      <c r="R385" s="924"/>
      <c r="S385" s="922">
        <v>625</v>
      </c>
      <c r="T385" s="924"/>
      <c r="U385" s="922">
        <v>625</v>
      </c>
      <c r="V385" s="924"/>
      <c r="W385" s="898">
        <v>625</v>
      </c>
      <c r="Y385" s="922">
        <v>625</v>
      </c>
      <c r="Z385" s="924"/>
      <c r="AA385" s="922">
        <v>625</v>
      </c>
      <c r="AB385" s="924"/>
      <c r="AC385" s="922">
        <v>625</v>
      </c>
      <c r="AD385" s="898">
        <f t="shared" ref="AD385:AD396" si="27">SUM(G385:AC385)</f>
        <v>7500</v>
      </c>
    </row>
    <row r="386" spans="1:31">
      <c r="A386" s="910">
        <v>382</v>
      </c>
      <c r="B386" s="951" t="s">
        <v>2767</v>
      </c>
      <c r="G386" s="922">
        <v>20468.36</v>
      </c>
      <c r="H386" s="924"/>
      <c r="I386" s="922">
        <v>20468.36</v>
      </c>
      <c r="J386" s="924"/>
      <c r="K386" s="922">
        <v>20468.36</v>
      </c>
      <c r="L386" s="924"/>
      <c r="M386" s="922">
        <v>20468.36</v>
      </c>
      <c r="N386" s="924"/>
      <c r="O386" s="922">
        <v>20468.36</v>
      </c>
      <c r="P386" s="924"/>
      <c r="Q386" s="922">
        <v>20468.36</v>
      </c>
      <c r="R386" s="924"/>
      <c r="S386" s="922">
        <v>20468.36</v>
      </c>
      <c r="T386" s="924"/>
      <c r="U386" s="922">
        <v>20468.36</v>
      </c>
      <c r="V386" s="924"/>
      <c r="W386" s="898">
        <v>20673.04</v>
      </c>
      <c r="Y386" s="922">
        <v>20673.04</v>
      </c>
      <c r="Z386" s="924"/>
      <c r="AA386" s="922">
        <v>20673.04</v>
      </c>
      <c r="AB386" s="924"/>
      <c r="AC386" s="922">
        <v>20673.04</v>
      </c>
      <c r="AD386" s="898">
        <f t="shared" si="27"/>
        <v>246439.04000000004</v>
      </c>
    </row>
    <row r="387" spans="1:31">
      <c r="A387" s="910">
        <v>383</v>
      </c>
      <c r="B387" s="951" t="s">
        <v>2713</v>
      </c>
      <c r="H387" s="924"/>
      <c r="J387" s="924"/>
      <c r="L387" s="924"/>
      <c r="N387" s="924"/>
      <c r="P387" s="924"/>
      <c r="R387" s="924"/>
      <c r="S387" s="922"/>
      <c r="T387" s="924"/>
      <c r="U387" s="922"/>
      <c r="V387" s="924"/>
      <c r="AD387" s="898">
        <f t="shared" si="27"/>
        <v>0</v>
      </c>
    </row>
    <row r="388" spans="1:31">
      <c r="A388" s="910">
        <v>384</v>
      </c>
      <c r="B388" s="951" t="s">
        <v>2724</v>
      </c>
      <c r="H388" s="924"/>
      <c r="J388" s="924"/>
      <c r="L388" s="924"/>
      <c r="N388" s="924"/>
      <c r="P388" s="924"/>
      <c r="R388" s="924"/>
      <c r="S388" s="922"/>
      <c r="T388" s="924"/>
      <c r="U388" s="922"/>
      <c r="V388" s="924"/>
      <c r="AD388" s="898">
        <f t="shared" si="27"/>
        <v>0</v>
      </c>
    </row>
    <row r="389" spans="1:31">
      <c r="A389" s="910">
        <v>385</v>
      </c>
      <c r="B389" s="951" t="s">
        <v>2714</v>
      </c>
      <c r="G389" s="922">
        <v>3129.93</v>
      </c>
      <c r="H389" s="924"/>
      <c r="I389" s="922">
        <v>3071.81</v>
      </c>
      <c r="J389" s="924"/>
      <c r="K389" s="922">
        <v>3074.62</v>
      </c>
      <c r="L389" s="924"/>
      <c r="M389" s="922">
        <v>3725.17</v>
      </c>
      <c r="N389" s="924"/>
      <c r="O389" s="922">
        <v>3348.75</v>
      </c>
      <c r="P389" s="924"/>
      <c r="Q389" s="922">
        <v>2160.4899999999998</v>
      </c>
      <c r="R389" s="924"/>
      <c r="S389" s="922">
        <v>2269.48</v>
      </c>
      <c r="T389" s="924"/>
      <c r="U389" s="922">
        <v>2474.5</v>
      </c>
      <c r="V389" s="924"/>
      <c r="W389" s="898">
        <v>2630.26</v>
      </c>
      <c r="Y389" s="922">
        <v>2617.41</v>
      </c>
      <c r="Z389" s="924"/>
      <c r="AA389" s="922">
        <v>3194.37</v>
      </c>
      <c r="AB389" s="924"/>
      <c r="AC389" s="922">
        <v>2940.79</v>
      </c>
      <c r="AD389" s="898">
        <f t="shared" si="27"/>
        <v>34637.58</v>
      </c>
    </row>
    <row r="390" spans="1:31">
      <c r="A390" s="910">
        <v>386</v>
      </c>
      <c r="B390" s="951" t="s">
        <v>2897</v>
      </c>
      <c r="G390" s="922">
        <v>117451.47</v>
      </c>
      <c r="H390" s="924"/>
      <c r="I390" s="922">
        <v>115270.56</v>
      </c>
      <c r="J390" s="924"/>
      <c r="K390" s="922">
        <v>115375.96</v>
      </c>
      <c r="L390" s="924"/>
      <c r="M390" s="922">
        <v>139788</v>
      </c>
      <c r="N390" s="924"/>
      <c r="O390" s="922">
        <v>125662.82</v>
      </c>
      <c r="P390" s="924"/>
      <c r="Q390" s="922">
        <v>81073.11</v>
      </c>
      <c r="R390" s="924"/>
      <c r="S390" s="922">
        <v>85162.73</v>
      </c>
      <c r="T390" s="924"/>
      <c r="U390" s="922">
        <v>92856.320000000007</v>
      </c>
      <c r="V390" s="924"/>
      <c r="W390" s="898">
        <v>99688.29</v>
      </c>
      <c r="Y390" s="922">
        <v>99201.04</v>
      </c>
      <c r="Z390" s="924"/>
      <c r="AA390" s="922">
        <v>121068.28</v>
      </c>
      <c r="AB390" s="924"/>
      <c r="AC390" s="922">
        <v>111457.23</v>
      </c>
      <c r="AD390" s="898">
        <f t="shared" si="27"/>
        <v>1304055.81</v>
      </c>
    </row>
    <row r="391" spans="1:31">
      <c r="A391" s="910">
        <v>387</v>
      </c>
      <c r="B391" s="951" t="s">
        <v>2719</v>
      </c>
      <c r="G391" s="922">
        <v>6277.61</v>
      </c>
      <c r="H391" s="924"/>
      <c r="I391" s="922">
        <v>6178.4</v>
      </c>
      <c r="J391" s="924"/>
      <c r="K391" s="922">
        <v>6183.19</v>
      </c>
      <c r="L391" s="924"/>
      <c r="M391" s="922">
        <v>7293.72</v>
      </c>
      <c r="N391" s="924"/>
      <c r="O391" s="922">
        <v>6651.15</v>
      </c>
      <c r="P391" s="924"/>
      <c r="Q391" s="922">
        <v>4622.7299999999996</v>
      </c>
      <c r="R391" s="924"/>
      <c r="S391" s="922">
        <v>4808.7700000000004</v>
      </c>
      <c r="T391" s="924"/>
      <c r="U391" s="922">
        <v>5158.76</v>
      </c>
      <c r="V391" s="924"/>
      <c r="W391" s="898">
        <v>5477.45</v>
      </c>
      <c r="Y391" s="922">
        <v>5455.29</v>
      </c>
      <c r="Z391" s="924"/>
      <c r="AA391" s="922">
        <v>6449.79</v>
      </c>
      <c r="AB391" s="924"/>
      <c r="AC391" s="922">
        <v>6012.69</v>
      </c>
      <c r="AD391" s="898">
        <f t="shared" si="27"/>
        <v>70569.55</v>
      </c>
    </row>
    <row r="392" spans="1:31">
      <c r="A392" s="910">
        <v>388</v>
      </c>
      <c r="B392" s="951" t="s">
        <v>2677</v>
      </c>
      <c r="G392" s="922"/>
      <c r="H392" s="924"/>
      <c r="I392" s="922"/>
      <c r="J392" s="924"/>
      <c r="K392" s="922"/>
      <c r="L392" s="924"/>
      <c r="M392" s="922"/>
      <c r="N392" s="924"/>
      <c r="O392" s="922"/>
      <c r="P392" s="924"/>
      <c r="Q392" s="922"/>
      <c r="R392" s="924"/>
      <c r="S392" s="922"/>
      <c r="T392" s="924"/>
      <c r="U392" s="922"/>
      <c r="V392" s="924"/>
      <c r="AD392" s="898">
        <f t="shared" si="27"/>
        <v>0</v>
      </c>
    </row>
    <row r="393" spans="1:31">
      <c r="A393" s="910">
        <v>389</v>
      </c>
      <c r="B393" s="951" t="s">
        <v>2884</v>
      </c>
      <c r="G393" s="922">
        <f>SUM(G385:G392)</f>
        <v>147952.37</v>
      </c>
      <c r="H393" s="922"/>
      <c r="I393" s="922">
        <f>SUM(I385:I392)</f>
        <v>145614.13</v>
      </c>
      <c r="J393" s="922"/>
      <c r="K393" s="922">
        <f>SUM(K385:K392)</f>
        <v>145727.13</v>
      </c>
      <c r="L393" s="922"/>
      <c r="M393" s="922">
        <f>SUM(M385:M392)</f>
        <v>171900.25</v>
      </c>
      <c r="N393" s="922"/>
      <c r="O393" s="922">
        <f>SUM(O385:O392)</f>
        <v>156756.07999999999</v>
      </c>
      <c r="P393" s="922"/>
      <c r="Q393" s="922">
        <f>SUM(Q385:Q392)</f>
        <v>108949.68999999999</v>
      </c>
      <c r="R393" s="922"/>
      <c r="S393" s="922">
        <f>SUM(S385:S392)</f>
        <v>113334.34</v>
      </c>
      <c r="T393" s="922"/>
      <c r="U393" s="922">
        <f>SUM(U385:U392)</f>
        <v>121582.94</v>
      </c>
      <c r="V393" s="922"/>
      <c r="W393" s="922">
        <f>SUM(W385:W392)</f>
        <v>129094.04</v>
      </c>
      <c r="X393" s="922"/>
      <c r="Y393" s="922">
        <f>SUM(Y385:Y392)</f>
        <v>128571.77999999998</v>
      </c>
      <c r="Z393" s="922"/>
      <c r="AA393" s="922">
        <f>SUM(AA385:AA392)</f>
        <v>152010.48000000001</v>
      </c>
      <c r="AB393" s="922"/>
      <c r="AC393" s="922">
        <f>SUM(AC385:AC392)</f>
        <v>141708.75</v>
      </c>
      <c r="AD393" s="898">
        <f t="shared" si="27"/>
        <v>1663201.98</v>
      </c>
    </row>
    <row r="394" spans="1:31">
      <c r="A394" s="910">
        <v>390</v>
      </c>
      <c r="B394" s="951" t="s">
        <v>2514</v>
      </c>
      <c r="F394" s="928"/>
      <c r="G394" s="937">
        <v>7824829</v>
      </c>
      <c r="H394" s="926"/>
      <c r="I394" s="924">
        <v>7679533</v>
      </c>
      <c r="J394" s="924"/>
      <c r="K394" s="924">
        <v>7686555</v>
      </c>
      <c r="L394" s="924"/>
      <c r="M394" s="924">
        <v>9312929</v>
      </c>
      <c r="N394" s="924"/>
      <c r="O394" s="924">
        <v>8371884</v>
      </c>
      <c r="P394" s="924"/>
      <c r="Q394" s="924">
        <v>5401237</v>
      </c>
      <c r="R394" s="924"/>
      <c r="S394" s="924">
        <v>5673695</v>
      </c>
      <c r="T394" s="924"/>
      <c r="U394" s="924">
        <v>6186256</v>
      </c>
      <c r="V394" s="926"/>
      <c r="W394" s="899">
        <v>6575658</v>
      </c>
      <c r="X394" s="928"/>
      <c r="Y394" s="924">
        <v>6543518</v>
      </c>
      <c r="Z394" s="926"/>
      <c r="AA394" s="924">
        <v>7985929</v>
      </c>
      <c r="AB394" s="926"/>
      <c r="AC394" s="924">
        <v>7351963</v>
      </c>
      <c r="AD394" s="928">
        <f t="shared" si="27"/>
        <v>86593986</v>
      </c>
      <c r="AE394" s="928"/>
    </row>
    <row r="395" spans="1:31">
      <c r="A395" s="910">
        <v>391</v>
      </c>
      <c r="B395" s="951" t="s">
        <v>2885</v>
      </c>
      <c r="F395" s="928"/>
      <c r="G395" s="928"/>
      <c r="H395" s="928"/>
      <c r="I395" s="899"/>
      <c r="K395" s="899"/>
      <c r="M395" s="899"/>
      <c r="O395" s="899"/>
      <c r="Q395" s="899"/>
      <c r="S395" s="924"/>
      <c r="T395" s="924"/>
      <c r="U395" s="924"/>
      <c r="V395" s="926"/>
      <c r="W395" s="899"/>
      <c r="X395" s="928"/>
      <c r="Y395" s="924"/>
      <c r="Z395" s="926"/>
      <c r="AA395" s="924"/>
      <c r="AB395" s="926"/>
      <c r="AC395" s="924"/>
      <c r="AD395" s="928">
        <f t="shared" si="27"/>
        <v>0</v>
      </c>
      <c r="AE395" s="928"/>
    </row>
    <row r="396" spans="1:31">
      <c r="A396" s="910">
        <v>392</v>
      </c>
      <c r="B396" s="830" t="s">
        <v>2886</v>
      </c>
      <c r="F396" s="928"/>
      <c r="G396" s="926">
        <f>SUM(G394:G395)</f>
        <v>7824829</v>
      </c>
      <c r="H396" s="926"/>
      <c r="I396" s="924">
        <f>SUM(I394:I395)</f>
        <v>7679533</v>
      </c>
      <c r="J396" s="924"/>
      <c r="K396" s="924">
        <f>SUM(K394:K395)</f>
        <v>7686555</v>
      </c>
      <c r="L396" s="924"/>
      <c r="M396" s="924">
        <f>SUM(M394:M395)</f>
        <v>9312929</v>
      </c>
      <c r="N396" s="924"/>
      <c r="O396" s="924">
        <f>SUM(O394:O395)</f>
        <v>8371884</v>
      </c>
      <c r="P396" s="924"/>
      <c r="Q396" s="924">
        <f>SUM(Q394:Q395)</f>
        <v>5401237</v>
      </c>
      <c r="R396" s="924"/>
      <c r="S396" s="924">
        <f>SUM(S394:S395)</f>
        <v>5673695</v>
      </c>
      <c r="T396" s="924"/>
      <c r="U396" s="924">
        <f t="shared" ref="U396:AC396" si="28">SUM(U394:U395)</f>
        <v>6186256</v>
      </c>
      <c r="V396" s="926">
        <f t="shared" si="28"/>
        <v>0</v>
      </c>
      <c r="W396" s="924">
        <f t="shared" si="28"/>
        <v>6575658</v>
      </c>
      <c r="X396" s="926">
        <f t="shared" si="28"/>
        <v>0</v>
      </c>
      <c r="Y396" s="924">
        <f t="shared" si="28"/>
        <v>6543518</v>
      </c>
      <c r="Z396" s="926">
        <f t="shared" si="28"/>
        <v>0</v>
      </c>
      <c r="AA396" s="924">
        <f t="shared" si="28"/>
        <v>7985929</v>
      </c>
      <c r="AB396" s="926">
        <f t="shared" si="28"/>
        <v>0</v>
      </c>
      <c r="AC396" s="924">
        <f t="shared" si="28"/>
        <v>7351963</v>
      </c>
      <c r="AD396" s="928">
        <f t="shared" si="27"/>
        <v>86593986</v>
      </c>
      <c r="AE396" s="928"/>
    </row>
    <row r="397" spans="1:31">
      <c r="A397" s="910">
        <v>393</v>
      </c>
      <c r="B397" s="830"/>
    </row>
    <row r="398" spans="1:31">
      <c r="A398" s="910">
        <v>394</v>
      </c>
      <c r="B398" s="851" t="s">
        <v>2771</v>
      </c>
    </row>
    <row r="399" spans="1:31">
      <c r="A399" s="910">
        <v>395</v>
      </c>
      <c r="B399" s="830" t="s">
        <v>2724</v>
      </c>
      <c r="G399" s="922">
        <v>625</v>
      </c>
      <c r="H399" s="924"/>
      <c r="I399" s="922">
        <v>625</v>
      </c>
      <c r="J399" s="924"/>
      <c r="K399" s="922">
        <v>625</v>
      </c>
      <c r="L399" s="924"/>
      <c r="M399" s="922">
        <v>625</v>
      </c>
      <c r="N399" s="924"/>
      <c r="O399" s="922">
        <v>625</v>
      </c>
      <c r="P399" s="924"/>
      <c r="Q399" s="922">
        <v>625</v>
      </c>
      <c r="R399" s="924"/>
      <c r="S399" s="922">
        <v>625</v>
      </c>
      <c r="T399" s="924"/>
      <c r="U399" s="922">
        <v>625</v>
      </c>
      <c r="V399" s="924"/>
      <c r="W399" s="922">
        <v>625</v>
      </c>
      <c r="X399" s="924"/>
      <c r="Y399" s="922">
        <v>625</v>
      </c>
      <c r="Z399" s="924"/>
      <c r="AA399" s="922">
        <v>625</v>
      </c>
      <c r="AB399" s="924"/>
      <c r="AC399" s="922">
        <v>625</v>
      </c>
      <c r="AD399" s="898">
        <f t="shared" ref="AD399:AD412" si="29">SUM(G399:AC399)</f>
        <v>7500</v>
      </c>
    </row>
    <row r="400" spans="1:31">
      <c r="A400" s="910">
        <v>396</v>
      </c>
      <c r="B400" s="830" t="s">
        <v>2767</v>
      </c>
      <c r="G400" s="922">
        <v>14541.22</v>
      </c>
      <c r="H400" s="924"/>
      <c r="I400" s="922">
        <v>14541.22</v>
      </c>
      <c r="J400" s="924"/>
      <c r="K400" s="922">
        <v>14541.22</v>
      </c>
      <c r="L400" s="924"/>
      <c r="M400" s="922">
        <v>14541.22</v>
      </c>
      <c r="N400" s="924"/>
      <c r="O400" s="922">
        <v>14541.22</v>
      </c>
      <c r="P400" s="924"/>
      <c r="Q400" s="922">
        <v>14541.22</v>
      </c>
      <c r="R400" s="924"/>
      <c r="S400" s="922">
        <v>14541.22</v>
      </c>
      <c r="T400" s="924"/>
      <c r="U400" s="922">
        <v>14679.38</v>
      </c>
      <c r="V400" s="924"/>
      <c r="W400" s="922">
        <v>14679.38</v>
      </c>
      <c r="X400" s="924"/>
      <c r="Y400" s="922">
        <v>14679.38</v>
      </c>
      <c r="Z400" s="924"/>
      <c r="AA400" s="922">
        <v>14679.38</v>
      </c>
      <c r="AB400" s="924"/>
      <c r="AC400" s="922">
        <v>14679.38</v>
      </c>
      <c r="AD400" s="898">
        <f t="shared" si="29"/>
        <v>175185.44</v>
      </c>
    </row>
    <row r="401" spans="1:31">
      <c r="A401" s="910">
        <v>397</v>
      </c>
      <c r="B401" s="830" t="s">
        <v>2713</v>
      </c>
      <c r="H401" s="924"/>
      <c r="J401" s="924"/>
      <c r="L401" s="924"/>
      <c r="N401" s="924"/>
      <c r="P401" s="924"/>
      <c r="R401" s="924"/>
      <c r="S401" s="922"/>
      <c r="T401" s="924"/>
      <c r="AD401" s="898">
        <f t="shared" si="29"/>
        <v>0</v>
      </c>
    </row>
    <row r="402" spans="1:31">
      <c r="A402" s="910">
        <v>398</v>
      </c>
      <c r="B402" s="830" t="s">
        <v>2724</v>
      </c>
      <c r="H402" s="924"/>
      <c r="L402" s="924"/>
      <c r="N402" s="924"/>
      <c r="R402" s="924"/>
      <c r="S402" s="922"/>
      <c r="T402" s="924"/>
      <c r="V402" s="924"/>
      <c r="AD402" s="898">
        <f t="shared" si="29"/>
        <v>0</v>
      </c>
    </row>
    <row r="403" spans="1:31">
      <c r="A403" s="910">
        <v>399</v>
      </c>
      <c r="B403" s="830" t="s">
        <v>2714</v>
      </c>
      <c r="G403" s="922">
        <v>142.89000000000001</v>
      </c>
      <c r="H403" s="924"/>
      <c r="K403" s="922">
        <v>993.36</v>
      </c>
      <c r="L403" s="924"/>
      <c r="M403" s="922">
        <v>133.80000000000001</v>
      </c>
      <c r="N403" s="924"/>
      <c r="Q403" s="922">
        <v>203.97</v>
      </c>
      <c r="R403" s="924"/>
      <c r="S403" s="922">
        <v>40.07</v>
      </c>
      <c r="T403" s="924"/>
      <c r="U403" s="922">
        <v>3336.09</v>
      </c>
      <c r="V403" s="924"/>
      <c r="W403" s="898">
        <v>3647.29</v>
      </c>
      <c r="Y403" s="898">
        <v>2481.7600000000002</v>
      </c>
      <c r="AA403" s="898">
        <v>697.53</v>
      </c>
      <c r="AC403" s="922">
        <v>75.349999999999994</v>
      </c>
      <c r="AD403" s="898">
        <f t="shared" si="29"/>
        <v>11752.110000000002</v>
      </c>
    </row>
    <row r="404" spans="1:31">
      <c r="A404" s="910">
        <v>400</v>
      </c>
      <c r="B404" s="830" t="s">
        <v>2897</v>
      </c>
      <c r="G404" s="922">
        <v>5194.6400000000003</v>
      </c>
      <c r="H404" s="924"/>
      <c r="K404" s="922">
        <v>36111.67</v>
      </c>
      <c r="L404" s="924"/>
      <c r="M404" s="922">
        <v>4864.08</v>
      </c>
      <c r="N404" s="924"/>
      <c r="Q404" s="922">
        <v>7414.83</v>
      </c>
      <c r="R404" s="924"/>
      <c r="S404" s="922">
        <v>1001.69</v>
      </c>
      <c r="T404" s="924"/>
      <c r="U404" s="922">
        <v>122428.59</v>
      </c>
      <c r="V404" s="924"/>
      <c r="W404" s="898">
        <v>133849.01</v>
      </c>
      <c r="Y404" s="898">
        <v>91076.35</v>
      </c>
      <c r="AA404" s="898">
        <v>25598.28</v>
      </c>
      <c r="AC404" s="922">
        <v>2765.23</v>
      </c>
      <c r="AD404" s="898">
        <f t="shared" si="29"/>
        <v>430304.37</v>
      </c>
    </row>
    <row r="405" spans="1:31">
      <c r="A405" s="910">
        <v>401</v>
      </c>
      <c r="B405" s="830" t="s">
        <v>2719</v>
      </c>
      <c r="G405" s="922">
        <v>908.52</v>
      </c>
      <c r="H405" s="924"/>
      <c r="I405" s="922">
        <v>672.02</v>
      </c>
      <c r="J405" s="924"/>
      <c r="K405" s="922">
        <v>2316.14</v>
      </c>
      <c r="L405" s="924"/>
      <c r="M405" s="922">
        <v>893.47</v>
      </c>
      <c r="N405" s="924"/>
      <c r="O405" s="922">
        <v>672.02</v>
      </c>
      <c r="P405" s="924"/>
      <c r="Q405" s="922">
        <v>1009.6</v>
      </c>
      <c r="R405" s="924"/>
      <c r="S405" s="922">
        <v>1317.4</v>
      </c>
      <c r="T405" s="924"/>
      <c r="U405" s="922">
        <v>6250.77</v>
      </c>
      <c r="V405" s="924"/>
      <c r="W405" s="898">
        <v>6770.6</v>
      </c>
      <c r="Y405" s="922">
        <v>4823.7</v>
      </c>
      <c r="Z405" s="924"/>
      <c r="AA405" s="922">
        <v>1843.3</v>
      </c>
      <c r="AB405" s="924"/>
      <c r="AC405" s="922">
        <v>804</v>
      </c>
      <c r="AD405" s="898">
        <f t="shared" si="29"/>
        <v>28281.54</v>
      </c>
    </row>
    <row r="406" spans="1:31">
      <c r="A406" s="910">
        <v>402</v>
      </c>
      <c r="B406" s="830" t="s">
        <v>2661</v>
      </c>
      <c r="G406" s="922">
        <v>1366.75</v>
      </c>
      <c r="H406" s="924"/>
      <c r="I406" s="898">
        <v>1010.95</v>
      </c>
      <c r="J406" s="924"/>
      <c r="K406" s="922">
        <v>3484.31</v>
      </c>
      <c r="L406" s="924"/>
      <c r="M406" s="922">
        <v>1344.1</v>
      </c>
      <c r="N406" s="924"/>
      <c r="O406" s="898">
        <v>1010.95</v>
      </c>
      <c r="P406" s="924"/>
      <c r="Q406" s="922">
        <v>1518.81</v>
      </c>
      <c r="R406" s="924"/>
      <c r="S406" s="922">
        <v>1010.95</v>
      </c>
      <c r="T406" s="924"/>
      <c r="U406" s="922">
        <v>9403.42</v>
      </c>
      <c r="V406" s="924"/>
      <c r="W406" s="898">
        <v>10185.43</v>
      </c>
      <c r="Y406" s="922">
        <v>7256.59</v>
      </c>
      <c r="Z406" s="924"/>
      <c r="AA406" s="922">
        <v>2773</v>
      </c>
      <c r="AB406" s="924"/>
      <c r="AC406" s="922">
        <v>1209.51</v>
      </c>
      <c r="AD406" s="898">
        <f t="shared" si="29"/>
        <v>41574.770000000004</v>
      </c>
    </row>
    <row r="407" spans="1:31">
      <c r="A407" s="910">
        <v>403</v>
      </c>
      <c r="B407" s="830" t="s">
        <v>2774</v>
      </c>
      <c r="G407" s="922"/>
      <c r="H407" s="924"/>
      <c r="J407" s="924"/>
      <c r="K407" s="922"/>
      <c r="L407" s="924"/>
      <c r="M407" s="922"/>
      <c r="N407" s="924"/>
      <c r="P407" s="924"/>
      <c r="Q407" s="922"/>
      <c r="R407" s="924"/>
      <c r="S407" s="922">
        <v>12898.31</v>
      </c>
      <c r="T407" s="924"/>
      <c r="U407" s="922"/>
      <c r="V407" s="924"/>
      <c r="Y407" s="922"/>
      <c r="Z407" s="924"/>
      <c r="AA407" s="922"/>
      <c r="AB407" s="924"/>
      <c r="AC407" s="922"/>
      <c r="AD407" s="898">
        <f t="shared" si="29"/>
        <v>12898.31</v>
      </c>
    </row>
    <row r="408" spans="1:31">
      <c r="A408" s="910">
        <v>404</v>
      </c>
      <c r="B408" s="830" t="s">
        <v>2677</v>
      </c>
      <c r="G408" s="922"/>
      <c r="H408" s="924"/>
      <c r="I408" s="922"/>
      <c r="J408" s="924"/>
      <c r="K408" s="922"/>
      <c r="L408" s="924"/>
      <c r="N408" s="924"/>
      <c r="O408" s="922"/>
      <c r="P408" s="924"/>
      <c r="Q408" s="922"/>
      <c r="R408" s="924"/>
      <c r="S408" s="922"/>
      <c r="T408" s="924"/>
      <c r="U408" s="922"/>
      <c r="V408" s="924"/>
      <c r="AD408" s="898">
        <f t="shared" si="29"/>
        <v>0</v>
      </c>
    </row>
    <row r="409" spans="1:31">
      <c r="A409" s="910">
        <v>405</v>
      </c>
      <c r="B409" s="830" t="s">
        <v>2884</v>
      </c>
      <c r="G409" s="922">
        <f>SUM(G399:G408)</f>
        <v>22779.02</v>
      </c>
      <c r="H409" s="922"/>
      <c r="I409" s="922">
        <f>SUM(I399:I408)</f>
        <v>16849.189999999999</v>
      </c>
      <c r="J409" s="922"/>
      <c r="K409" s="922">
        <f>SUM(K399:K408)</f>
        <v>58071.7</v>
      </c>
      <c r="L409" s="922"/>
      <c r="M409" s="922">
        <f>SUM(M399:M406)</f>
        <v>22401.67</v>
      </c>
      <c r="N409" s="922"/>
      <c r="O409" s="922">
        <f>SUM(O399:O408)</f>
        <v>16849.189999999999</v>
      </c>
      <c r="P409" s="922"/>
      <c r="Q409" s="922">
        <f>SUM(Q399:Q408)</f>
        <v>25313.429999999997</v>
      </c>
      <c r="R409" s="922"/>
      <c r="S409" s="922">
        <f>SUM(S399:S408)</f>
        <v>31434.639999999999</v>
      </c>
      <c r="T409" s="922"/>
      <c r="U409" s="922">
        <f>SUM(U399:U408)</f>
        <v>156723.25</v>
      </c>
      <c r="V409" s="922"/>
      <c r="W409" s="922">
        <f>SUM(W399:W408)</f>
        <v>169756.71</v>
      </c>
      <c r="X409" s="922"/>
      <c r="Y409" s="922">
        <f>SUM(Y399:Y408)</f>
        <v>120942.78</v>
      </c>
      <c r="Z409" s="922"/>
      <c r="AA409" s="922">
        <f>SUM(AA399:AA408)</f>
        <v>46216.490000000005</v>
      </c>
      <c r="AB409" s="922"/>
      <c r="AC409" s="922">
        <f>SUM(AC399:AC408)</f>
        <v>20158.469999999998</v>
      </c>
      <c r="AD409" s="898">
        <f t="shared" si="29"/>
        <v>707496.53999999992</v>
      </c>
    </row>
    <row r="410" spans="1:31">
      <c r="A410" s="910">
        <v>406</v>
      </c>
      <c r="B410" s="830" t="s">
        <v>2514</v>
      </c>
      <c r="G410" s="924">
        <v>357236</v>
      </c>
      <c r="H410" s="924"/>
      <c r="I410" s="899"/>
      <c r="K410" s="924">
        <v>2483404</v>
      </c>
      <c r="L410" s="924"/>
      <c r="M410" s="924">
        <v>334503</v>
      </c>
      <c r="N410" s="924"/>
      <c r="O410" s="899"/>
      <c r="Q410" s="924">
        <v>509919</v>
      </c>
      <c r="R410" s="924"/>
      <c r="S410" s="924">
        <v>100169</v>
      </c>
      <c r="T410" s="924"/>
      <c r="U410" s="924">
        <v>8340220</v>
      </c>
      <c r="V410" s="924"/>
      <c r="W410" s="899">
        <v>9118215</v>
      </c>
      <c r="Y410" s="899">
        <v>6204407</v>
      </c>
      <c r="Z410" s="928"/>
      <c r="AA410" s="899">
        <v>1743835</v>
      </c>
      <c r="AB410" s="928"/>
      <c r="AC410" s="924">
        <v>188376</v>
      </c>
      <c r="AD410" s="928">
        <f t="shared" si="29"/>
        <v>29380284</v>
      </c>
      <c r="AE410" s="928"/>
    </row>
    <row r="411" spans="1:31">
      <c r="A411" s="910">
        <v>407</v>
      </c>
      <c r="B411" s="830" t="s">
        <v>2885</v>
      </c>
      <c r="G411" s="899"/>
      <c r="I411" s="899"/>
      <c r="K411" s="899"/>
      <c r="M411" s="899"/>
      <c r="O411" s="899"/>
      <c r="Q411" s="899"/>
      <c r="S411" s="924"/>
      <c r="T411" s="924"/>
      <c r="U411" s="924"/>
      <c r="V411" s="924"/>
      <c r="W411" s="899"/>
      <c r="Y411" s="899"/>
      <c r="Z411" s="928"/>
      <c r="AA411" s="899"/>
      <c r="AB411" s="928"/>
      <c r="AC411" s="899"/>
      <c r="AD411" s="928">
        <f t="shared" si="29"/>
        <v>0</v>
      </c>
      <c r="AE411" s="928"/>
    </row>
    <row r="412" spans="1:31">
      <c r="A412" s="910">
        <v>408</v>
      </c>
      <c r="B412" s="830" t="s">
        <v>2886</v>
      </c>
      <c r="G412" s="924">
        <f>SUM(G410:G411)</f>
        <v>357236</v>
      </c>
      <c r="H412" s="924"/>
      <c r="I412" s="924">
        <f>SUM(I410:I411)</f>
        <v>0</v>
      </c>
      <c r="J412" s="924"/>
      <c r="K412" s="924">
        <f>SUM(K410:K411)</f>
        <v>2483404</v>
      </c>
      <c r="L412" s="924"/>
      <c r="M412" s="924">
        <f>SUM(M410:M411)</f>
        <v>334503</v>
      </c>
      <c r="N412" s="924"/>
      <c r="O412" s="924">
        <f>SUM(O410:O411)</f>
        <v>0</v>
      </c>
      <c r="P412" s="924"/>
      <c r="Q412" s="924">
        <f>SUM(Q410:Q411)</f>
        <v>509919</v>
      </c>
      <c r="R412" s="924"/>
      <c r="S412" s="924">
        <f>SUM(S410:S411)</f>
        <v>100169</v>
      </c>
      <c r="T412" s="924"/>
      <c r="U412" s="924">
        <f>SUM(U410:U411)</f>
        <v>8340220</v>
      </c>
      <c r="V412" s="924"/>
      <c r="W412" s="924">
        <f>SUM(W410:W411)</f>
        <v>9118215</v>
      </c>
      <c r="X412" s="924"/>
      <c r="Y412" s="924">
        <f>SUM(Y410:Y411)</f>
        <v>6204407</v>
      </c>
      <c r="Z412" s="926"/>
      <c r="AA412" s="924">
        <f>SUM(AA410:AA411)</f>
        <v>1743835</v>
      </c>
      <c r="AB412" s="926"/>
      <c r="AC412" s="924">
        <f>SUM(AC410:AC411)</f>
        <v>188376</v>
      </c>
      <c r="AD412" s="928">
        <f t="shared" si="29"/>
        <v>29380284</v>
      </c>
      <c r="AE412" s="928"/>
    </row>
    <row r="413" spans="1:31">
      <c r="A413" s="910">
        <v>409</v>
      </c>
      <c r="B413" s="830"/>
    </row>
    <row r="414" spans="1:31">
      <c r="A414" s="910">
        <v>410</v>
      </c>
      <c r="B414" s="851" t="s">
        <v>2776</v>
      </c>
    </row>
    <row r="415" spans="1:31">
      <c r="A415" s="910">
        <v>411</v>
      </c>
      <c r="B415" s="830"/>
      <c r="G415" s="922"/>
      <c r="H415" s="924"/>
      <c r="I415" s="922"/>
      <c r="J415" s="924"/>
      <c r="K415" s="922"/>
      <c r="L415" s="924"/>
      <c r="M415" s="922"/>
      <c r="N415" s="924"/>
      <c r="O415" s="922"/>
      <c r="P415" s="924"/>
      <c r="Q415" s="922"/>
      <c r="R415" s="924"/>
      <c r="S415" s="922"/>
      <c r="T415" s="924"/>
      <c r="U415" s="922"/>
      <c r="V415" s="924"/>
      <c r="W415" s="922"/>
      <c r="X415" s="924"/>
      <c r="Y415" s="922"/>
      <c r="Z415" s="924"/>
      <c r="AA415" s="922"/>
      <c r="AB415" s="924"/>
      <c r="AC415" s="922"/>
      <c r="AD415" s="898">
        <f t="shared" ref="AD415:AD425" si="30">SUM(G415:AC415)</f>
        <v>0</v>
      </c>
    </row>
    <row r="416" spans="1:31">
      <c r="A416" s="910">
        <v>412</v>
      </c>
      <c r="B416" s="830" t="s">
        <v>2724</v>
      </c>
      <c r="G416" s="922">
        <v>625</v>
      </c>
      <c r="H416" s="924"/>
      <c r="I416" s="922">
        <v>625</v>
      </c>
      <c r="J416" s="924"/>
      <c r="K416" s="922">
        <v>625</v>
      </c>
      <c r="L416" s="924"/>
      <c r="M416" s="922">
        <v>625</v>
      </c>
      <c r="N416" s="924"/>
      <c r="O416" s="922">
        <v>625</v>
      </c>
      <c r="P416" s="924"/>
      <c r="Q416" s="922">
        <v>625</v>
      </c>
      <c r="R416" s="924"/>
      <c r="S416" s="922">
        <v>625</v>
      </c>
      <c r="T416" s="924"/>
      <c r="U416" s="922">
        <v>625</v>
      </c>
      <c r="V416" s="924"/>
      <c r="W416" s="898">
        <v>625</v>
      </c>
      <c r="Y416" s="898">
        <v>625</v>
      </c>
      <c r="AA416" s="898">
        <v>625</v>
      </c>
      <c r="AC416" s="898">
        <v>625</v>
      </c>
      <c r="AD416" s="898">
        <f t="shared" si="30"/>
        <v>7500</v>
      </c>
    </row>
    <row r="417" spans="1:31">
      <c r="A417" s="910">
        <v>413</v>
      </c>
      <c r="B417" s="830" t="s">
        <v>2714</v>
      </c>
      <c r="G417" s="922">
        <v>32.99</v>
      </c>
      <c r="H417" s="924"/>
      <c r="J417" s="924"/>
      <c r="K417" s="922">
        <v>15.68</v>
      </c>
      <c r="L417" s="924"/>
      <c r="M417" s="922">
        <v>44.94</v>
      </c>
      <c r="N417" s="924"/>
      <c r="O417" s="922">
        <v>3.5</v>
      </c>
      <c r="P417" s="924"/>
      <c r="Q417" s="922">
        <v>84.02</v>
      </c>
      <c r="R417" s="924"/>
      <c r="S417" s="922"/>
      <c r="T417" s="924"/>
      <c r="U417" s="922"/>
      <c r="V417" s="924"/>
      <c r="W417" s="898">
        <v>58.9</v>
      </c>
      <c r="Y417" s="922">
        <v>180.54</v>
      </c>
      <c r="Z417" s="924"/>
      <c r="AA417" s="922">
        <v>23.61</v>
      </c>
      <c r="AB417" s="924"/>
      <c r="AC417" s="922">
        <v>23.13</v>
      </c>
      <c r="AD417" s="898">
        <f t="shared" si="30"/>
        <v>467.31</v>
      </c>
    </row>
    <row r="418" spans="1:31">
      <c r="A418" s="910">
        <v>414</v>
      </c>
      <c r="B418" s="830" t="s">
        <v>2777</v>
      </c>
      <c r="G418" s="922">
        <v>824.68</v>
      </c>
      <c r="H418" s="924"/>
      <c r="J418" s="924"/>
      <c r="K418" s="922">
        <v>392.01</v>
      </c>
      <c r="L418" s="924"/>
      <c r="M418" s="922">
        <v>1123.5</v>
      </c>
      <c r="N418" s="924"/>
      <c r="O418" s="922">
        <v>87.45</v>
      </c>
      <c r="P418" s="924"/>
      <c r="Q418" s="922">
        <v>2100.6</v>
      </c>
      <c r="R418" s="924"/>
      <c r="S418" s="922"/>
      <c r="T418" s="924"/>
      <c r="U418" s="922"/>
      <c r="V418" s="924"/>
      <c r="W418" s="898">
        <v>1472.5</v>
      </c>
      <c r="Y418" s="922">
        <v>4513.49</v>
      </c>
      <c r="Z418" s="924"/>
      <c r="AA418" s="922">
        <v>590.22</v>
      </c>
      <c r="AB418" s="924"/>
      <c r="AC418" s="922">
        <v>578.19000000000005</v>
      </c>
      <c r="AD418" s="898">
        <f t="shared" si="30"/>
        <v>11682.64</v>
      </c>
    </row>
    <row r="419" spans="1:31">
      <c r="A419" s="910">
        <v>415</v>
      </c>
      <c r="B419" s="830" t="s">
        <v>2774</v>
      </c>
      <c r="G419" s="922">
        <v>13075.32</v>
      </c>
      <c r="H419" s="924"/>
      <c r="I419" s="922">
        <v>13900</v>
      </c>
      <c r="J419" s="924"/>
      <c r="K419" s="922">
        <v>13507.99</v>
      </c>
      <c r="L419" s="924"/>
      <c r="M419" s="922">
        <v>12776.5</v>
      </c>
      <c r="N419" s="924"/>
      <c r="O419" s="922">
        <v>13812.55</v>
      </c>
      <c r="P419" s="924"/>
      <c r="Q419" s="898">
        <v>11799.4</v>
      </c>
      <c r="S419" s="922"/>
      <c r="T419" s="924"/>
      <c r="U419" s="898">
        <v>13900</v>
      </c>
      <c r="W419" s="898">
        <v>12427.5</v>
      </c>
      <c r="Y419" s="922">
        <v>9386.51</v>
      </c>
      <c r="Z419" s="924"/>
      <c r="AA419" s="922">
        <v>13309.78</v>
      </c>
      <c r="AB419" s="924"/>
      <c r="AC419" s="922">
        <v>13321.81</v>
      </c>
      <c r="AD419" s="898">
        <f t="shared" si="30"/>
        <v>141217.35999999999</v>
      </c>
    </row>
    <row r="420" spans="1:31">
      <c r="A420" s="910">
        <v>416</v>
      </c>
      <c r="B420" s="830" t="s">
        <v>2719</v>
      </c>
      <c r="G420" s="922">
        <v>645.06000000000006</v>
      </c>
      <c r="H420" s="924"/>
      <c r="I420" s="922">
        <v>643.6</v>
      </c>
      <c r="J420" s="924"/>
      <c r="K420" s="922">
        <v>644.30000000000007</v>
      </c>
      <c r="L420" s="924"/>
      <c r="M420" s="922">
        <v>645.59</v>
      </c>
      <c r="N420" s="924"/>
      <c r="O420" s="922">
        <v>643.76</v>
      </c>
      <c r="P420" s="924"/>
      <c r="Q420" s="922">
        <v>647.33000000000004</v>
      </c>
      <c r="R420" s="924"/>
      <c r="S420" s="922"/>
      <c r="T420" s="924"/>
      <c r="U420" s="922">
        <v>643.6</v>
      </c>
      <c r="V420" s="924"/>
      <c r="W420" s="898">
        <v>646.21</v>
      </c>
      <c r="Y420" s="922">
        <v>651.6</v>
      </c>
      <c r="Z420" s="924"/>
      <c r="AA420" s="922">
        <v>644.65</v>
      </c>
      <c r="AB420" s="924"/>
      <c r="AC420" s="922">
        <v>644.63</v>
      </c>
      <c r="AD420" s="898">
        <f t="shared" si="30"/>
        <v>7100.3300000000008</v>
      </c>
    </row>
    <row r="421" spans="1:31">
      <c r="A421" s="910">
        <v>417</v>
      </c>
      <c r="B421" s="830" t="s">
        <v>2677</v>
      </c>
      <c r="G421" s="922"/>
      <c r="H421" s="924"/>
      <c r="I421" s="922"/>
      <c r="J421" s="924"/>
      <c r="K421" s="922"/>
      <c r="L421" s="924"/>
      <c r="M421" s="922"/>
      <c r="N421" s="924"/>
      <c r="O421" s="922"/>
      <c r="P421" s="924"/>
      <c r="Q421" s="922"/>
      <c r="R421" s="924"/>
      <c r="S421" s="922"/>
      <c r="T421" s="924"/>
      <c r="U421" s="922"/>
      <c r="V421" s="924"/>
      <c r="AD421" s="898">
        <f t="shared" si="30"/>
        <v>0</v>
      </c>
    </row>
    <row r="422" spans="1:31">
      <c r="A422" s="910">
        <v>418</v>
      </c>
      <c r="B422" s="830" t="s">
        <v>2884</v>
      </c>
      <c r="G422" s="922">
        <f>SUM(G416:G421)</f>
        <v>15203.05</v>
      </c>
      <c r="H422" s="922"/>
      <c r="I422" s="922">
        <f>SUM(I416:I421)</f>
        <v>15168.6</v>
      </c>
      <c r="J422" s="922"/>
      <c r="K422" s="922">
        <f>SUM(K416:K421)</f>
        <v>15184.98</v>
      </c>
      <c r="L422" s="922"/>
      <c r="M422" s="922">
        <f>SUM(M416:M421)</f>
        <v>15215.53</v>
      </c>
      <c r="N422" s="922"/>
      <c r="O422" s="922">
        <f>SUM(O416:O421)</f>
        <v>15172.26</v>
      </c>
      <c r="P422" s="922"/>
      <c r="Q422" s="922">
        <f>SUM(Q416:Q421)</f>
        <v>15256.35</v>
      </c>
      <c r="R422" s="922"/>
      <c r="S422" s="922">
        <f>SUM(S416:S421)</f>
        <v>625</v>
      </c>
      <c r="T422" s="922"/>
      <c r="U422" s="922">
        <f>SUM(U416:U421)</f>
        <v>15168.6</v>
      </c>
      <c r="V422" s="922"/>
      <c r="W422" s="922">
        <f>SUM(W416:W421)</f>
        <v>15230.11</v>
      </c>
      <c r="X422" s="922"/>
      <c r="Y422" s="922">
        <f>SUM(Y416:Y421)</f>
        <v>15357.140000000001</v>
      </c>
      <c r="Z422" s="922"/>
      <c r="AA422" s="922">
        <f>SUM(AA416:AA421)</f>
        <v>15193.26</v>
      </c>
      <c r="AB422" s="922"/>
      <c r="AC422" s="922">
        <f>SUM(AC416:AC421)</f>
        <v>15192.759999999998</v>
      </c>
      <c r="AD422" s="898">
        <f t="shared" si="30"/>
        <v>167967.64000000004</v>
      </c>
    </row>
    <row r="423" spans="1:31">
      <c r="A423" s="910">
        <v>419</v>
      </c>
      <c r="B423" s="830" t="s">
        <v>2514</v>
      </c>
      <c r="F423" s="928"/>
      <c r="G423" s="937">
        <v>82468</v>
      </c>
      <c r="H423" s="926"/>
      <c r="I423" s="926"/>
      <c r="J423" s="926"/>
      <c r="K423" s="924">
        <v>39201</v>
      </c>
      <c r="L423" s="924"/>
      <c r="M423" s="924">
        <v>112350</v>
      </c>
      <c r="N423" s="924"/>
      <c r="O423" s="924">
        <v>8745</v>
      </c>
      <c r="P423" s="926"/>
      <c r="Q423" s="924">
        <v>210060</v>
      </c>
      <c r="R423" s="926"/>
      <c r="S423" s="926"/>
      <c r="T423" s="926"/>
      <c r="U423" s="926"/>
      <c r="V423" s="926"/>
      <c r="W423" s="899">
        <v>147250</v>
      </c>
      <c r="X423" s="928"/>
      <c r="Y423" s="899">
        <v>451349</v>
      </c>
      <c r="Z423" s="928"/>
      <c r="AA423" s="924">
        <v>59022</v>
      </c>
      <c r="AB423" s="926"/>
      <c r="AC423" s="924">
        <v>57819</v>
      </c>
      <c r="AD423" s="928">
        <f t="shared" si="30"/>
        <v>1168264</v>
      </c>
      <c r="AE423" s="928"/>
    </row>
    <row r="424" spans="1:31">
      <c r="A424" s="910">
        <v>420</v>
      </c>
      <c r="B424" s="830" t="s">
        <v>2885</v>
      </c>
      <c r="F424" s="928"/>
      <c r="G424" s="928"/>
      <c r="H424" s="928"/>
      <c r="I424" s="928"/>
      <c r="J424" s="928"/>
      <c r="K424" s="899"/>
      <c r="M424" s="899"/>
      <c r="O424" s="899"/>
      <c r="P424" s="928"/>
      <c r="Q424" s="928"/>
      <c r="R424" s="928"/>
      <c r="S424" s="926"/>
      <c r="T424" s="926"/>
      <c r="U424" s="926"/>
      <c r="V424" s="926"/>
      <c r="W424" s="899"/>
      <c r="X424" s="928"/>
      <c r="Y424" s="899"/>
      <c r="Z424" s="928"/>
      <c r="AA424" s="899"/>
      <c r="AB424" s="928"/>
      <c r="AC424" s="899"/>
      <c r="AD424" s="928">
        <f t="shared" si="30"/>
        <v>0</v>
      </c>
      <c r="AE424" s="928"/>
    </row>
    <row r="425" spans="1:31">
      <c r="A425" s="910">
        <v>421</v>
      </c>
      <c r="B425" s="830" t="s">
        <v>2886</v>
      </c>
      <c r="F425" s="928"/>
      <c r="G425" s="924">
        <f>SUM(G423:G424)</f>
        <v>82468</v>
      </c>
      <c r="H425" s="926"/>
      <c r="I425" s="926">
        <f>SUM(I423:I424)</f>
        <v>0</v>
      </c>
      <c r="J425" s="926"/>
      <c r="K425" s="924">
        <f>SUM(K423:K424)</f>
        <v>39201</v>
      </c>
      <c r="L425" s="924"/>
      <c r="M425" s="924">
        <f>SUM(M423:M424)</f>
        <v>112350</v>
      </c>
      <c r="N425" s="924"/>
      <c r="O425" s="924">
        <f>SUM(O423:O424)</f>
        <v>8745</v>
      </c>
      <c r="P425" s="926"/>
      <c r="Q425" s="924">
        <f>SUM(Q423:Q424)</f>
        <v>210060</v>
      </c>
      <c r="R425" s="926"/>
      <c r="S425" s="926">
        <f>SUM(S423:S424)</f>
        <v>0</v>
      </c>
      <c r="T425" s="926"/>
      <c r="U425" s="926">
        <f>SUM(U423:U424)</f>
        <v>0</v>
      </c>
      <c r="V425" s="926"/>
      <c r="W425" s="924">
        <f>SUM(W423:W424)</f>
        <v>147250</v>
      </c>
      <c r="X425" s="926"/>
      <c r="Y425" s="924">
        <f>SUM(Y423:Y424)</f>
        <v>451349</v>
      </c>
      <c r="Z425" s="926"/>
      <c r="AA425" s="924">
        <f>SUM(AA423:AA424)</f>
        <v>59022</v>
      </c>
      <c r="AB425" s="926"/>
      <c r="AC425" s="924">
        <f>SUM(AC423:AC424)</f>
        <v>57819</v>
      </c>
      <c r="AD425" s="928">
        <f t="shared" si="30"/>
        <v>1168264</v>
      </c>
      <c r="AE425" s="928"/>
    </row>
    <row r="426" spans="1:31">
      <c r="A426" s="910">
        <v>422</v>
      </c>
      <c r="B426" s="830"/>
    </row>
    <row r="427" spans="1:31">
      <c r="A427" s="910">
        <v>423</v>
      </c>
    </row>
    <row r="428" spans="1:31">
      <c r="A428" s="910">
        <v>424</v>
      </c>
      <c r="G428" s="898">
        <f>SUM(G422,G409,G393,G379,G352,G333,G313,G299,G285,G271,G257,G243,G214,G193,G43,G174,G122,G68,G24,G95,G148)</f>
        <v>29321342.359999992</v>
      </c>
      <c r="H428" s="898"/>
      <c r="I428" s="898">
        <f>SUM(I422,I409,I393,I379,I352,I333,I313,I299,I285,I271,I257,I243,I214,I193,I43,I174,I122,I68,I24,I95,I148)</f>
        <v>31207132.84</v>
      </c>
      <c r="J428" s="898"/>
      <c r="K428" s="898">
        <f>SUM(K422,K409,K393,K379,K352,K333,K313,K299,K285,K271,K257,K243,K214,K193,K43,K174,K122,K68,K24,K95,K148)</f>
        <v>33981997.990000002</v>
      </c>
      <c r="L428" s="898"/>
      <c r="M428" s="898">
        <f>SUM(M422,M409,M393,M379,M352,M333,M313,M299,M285,M271,M257,M243,M214,M193,M43,M174,M122,M68,M24,M95,M148)</f>
        <v>21313581.369999997</v>
      </c>
      <c r="N428" s="898"/>
      <c r="O428" s="898">
        <f>SUM(O422,O409,O393,O379,O352,O333,O313,O299,O285,O271,O257,O243,O214,O193,O43,O174,O122,O68,O24,O95,O148)</f>
        <v>14959410.870000001</v>
      </c>
      <c r="P428" s="898"/>
      <c r="Q428" s="898">
        <f>SUM(Q422,Q409,Q393,Q379,Q352,Q333,Q313,Q299,Q285,Q271,Q257,Q243,Q214,Q193,Q43,Q174,Q122,Q68,Q24,Q95,Q148)</f>
        <v>10293675.379999999</v>
      </c>
      <c r="R428" s="898"/>
      <c r="S428" s="898">
        <f>SUM(S422,S409,S393,S379,S352,S333,S313,S299,S285,S271,S257,S243,S214,S193,S43,S174,S122,S68,S24,S95,S148)</f>
        <v>9248163.6600000001</v>
      </c>
      <c r="T428" s="898"/>
      <c r="U428" s="898">
        <f>SUM(U422,U409,U393,U379,U352,U333,U313,U299,U285,U271,U257,U243,U214,U193,U43,U174,U122,U68,U24,U95,U148)</f>
        <v>8947469.3900000062</v>
      </c>
      <c r="V428" s="898"/>
      <c r="W428" s="898">
        <f>SUM(W422,W409,W393,W379,W352,W333,W313,W299,W285,W271,W257,W243,W214,W193,W43,W174,W122,W68,W24,W95,W148)</f>
        <v>8854782.6900000069</v>
      </c>
      <c r="X428" s="898"/>
      <c r="Y428" s="898">
        <f>SUM(Y422,Y409,Y393,Y379,Y352,Y333,Y313,Y299,Y285,Y271,Y257,Y243,Y214,Y193,Y43,Y174,Y122,Y68,Y24,Y95,Y148)</f>
        <v>14346444.619999999</v>
      </c>
      <c r="Z428" s="898"/>
      <c r="AA428" s="898">
        <f>SUM(AA422,AA409,AA393,AA379,AA352,AA333,AA313,AA299,AA285,AA271,AA257,AA243,AA214,AA193,AA43,AA174,AA122,AA68,AA24,AA95,AA148)</f>
        <v>22762623.07000003</v>
      </c>
      <c r="AB428" s="898"/>
      <c r="AC428" s="898">
        <f>SUM(AC422,AC409,AC393,AC379,AC352,AC333,AC313,AC299,AC285,AC271,AC257,AC243,AC214,AC193,AC43,AC174,AC122,AC68,AC24,AC95,AC148)</f>
        <v>33891699.530000024</v>
      </c>
    </row>
    <row r="429" spans="1:31">
      <c r="A429" s="910">
        <v>425</v>
      </c>
      <c r="B429" s="910" t="s">
        <v>2899</v>
      </c>
      <c r="G429" s="898">
        <v>29321342.359999999</v>
      </c>
      <c r="I429" s="898">
        <v>31207117.949999999</v>
      </c>
      <c r="K429" s="898">
        <v>33981997.990000002</v>
      </c>
      <c r="L429" s="952"/>
      <c r="M429" s="898">
        <v>21313581.370000001</v>
      </c>
      <c r="O429" s="898">
        <v>14959410.869999999</v>
      </c>
      <c r="Q429" s="898">
        <v>10293675.380000001</v>
      </c>
      <c r="S429" s="898">
        <v>9248163.6600000001</v>
      </c>
      <c r="U429" s="898">
        <v>8947469.3900000006</v>
      </c>
      <c r="W429" s="898">
        <v>8854782.6899999995</v>
      </c>
      <c r="Y429" s="898">
        <v>14346444.619999999</v>
      </c>
      <c r="AA429" s="898">
        <v>22762623.07</v>
      </c>
      <c r="AC429" s="898">
        <v>33891699.530000001</v>
      </c>
    </row>
    <row r="430" spans="1:31">
      <c r="A430" s="910">
        <v>426</v>
      </c>
      <c r="G430" s="898">
        <f>G428-G429</f>
        <v>0</v>
      </c>
      <c r="I430" s="898">
        <f>I428-I429</f>
        <v>14.890000000596046</v>
      </c>
      <c r="K430" s="898">
        <f>K428-K429</f>
        <v>0</v>
      </c>
      <c r="M430" s="898">
        <f>M428-M429</f>
        <v>0</v>
      </c>
      <c r="O430" s="898">
        <f>O428-O429</f>
        <v>0</v>
      </c>
      <c r="Q430" s="898">
        <f>Q428-Q429</f>
        <v>0</v>
      </c>
      <c r="S430" s="898">
        <f>S428-S429</f>
        <v>0</v>
      </c>
      <c r="U430" s="898">
        <f>U428-U429</f>
        <v>0</v>
      </c>
      <c r="W430" s="898">
        <f>W428-W429</f>
        <v>0</v>
      </c>
      <c r="Y430" s="898">
        <f>Y428-Y429</f>
        <v>0</v>
      </c>
      <c r="AA430" s="898">
        <f>AA428-AA429</f>
        <v>2.9802322387695313E-8</v>
      </c>
      <c r="AC430" s="898">
        <f>AC428-AC429</f>
        <v>0</v>
      </c>
    </row>
    <row r="431" spans="1:31">
      <c r="C431" s="953"/>
      <c r="D431" s="953"/>
    </row>
    <row r="432" spans="1:31">
      <c r="C432" s="830"/>
      <c r="D432" s="830"/>
    </row>
    <row r="433" spans="2:30">
      <c r="C433" s="830"/>
      <c r="D433" s="830"/>
    </row>
    <row r="434" spans="2:30">
      <c r="C434" s="830"/>
      <c r="D434" s="830"/>
      <c r="F434" s="899">
        <f>SUM('1501 Summary'!F220,'1501 Summary'!F319,'1501 Summary'!F339,'1501 Summary'!F358,'1501 Summary'!F249, F74)</f>
        <v>191</v>
      </c>
      <c r="H434" s="899">
        <f>SUM('1501 Summary'!H220,'1501 Summary'!H319,'1501 Summary'!H339,'1501 Summary'!H358,'1501 Summary'!H249, H74)</f>
        <v>191</v>
      </c>
      <c r="J434" s="899">
        <f>SUM('1501 Summary'!J220,'1501 Summary'!J319,'1501 Summary'!J339,'1501 Summary'!J358,'1501 Summary'!J249, J74)</f>
        <v>190</v>
      </c>
      <c r="L434" s="899">
        <f>SUM('1501 Summary'!L220,'1501 Summary'!L319,'1501 Summary'!L339,'1501 Summary'!L358,'1501 Summary'!L249, L74)</f>
        <v>190</v>
      </c>
      <c r="N434" s="899">
        <f>SUM('1501 Summary'!N220,'1501 Summary'!N319,'1501 Summary'!N339,'1501 Summary'!N358,'1501 Summary'!N249, N74)</f>
        <v>192</v>
      </c>
      <c r="P434" s="899">
        <f>SUM('1501 Summary'!P220,'1501 Summary'!P319,'1501 Summary'!P339,'1501 Summary'!P358,'1501 Summary'!P249, P74)</f>
        <v>194</v>
      </c>
      <c r="R434" s="899">
        <f>SUM('1501 Summary'!R220,'1501 Summary'!R319,'1501 Summary'!R339,'1501 Summary'!R358,'1501 Summary'!R249, R74)</f>
        <v>193</v>
      </c>
      <c r="T434" s="899">
        <f>SUM('1501 Summary'!T220,'1501 Summary'!T319,'1501 Summary'!T339,'1501 Summary'!T358,'1501 Summary'!T249, T74)</f>
        <v>193</v>
      </c>
      <c r="V434" s="899">
        <f>SUM('1501 Summary'!V220,'1501 Summary'!V319,'1501 Summary'!V339,'1501 Summary'!V358,'1501 Summary'!V249, V74)</f>
        <v>192</v>
      </c>
      <c r="X434" s="899">
        <f>SUM('1501 Summary'!X220,'1501 Summary'!X319,'1501 Summary'!X339,'1501 Summary'!X358,'1501 Summary'!X249, X74)</f>
        <v>191</v>
      </c>
      <c r="Z434" s="899">
        <f>SUM('1501 Summary'!Z220,'1501 Summary'!Z319,'1501 Summary'!Z339,'1501 Summary'!Z358,'1501 Summary'!Z249, Z74)</f>
        <v>191</v>
      </c>
      <c r="AB434" s="899">
        <f>SUM('1501 Summary'!AB220,'1501 Summary'!AB319,'1501 Summary'!AB339,'1501 Summary'!AB358,'1501 Summary'!AB249, AB74)</f>
        <v>193</v>
      </c>
      <c r="AD434" s="899"/>
    </row>
    <row r="435" spans="2:30">
      <c r="C435" s="897"/>
      <c r="D435" s="897"/>
      <c r="F435" s="899">
        <f>F434</f>
        <v>191</v>
      </c>
      <c r="H435" s="899">
        <f>H434</f>
        <v>191</v>
      </c>
      <c r="J435" s="899">
        <f>J434</f>
        <v>190</v>
      </c>
      <c r="L435" s="899">
        <f>L434</f>
        <v>190</v>
      </c>
      <c r="N435" s="899">
        <f>N434</f>
        <v>192</v>
      </c>
      <c r="P435" s="899">
        <f>P434</f>
        <v>194</v>
      </c>
      <c r="R435" s="899">
        <f>R434</f>
        <v>193</v>
      </c>
      <c r="T435" s="899">
        <f>T434</f>
        <v>193</v>
      </c>
      <c r="V435" s="899">
        <f>V434</f>
        <v>192</v>
      </c>
      <c r="X435" s="899">
        <f>X434</f>
        <v>191</v>
      </c>
      <c r="Z435" s="899">
        <f>Z434</f>
        <v>191</v>
      </c>
      <c r="AB435" s="899">
        <f>AB434</f>
        <v>193</v>
      </c>
    </row>
    <row r="436" spans="2:30">
      <c r="C436" s="830"/>
      <c r="D436" s="830"/>
      <c r="F436" s="899">
        <f>SUM('1501 Summary'!F220,'1501 Summary'!F319,'1501 Summary'!F339,'1501 Summary'!F358, F74)</f>
        <v>190</v>
      </c>
      <c r="H436" s="899">
        <f>SUM('1501 Summary'!H220,'1501 Summary'!H319,'1501 Summary'!H339,'1501 Summary'!H358, H74)</f>
        <v>190</v>
      </c>
      <c r="J436" s="899">
        <f>SUM('1501 Summary'!J220,'1501 Summary'!J319,'1501 Summary'!J339,'1501 Summary'!J358, J74)</f>
        <v>189</v>
      </c>
      <c r="L436" s="899">
        <f>SUM('1501 Summary'!L220,'1501 Summary'!L319,'1501 Summary'!L339,'1501 Summary'!L358, L74)</f>
        <v>189</v>
      </c>
      <c r="N436" s="899">
        <f>SUM('1501 Summary'!N220,'1501 Summary'!N319,'1501 Summary'!N339,'1501 Summary'!N358, N74)</f>
        <v>191</v>
      </c>
      <c r="P436" s="899">
        <f>SUM('1501 Summary'!P220,'1501 Summary'!P319,'1501 Summary'!P339,'1501 Summary'!P358, P74)</f>
        <v>193</v>
      </c>
      <c r="R436" s="899">
        <f>SUM('1501 Summary'!R220,'1501 Summary'!R319,'1501 Summary'!R339,'1501 Summary'!R358, R74)</f>
        <v>192</v>
      </c>
      <c r="T436" s="899">
        <f>SUM('1501 Summary'!T220,'1501 Summary'!T319,'1501 Summary'!T339,'1501 Summary'!T358, T74)</f>
        <v>192</v>
      </c>
      <c r="V436" s="899">
        <f>SUM('1501 Summary'!V220,'1501 Summary'!V319,'1501 Summary'!V339,'1501 Summary'!V358, V74)</f>
        <v>191</v>
      </c>
      <c r="X436" s="899">
        <f>SUM('1501 Summary'!X220,'1501 Summary'!X319,'1501 Summary'!X339,'1501 Summary'!X358, X74)</f>
        <v>190</v>
      </c>
      <c r="Z436" s="899">
        <f>SUM('1501 Summary'!Z220,'1501 Summary'!Z319,'1501 Summary'!Z339,'1501 Summary'!Z358, Z74)</f>
        <v>190</v>
      </c>
      <c r="AB436" s="899">
        <f>SUM('1501 Summary'!AB220,'1501 Summary'!AB319,'1501 Summary'!AB339,'1501 Summary'!AB358, AB74)</f>
        <v>192</v>
      </c>
    </row>
    <row r="437" spans="2:30">
      <c r="C437" s="830"/>
      <c r="D437" s="830"/>
    </row>
    <row r="438" spans="2:30">
      <c r="C438" s="830"/>
      <c r="D438" s="830"/>
    </row>
    <row r="439" spans="2:30">
      <c r="C439" s="830"/>
      <c r="D439" s="830"/>
    </row>
    <row r="440" spans="2:30">
      <c r="C440" s="830"/>
      <c r="D440" s="830"/>
    </row>
    <row r="441" spans="2:30">
      <c r="C441" s="830"/>
      <c r="D441" s="830"/>
    </row>
    <row r="442" spans="2:30">
      <c r="C442" s="830"/>
      <c r="D442" s="830"/>
    </row>
    <row r="443" spans="2:30">
      <c r="B443" s="942"/>
      <c r="C443" s="898"/>
      <c r="D443" s="898"/>
      <c r="E443" s="939"/>
    </row>
    <row r="444" spans="2:30">
      <c r="B444" s="942"/>
      <c r="C444" s="898"/>
      <c r="D444" s="898"/>
      <c r="E444" s="939"/>
    </row>
    <row r="445" spans="2:30">
      <c r="B445" s="942"/>
      <c r="C445" s="893"/>
      <c r="D445" s="893"/>
      <c r="E445" s="939"/>
    </row>
    <row r="446" spans="2:30">
      <c r="B446" s="830"/>
      <c r="C446" s="830"/>
      <c r="D446" s="830"/>
      <c r="E446" s="939"/>
    </row>
    <row r="447" spans="2:30">
      <c r="B447" s="942"/>
      <c r="C447" s="898"/>
      <c r="D447" s="898"/>
      <c r="E447" s="939"/>
    </row>
    <row r="448" spans="2:30">
      <c r="B448" s="830"/>
      <c r="C448" s="830"/>
      <c r="D448" s="830"/>
      <c r="E448" s="939"/>
    </row>
    <row r="449" spans="2:5">
      <c r="B449" s="954"/>
      <c r="C449" s="830"/>
      <c r="D449" s="830"/>
      <c r="E449" s="939"/>
    </row>
    <row r="450" spans="2:5">
      <c r="B450" s="830"/>
      <c r="C450" s="898"/>
      <c r="D450" s="898"/>
      <c r="E450" s="939"/>
    </row>
    <row r="451" spans="2:5">
      <c r="B451" s="830"/>
      <c r="C451" s="898"/>
      <c r="D451" s="898"/>
      <c r="E451" s="939"/>
    </row>
    <row r="452" spans="2:5">
      <c r="B452" s="830"/>
      <c r="C452" s="898"/>
      <c r="D452" s="898"/>
      <c r="E452" s="939"/>
    </row>
    <row r="453" spans="2:5">
      <c r="B453" s="830"/>
      <c r="C453" s="898"/>
      <c r="D453" s="898"/>
      <c r="E453" s="939"/>
    </row>
    <row r="454" spans="2:5">
      <c r="B454" s="830"/>
      <c r="C454" s="898"/>
      <c r="D454" s="898"/>
      <c r="E454" s="939"/>
    </row>
    <row r="455" spans="2:5">
      <c r="B455" s="951"/>
      <c r="C455" s="898"/>
      <c r="D455" s="898"/>
      <c r="E455" s="939"/>
    </row>
    <row r="456" spans="2:5">
      <c r="B456" s="951"/>
      <c r="C456" s="898"/>
      <c r="D456" s="898"/>
      <c r="E456" s="939"/>
    </row>
    <row r="457" spans="2:5">
      <c r="B457" s="951"/>
      <c r="C457" s="898"/>
      <c r="D457" s="898"/>
      <c r="E457" s="939"/>
    </row>
    <row r="458" spans="2:5">
      <c r="B458" s="942"/>
      <c r="C458" s="898"/>
      <c r="D458" s="898"/>
    </row>
    <row r="459" spans="2:5">
      <c r="B459" s="942"/>
      <c r="C459" s="898"/>
      <c r="D459" s="898"/>
      <c r="E459" s="939"/>
    </row>
    <row r="460" spans="2:5">
      <c r="B460" s="942"/>
      <c r="C460" s="898"/>
      <c r="D460" s="898"/>
    </row>
    <row r="461" spans="2:5">
      <c r="B461" s="942"/>
      <c r="C461" s="898"/>
      <c r="D461" s="898"/>
      <c r="E461" s="939"/>
    </row>
    <row r="462" spans="2:5">
      <c r="B462" s="830"/>
      <c r="C462" s="898"/>
      <c r="D462" s="898"/>
      <c r="E462" s="939"/>
    </row>
    <row r="463" spans="2:5">
      <c r="B463" s="942"/>
      <c r="C463" s="898"/>
      <c r="D463" s="898"/>
      <c r="E463" s="939"/>
    </row>
    <row r="464" spans="2:5">
      <c r="B464" s="942"/>
      <c r="C464" s="898"/>
      <c r="D464" s="898"/>
      <c r="E464" s="939"/>
    </row>
    <row r="465" spans="2:41">
      <c r="B465" s="942"/>
      <c r="C465" s="898"/>
      <c r="D465" s="898"/>
      <c r="E465" s="939"/>
    </row>
    <row r="466" spans="2:41">
      <c r="B466" s="942"/>
      <c r="C466" s="898"/>
      <c r="D466" s="898"/>
      <c r="E466" s="939"/>
    </row>
    <row r="467" spans="2:41">
      <c r="B467" s="942"/>
      <c r="C467" s="898"/>
      <c r="D467" s="898"/>
      <c r="E467" s="939"/>
    </row>
    <row r="468" spans="2:41">
      <c r="B468" s="942"/>
      <c r="C468" s="898"/>
      <c r="D468" s="898"/>
      <c r="E468" s="939"/>
    </row>
    <row r="469" spans="2:41">
      <c r="B469" s="942"/>
      <c r="C469" s="898"/>
      <c r="D469" s="898"/>
      <c r="E469" s="939"/>
    </row>
    <row r="470" spans="2:41">
      <c r="B470" s="942"/>
      <c r="C470" s="898"/>
      <c r="D470" s="898"/>
      <c r="E470" s="939"/>
    </row>
    <row r="471" spans="2:41">
      <c r="B471" s="942"/>
      <c r="C471" s="898"/>
      <c r="D471" s="898"/>
      <c r="E471" s="939"/>
    </row>
    <row r="472" spans="2:41">
      <c r="B472" s="942"/>
      <c r="C472" s="898"/>
      <c r="D472" s="898"/>
      <c r="E472" s="939"/>
    </row>
    <row r="473" spans="2:41">
      <c r="B473" s="942"/>
      <c r="C473" s="898"/>
      <c r="D473" s="898"/>
      <c r="E473" s="939"/>
      <c r="G473" s="910"/>
      <c r="I473" s="910"/>
      <c r="K473" s="910"/>
      <c r="M473" s="910"/>
      <c r="O473" s="910"/>
      <c r="Q473" s="910"/>
      <c r="S473" s="910"/>
      <c r="U473" s="910"/>
      <c r="W473" s="910"/>
      <c r="Y473" s="910"/>
      <c r="AA473" s="910"/>
      <c r="AC473" s="910"/>
      <c r="AD473" s="910"/>
      <c r="AE473" s="910"/>
      <c r="AF473" s="910"/>
      <c r="AG473" s="910"/>
      <c r="AH473" s="910"/>
      <c r="AI473" s="910"/>
      <c r="AJ473" s="910"/>
      <c r="AK473" s="910"/>
      <c r="AL473" s="910"/>
      <c r="AM473" s="910"/>
      <c r="AN473" s="910"/>
      <c r="AO473" s="910"/>
    </row>
    <row r="474" spans="2:41">
      <c r="B474" s="942"/>
      <c r="C474" s="898"/>
      <c r="D474" s="898"/>
      <c r="E474" s="939"/>
    </row>
    <row r="475" spans="2:41">
      <c r="B475" s="942"/>
      <c r="C475" s="898"/>
      <c r="D475" s="898"/>
      <c r="E475" s="939"/>
      <c r="G475" s="910"/>
      <c r="I475" s="910"/>
      <c r="K475" s="910"/>
      <c r="M475" s="910"/>
      <c r="O475" s="910"/>
      <c r="Q475" s="910"/>
      <c r="S475" s="910"/>
      <c r="U475" s="910"/>
      <c r="W475" s="910"/>
      <c r="Y475" s="910"/>
      <c r="AA475" s="910"/>
      <c r="AC475" s="910"/>
      <c r="AD475" s="910"/>
      <c r="AE475" s="910"/>
      <c r="AF475" s="910"/>
      <c r="AG475" s="910"/>
      <c r="AH475" s="910"/>
      <c r="AI475" s="910"/>
      <c r="AJ475" s="910"/>
      <c r="AK475" s="910"/>
      <c r="AL475" s="910"/>
      <c r="AM475" s="910"/>
      <c r="AN475" s="910"/>
      <c r="AO475" s="910"/>
    </row>
    <row r="476" spans="2:41">
      <c r="B476" s="942"/>
      <c r="C476" s="898"/>
      <c r="D476" s="898"/>
      <c r="E476" s="939"/>
      <c r="G476" s="910"/>
      <c r="I476" s="910"/>
      <c r="K476" s="910"/>
      <c r="M476" s="910"/>
      <c r="O476" s="910"/>
      <c r="Q476" s="910"/>
      <c r="S476" s="910"/>
      <c r="U476" s="910"/>
      <c r="W476" s="910"/>
      <c r="Y476" s="910"/>
      <c r="AA476" s="910"/>
      <c r="AC476" s="910"/>
      <c r="AD476" s="910"/>
      <c r="AE476" s="910"/>
      <c r="AF476" s="910"/>
      <c r="AG476" s="910"/>
      <c r="AH476" s="910"/>
      <c r="AI476" s="910"/>
      <c r="AJ476" s="910"/>
      <c r="AK476" s="910"/>
      <c r="AL476" s="910"/>
      <c r="AM476" s="910"/>
      <c r="AN476" s="910"/>
      <c r="AO476" s="910"/>
    </row>
    <row r="477" spans="2:41">
      <c r="B477" s="942"/>
      <c r="C477" s="898"/>
      <c r="D477" s="898"/>
      <c r="E477" s="939"/>
    </row>
    <row r="478" spans="2:41">
      <c r="B478" s="942"/>
      <c r="C478" s="898"/>
      <c r="D478" s="898"/>
      <c r="E478" s="939"/>
    </row>
    <row r="479" spans="2:41">
      <c r="B479" s="830"/>
      <c r="C479" s="898"/>
      <c r="D479" s="898"/>
      <c r="E479" s="939"/>
      <c r="F479" s="924"/>
      <c r="G479" s="922"/>
      <c r="H479" s="924"/>
      <c r="I479" s="922"/>
      <c r="J479" s="924"/>
      <c r="K479" s="922"/>
      <c r="L479" s="924"/>
      <c r="M479" s="922"/>
      <c r="N479" s="924"/>
      <c r="O479" s="922"/>
      <c r="P479" s="924"/>
      <c r="Q479" s="922"/>
      <c r="R479" s="924"/>
      <c r="S479" s="922"/>
      <c r="T479" s="924"/>
      <c r="V479" s="924"/>
      <c r="W479" s="922"/>
      <c r="AD479" s="955"/>
      <c r="AE479" s="955"/>
      <c r="AF479" s="955"/>
      <c r="AG479" s="950"/>
      <c r="AH479" s="950"/>
      <c r="AI479" s="950"/>
      <c r="AJ479" s="950"/>
      <c r="AL479" s="950"/>
    </row>
    <row r="480" spans="2:41">
      <c r="B480" s="942"/>
      <c r="C480" s="898"/>
      <c r="D480" s="898"/>
      <c r="E480" s="939"/>
    </row>
    <row r="481" spans="2:5">
      <c r="B481" s="942"/>
      <c r="C481" s="898"/>
      <c r="D481" s="898"/>
      <c r="E481" s="939"/>
    </row>
    <row r="482" spans="2:5">
      <c r="B482" s="942"/>
      <c r="C482" s="898"/>
      <c r="D482" s="898"/>
      <c r="E482" s="939"/>
    </row>
    <row r="483" spans="2:5">
      <c r="E483" s="939"/>
    </row>
    <row r="484" spans="2:5">
      <c r="C484" s="939"/>
      <c r="D484" s="939"/>
      <c r="E484" s="939"/>
    </row>
    <row r="486" spans="2:5">
      <c r="E486" s="939"/>
    </row>
    <row r="487" spans="2:5">
      <c r="E487" s="939"/>
    </row>
    <row r="488" spans="2:5">
      <c r="E488" s="939"/>
    </row>
    <row r="489" spans="2:5">
      <c r="E489" s="939"/>
    </row>
    <row r="492" spans="2:5">
      <c r="E492" s="939"/>
    </row>
    <row r="493" spans="2:5">
      <c r="E493" s="939"/>
    </row>
  </sheetData>
  <printOptions horizontalCentered="1"/>
  <pageMargins left="0.5" right="0.5" top="1" bottom="0.75" header="0.5" footer="0.3"/>
  <pageSetup scale="25" fitToHeight="0" orientation="landscape" horizontalDpi="1200" verticalDpi="1200" r:id="rId1"/>
  <headerFooter scaleWithDoc="0">
    <oddHeader>&amp;C&amp;9Cascade Natural Gas Corporation
1501 Summary
IDM WP-1.1&amp;R&amp;9Page &amp;P of &amp;N</oddHeader>
    <oddFooter>&amp;L&amp;A</oddFooter>
  </headerFooter>
  <rowBreaks count="4" manualBreakCount="4">
    <brk id="84" max="30" man="1"/>
    <brk id="176" max="30" man="1"/>
    <brk id="265" max="30" man="1"/>
    <brk id="364" max="30" man="1"/>
  </rowBreaks>
  <colBreaks count="1" manualBreakCount="1">
    <brk id="15" max="463"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21734-349B-4E44-8E7A-C56A6F5AECFC}">
  <sheetPr codeName="Sheet52">
    <tabColor theme="8" tint="0.79998168889431442"/>
    <pageSetUpPr fitToPage="1"/>
  </sheetPr>
  <dimension ref="A1:U449"/>
  <sheetViews>
    <sheetView zoomScale="80" zoomScaleNormal="80" workbookViewId="0">
      <pane xSplit="4" ySplit="4" topLeftCell="L5" activePane="bottomRight" state="frozen"/>
      <selection activeCell="F27" sqref="F27"/>
      <selection pane="topRight" activeCell="F27" sqref="F27"/>
      <selection pane="bottomLeft" activeCell="F27" sqref="F27"/>
      <selection pane="bottomRight" activeCell="F27" sqref="F27"/>
    </sheetView>
  </sheetViews>
  <sheetFormatPr defaultColWidth="7.5546875" defaultRowHeight="14.4"/>
  <cols>
    <col min="1" max="1" width="12.5546875" style="901" bestFit="1" customWidth="1"/>
    <col min="2" max="2" width="26.88671875" style="901" customWidth="1"/>
    <col min="3" max="4" width="7.5546875" style="956" customWidth="1"/>
    <col min="5" max="5" width="15.88671875" style="901" bestFit="1" customWidth="1"/>
    <col min="6" max="6" width="14" style="901" customWidth="1"/>
    <col min="7" max="7" width="14.88671875" style="901" customWidth="1"/>
    <col min="8" max="8" width="16.6640625" style="901" customWidth="1"/>
    <col min="9" max="9" width="16.88671875" style="901" customWidth="1"/>
    <col min="10" max="10" width="12.88671875" style="901" bestFit="1" customWidth="1"/>
    <col min="11" max="11" width="15.6640625" style="901" customWidth="1"/>
    <col min="12" max="12" width="14.5546875" style="901" customWidth="1"/>
    <col min="13" max="13" width="14.88671875" style="901" customWidth="1"/>
    <col min="14" max="14" width="16.44140625" style="901" customWidth="1"/>
    <col min="15" max="15" width="16.5546875" style="901" customWidth="1"/>
    <col min="16" max="16" width="17.6640625" style="901" customWidth="1"/>
    <col min="17" max="17" width="13.5546875" style="901" bestFit="1" customWidth="1"/>
    <col min="18" max="18" width="6.5546875" style="901" customWidth="1"/>
    <col min="19" max="19" width="7.5546875" style="901"/>
    <col min="20" max="20" width="12.5546875" style="901" bestFit="1" customWidth="1"/>
    <col min="21" max="21" width="18.88671875" style="901" bestFit="1" customWidth="1"/>
    <col min="22" max="16384" width="7.5546875" style="901"/>
  </cols>
  <sheetData>
    <row r="1" spans="1:21">
      <c r="A1" s="896" t="s">
        <v>2900</v>
      </c>
    </row>
    <row r="2" spans="1:21">
      <c r="E2" s="957" t="s">
        <v>2901</v>
      </c>
      <c r="F2" s="957" t="s">
        <v>2902</v>
      </c>
      <c r="G2" s="957" t="s">
        <v>2903</v>
      </c>
      <c r="H2" s="957" t="s">
        <v>2904</v>
      </c>
      <c r="I2" s="957" t="s">
        <v>2905</v>
      </c>
      <c r="J2" s="957" t="s">
        <v>2906</v>
      </c>
      <c r="K2" s="957" t="s">
        <v>2907</v>
      </c>
      <c r="L2" s="957" t="s">
        <v>2908</v>
      </c>
      <c r="M2" s="957" t="s">
        <v>2909</v>
      </c>
      <c r="N2" s="957" t="s">
        <v>2910</v>
      </c>
      <c r="O2" s="957" t="s">
        <v>2911</v>
      </c>
      <c r="P2" s="957" t="s">
        <v>2912</v>
      </c>
    </row>
    <row r="4" spans="1:21">
      <c r="E4" s="958">
        <v>43466</v>
      </c>
      <c r="F4" s="958">
        <v>43497</v>
      </c>
      <c r="G4" s="958">
        <v>43525</v>
      </c>
      <c r="H4" s="958">
        <v>43556</v>
      </c>
      <c r="I4" s="958">
        <v>43586</v>
      </c>
      <c r="J4" s="958">
        <v>43617</v>
      </c>
      <c r="K4" s="958">
        <v>43647</v>
      </c>
      <c r="L4" s="958">
        <v>43678</v>
      </c>
      <c r="M4" s="958">
        <v>43709</v>
      </c>
      <c r="N4" s="958">
        <v>43739</v>
      </c>
      <c r="O4" s="958">
        <v>43770</v>
      </c>
      <c r="P4" s="958">
        <v>43800</v>
      </c>
      <c r="Q4" s="959" t="s">
        <v>51</v>
      </c>
    </row>
    <row r="5" spans="1:21">
      <c r="A5" s="901" t="s">
        <v>2913</v>
      </c>
      <c r="B5" s="960" t="s">
        <v>2914</v>
      </c>
      <c r="C5" s="956" t="s">
        <v>777</v>
      </c>
      <c r="D5" s="956">
        <v>64</v>
      </c>
      <c r="E5" s="961"/>
      <c r="F5" s="961"/>
      <c r="G5" s="961"/>
      <c r="H5" s="961"/>
      <c r="I5" s="961"/>
      <c r="J5" s="961"/>
      <c r="K5" s="961"/>
      <c r="L5" s="961"/>
      <c r="M5" s="961"/>
      <c r="N5" s="961"/>
      <c r="O5" s="961"/>
      <c r="P5" s="961"/>
      <c r="R5" s="962"/>
    </row>
    <row r="6" spans="1:21">
      <c r="B6" s="901" t="s">
        <v>2514</v>
      </c>
      <c r="C6" s="956" t="s">
        <v>780</v>
      </c>
      <c r="D6" s="956">
        <v>64</v>
      </c>
      <c r="E6" s="963">
        <v>19425579</v>
      </c>
      <c r="F6" s="963">
        <v>20826493</v>
      </c>
      <c r="G6" s="963">
        <v>22406676</v>
      </c>
      <c r="H6" s="963">
        <v>12262358</v>
      </c>
      <c r="I6" s="963">
        <v>7409569</v>
      </c>
      <c r="J6" s="963">
        <v>4046705</v>
      </c>
      <c r="K6" s="963">
        <v>3217527</v>
      </c>
      <c r="L6" s="963">
        <v>2775098</v>
      </c>
      <c r="M6" s="963">
        <v>2691847</v>
      </c>
      <c r="N6" s="963">
        <v>6366467</v>
      </c>
      <c r="O6" s="963">
        <v>11628968</v>
      </c>
      <c r="P6" s="963">
        <v>17650518</v>
      </c>
      <c r="Q6" s="963">
        <f>SUM(E6:P6)</f>
        <v>130707805</v>
      </c>
      <c r="R6" s="962"/>
    </row>
    <row r="7" spans="1:21">
      <c r="B7" s="901" t="s">
        <v>2915</v>
      </c>
      <c r="C7" s="956" t="s">
        <v>781</v>
      </c>
      <c r="D7" s="956">
        <v>64</v>
      </c>
      <c r="E7" s="963">
        <v>13677389</v>
      </c>
      <c r="F7" s="963">
        <v>17127329</v>
      </c>
      <c r="G7" s="963">
        <v>11032733</v>
      </c>
      <c r="H7" s="963">
        <v>5722513</v>
      </c>
      <c r="I7" s="963">
        <v>3331371</v>
      </c>
      <c r="J7" s="963">
        <v>2187188</v>
      </c>
      <c r="K7" s="963">
        <v>2058587</v>
      </c>
      <c r="L7" s="963">
        <v>1100941</v>
      </c>
      <c r="M7" s="963">
        <v>2696601</v>
      </c>
      <c r="N7" s="963">
        <v>7415550</v>
      </c>
      <c r="O7" s="963">
        <v>11690320</v>
      </c>
      <c r="P7" s="963">
        <v>13833214</v>
      </c>
      <c r="Q7" s="963">
        <f t="shared" ref="Q7:Q90" si="0">SUM(E7:P7)</f>
        <v>91873736</v>
      </c>
      <c r="R7" s="962"/>
    </row>
    <row r="8" spans="1:21">
      <c r="B8" s="901" t="s">
        <v>2916</v>
      </c>
      <c r="C8" s="956" t="s">
        <v>782</v>
      </c>
      <c r="D8" s="956">
        <v>64</v>
      </c>
      <c r="E8" s="963">
        <v>13675573</v>
      </c>
      <c r="F8" s="963">
        <v>13677389</v>
      </c>
      <c r="G8" s="963">
        <v>17127329</v>
      </c>
      <c r="H8" s="963">
        <v>11032733</v>
      </c>
      <c r="I8" s="963">
        <v>5722513</v>
      </c>
      <c r="J8" s="963">
        <v>3331371</v>
      </c>
      <c r="K8" s="963">
        <v>2187188</v>
      </c>
      <c r="L8" s="963">
        <v>2058587</v>
      </c>
      <c r="M8" s="963">
        <v>1100941</v>
      </c>
      <c r="N8" s="963">
        <v>2696601</v>
      </c>
      <c r="O8" s="963">
        <v>7415550</v>
      </c>
      <c r="P8" s="963">
        <v>11690320</v>
      </c>
      <c r="Q8" s="963">
        <f t="shared" si="0"/>
        <v>91716095</v>
      </c>
      <c r="R8" s="962"/>
    </row>
    <row r="9" spans="1:21">
      <c r="B9" s="901" t="s">
        <v>2917</v>
      </c>
      <c r="C9" s="956" t="s">
        <v>787</v>
      </c>
      <c r="D9" s="956">
        <v>64</v>
      </c>
      <c r="E9" s="963">
        <v>0</v>
      </c>
      <c r="F9" s="963">
        <v>0</v>
      </c>
      <c r="G9" s="963">
        <v>0</v>
      </c>
      <c r="H9" s="963">
        <v>0</v>
      </c>
      <c r="I9" s="963">
        <v>0</v>
      </c>
      <c r="J9" s="963">
        <v>0</v>
      </c>
      <c r="K9" s="963">
        <v>0</v>
      </c>
      <c r="L9" s="963">
        <v>0</v>
      </c>
      <c r="M9" s="963">
        <v>0</v>
      </c>
      <c r="N9" s="963">
        <v>0</v>
      </c>
      <c r="O9" s="963">
        <v>0</v>
      </c>
      <c r="P9" s="963">
        <v>0</v>
      </c>
      <c r="Q9" s="963">
        <f t="shared" si="0"/>
        <v>0</v>
      </c>
      <c r="R9" s="962"/>
    </row>
    <row r="10" spans="1:21">
      <c r="B10" s="901" t="s">
        <v>2918</v>
      </c>
      <c r="C10" s="956" t="s">
        <v>788</v>
      </c>
      <c r="D10" s="956">
        <v>64</v>
      </c>
      <c r="E10" s="963">
        <v>0</v>
      </c>
      <c r="F10" s="963">
        <v>0</v>
      </c>
      <c r="G10" s="963">
        <v>0</v>
      </c>
      <c r="H10" s="963">
        <v>0</v>
      </c>
      <c r="I10" s="963">
        <v>0</v>
      </c>
      <c r="J10" s="963">
        <v>0</v>
      </c>
      <c r="K10" s="963">
        <v>0</v>
      </c>
      <c r="L10" s="963">
        <v>0</v>
      </c>
      <c r="M10" s="963">
        <v>0</v>
      </c>
      <c r="N10" s="963">
        <v>0</v>
      </c>
      <c r="O10" s="963">
        <v>0</v>
      </c>
      <c r="P10" s="963">
        <v>0</v>
      </c>
      <c r="Q10" s="963">
        <f t="shared" si="0"/>
        <v>0</v>
      </c>
      <c r="R10" s="962"/>
    </row>
    <row r="11" spans="1:21">
      <c r="B11" s="901" t="s">
        <v>2886</v>
      </c>
      <c r="C11" s="956" t="s">
        <v>789</v>
      </c>
      <c r="D11" s="956">
        <v>64</v>
      </c>
      <c r="E11" s="963">
        <v>19427395</v>
      </c>
      <c r="F11" s="963">
        <v>24276433</v>
      </c>
      <c r="G11" s="963">
        <v>16312080</v>
      </c>
      <c r="H11" s="963">
        <v>6952138</v>
      </c>
      <c r="I11" s="963">
        <v>5018427</v>
      </c>
      <c r="J11" s="963">
        <v>2902522</v>
      </c>
      <c r="K11" s="963">
        <v>3088926</v>
      </c>
      <c r="L11" s="963">
        <v>1817452</v>
      </c>
      <c r="M11" s="963">
        <v>4287507</v>
      </c>
      <c r="N11" s="963">
        <v>11085416</v>
      </c>
      <c r="O11" s="963">
        <v>15903739</v>
      </c>
      <c r="P11" s="963">
        <v>19793411</v>
      </c>
      <c r="Q11" s="963">
        <f t="shared" si="0"/>
        <v>130865446</v>
      </c>
      <c r="R11" s="962"/>
    </row>
    <row r="12" spans="1:21">
      <c r="B12" s="964" t="s">
        <v>2673</v>
      </c>
      <c r="E12" s="963"/>
      <c r="F12" s="963"/>
      <c r="G12" s="963"/>
      <c r="H12" s="963"/>
      <c r="I12" s="963"/>
      <c r="J12" s="963"/>
      <c r="K12" s="963"/>
      <c r="L12" s="963"/>
      <c r="M12" s="963"/>
      <c r="N12" s="963"/>
      <c r="O12" s="963"/>
      <c r="P12" s="963"/>
      <c r="Q12" s="963">
        <f t="shared" si="0"/>
        <v>0</v>
      </c>
      <c r="R12" s="962"/>
    </row>
    <row r="13" spans="1:21">
      <c r="B13" s="901" t="s">
        <v>2919</v>
      </c>
      <c r="C13" s="956" t="s">
        <v>780</v>
      </c>
      <c r="D13" s="956">
        <v>108</v>
      </c>
      <c r="E13" s="965">
        <v>15637268.01</v>
      </c>
      <c r="F13" s="963">
        <v>16698186.09</v>
      </c>
      <c r="G13" s="963">
        <v>17907019.800000001</v>
      </c>
      <c r="H13" s="963">
        <v>10523482.32</v>
      </c>
      <c r="I13" s="963">
        <v>7164907.2400000002</v>
      </c>
      <c r="J13" s="963">
        <v>4380059.21</v>
      </c>
      <c r="K13" s="963">
        <v>3691214.31</v>
      </c>
      <c r="L13" s="963">
        <v>3324054.46</v>
      </c>
      <c r="M13" s="963">
        <v>3251037.15</v>
      </c>
      <c r="N13" s="901">
        <v>6308256.6299999999</v>
      </c>
      <c r="O13" s="963">
        <v>11119945.76</v>
      </c>
      <c r="P13" s="963">
        <v>17568222.149999999</v>
      </c>
      <c r="Q13" s="963">
        <f t="shared" si="0"/>
        <v>117573653.13</v>
      </c>
      <c r="R13" s="962"/>
      <c r="T13" s="963"/>
    </row>
    <row r="14" spans="1:21">
      <c r="B14" s="901" t="s">
        <v>2920</v>
      </c>
      <c r="C14" s="956" t="s">
        <v>781</v>
      </c>
      <c r="D14" s="956">
        <v>108</v>
      </c>
      <c r="E14" s="965">
        <v>10123456.25</v>
      </c>
      <c r="F14" s="963">
        <v>12676963.83</v>
      </c>
      <c r="G14" s="963">
        <v>8165987.6600000001</v>
      </c>
      <c r="H14" s="963">
        <v>4671344.59</v>
      </c>
      <c r="I14" s="963">
        <v>2719431.4699999997</v>
      </c>
      <c r="J14" s="963">
        <v>1785423.4400000002</v>
      </c>
      <c r="K14" s="963">
        <v>1680445.1500000001</v>
      </c>
      <c r="L14" s="963">
        <v>898709.14</v>
      </c>
      <c r="M14" s="963">
        <v>2201262.37</v>
      </c>
      <c r="N14" s="965">
        <v>6053387.6200000001</v>
      </c>
      <c r="O14" s="963">
        <v>10248494.380000001</v>
      </c>
      <c r="P14" s="963">
        <v>12127094.550000001</v>
      </c>
      <c r="Q14" s="963">
        <f t="shared" si="0"/>
        <v>73352000.449999988</v>
      </c>
      <c r="R14" s="962"/>
      <c r="T14" s="963">
        <f t="shared" ref="T14:T19" si="1">SUMIF($B$5:$B$422, U14, $Q$5:$Q$422)</f>
        <v>129396303.09999999</v>
      </c>
      <c r="U14" s="901" t="s">
        <v>2920</v>
      </c>
    </row>
    <row r="15" spans="1:21">
      <c r="B15" s="901" t="s">
        <v>2921</v>
      </c>
      <c r="C15" s="956" t="s">
        <v>782</v>
      </c>
      <c r="D15" s="956">
        <v>108</v>
      </c>
      <c r="E15" s="963">
        <v>-10122112.119999999</v>
      </c>
      <c r="F15" s="963">
        <v>-10123456.25</v>
      </c>
      <c r="G15" s="963">
        <v>-12676963.83</v>
      </c>
      <c r="H15" s="963">
        <v>-8165987.6600000001</v>
      </c>
      <c r="I15" s="963">
        <v>-4671344.59</v>
      </c>
      <c r="J15" s="963">
        <v>-2719431.4699999997</v>
      </c>
      <c r="K15" s="963">
        <v>-1785423.4400000002</v>
      </c>
      <c r="L15" s="963">
        <v>-1680445.1500000001</v>
      </c>
      <c r="M15" s="963">
        <v>-898709.14</v>
      </c>
      <c r="N15" s="963">
        <v>-2201262.37</v>
      </c>
      <c r="O15" s="963">
        <v>-6053387.6200000001</v>
      </c>
      <c r="P15" s="963">
        <v>-10248494.380000001</v>
      </c>
      <c r="Q15" s="963">
        <f t="shared" si="0"/>
        <v>-71347018.019999996</v>
      </c>
      <c r="R15" s="962"/>
      <c r="T15" s="963">
        <f t="shared" si="1"/>
        <v>-124960716.72</v>
      </c>
      <c r="U15" s="901" t="s">
        <v>2921</v>
      </c>
    </row>
    <row r="16" spans="1:21">
      <c r="B16" s="901" t="s">
        <v>2922</v>
      </c>
      <c r="C16" s="956" t="s">
        <v>783</v>
      </c>
      <c r="D16" s="956">
        <v>108</v>
      </c>
      <c r="E16" s="965">
        <v>506033.06</v>
      </c>
      <c r="F16" s="963">
        <v>-2341075.2799999998</v>
      </c>
      <c r="G16" s="842">
        <v>-534499.81999999995</v>
      </c>
      <c r="H16" s="963">
        <v>501222.69</v>
      </c>
      <c r="I16" s="963">
        <v>-4168.84</v>
      </c>
      <c r="J16" s="963">
        <v>104941.75</v>
      </c>
      <c r="K16" s="963">
        <v>-39684.15</v>
      </c>
      <c r="L16" s="963">
        <v>172900.08</v>
      </c>
      <c r="M16" s="963">
        <v>-177401.85</v>
      </c>
      <c r="N16" s="965">
        <v>-522468.18</v>
      </c>
      <c r="O16" s="963">
        <v>323885.8</v>
      </c>
      <c r="P16" s="963">
        <v>812396.77</v>
      </c>
      <c r="Q16" s="963">
        <f t="shared" si="0"/>
        <v>-1197917.9699999995</v>
      </c>
      <c r="R16" s="962"/>
      <c r="T16" s="963">
        <f t="shared" si="1"/>
        <v>-4221975.1099999985</v>
      </c>
      <c r="U16" s="901" t="s">
        <v>2922</v>
      </c>
    </row>
    <row r="17" spans="1:21">
      <c r="B17" s="901" t="s">
        <v>2750</v>
      </c>
      <c r="C17" s="956" t="s">
        <v>784</v>
      </c>
      <c r="D17" s="956">
        <v>108</v>
      </c>
      <c r="E17" s="965">
        <v>439212.34</v>
      </c>
      <c r="F17" s="963">
        <v>470887</v>
      </c>
      <c r="G17" s="963">
        <v>506614.94</v>
      </c>
      <c r="H17" s="963">
        <v>277251.90999999997</v>
      </c>
      <c r="I17" s="963">
        <v>167530.35999999999</v>
      </c>
      <c r="J17" s="963">
        <v>91496</v>
      </c>
      <c r="K17" s="963">
        <v>72748.28</v>
      </c>
      <c r="L17" s="963">
        <v>62744.959999999999</v>
      </c>
      <c r="M17" s="963">
        <v>60862.66</v>
      </c>
      <c r="N17" s="965">
        <v>143945.82</v>
      </c>
      <c r="O17" s="963">
        <v>103899.73</v>
      </c>
      <c r="P17" s="963">
        <v>-301470.84999999998</v>
      </c>
      <c r="Q17" s="963">
        <f t="shared" si="0"/>
        <v>2095723.1499999994</v>
      </c>
      <c r="R17" s="962"/>
      <c r="T17" s="963">
        <f t="shared" si="1"/>
        <v>4818520.51</v>
      </c>
      <c r="U17" s="901" t="s">
        <v>2750</v>
      </c>
    </row>
    <row r="18" spans="1:21">
      <c r="B18" s="901" t="s">
        <v>2751</v>
      </c>
      <c r="C18" s="956" t="s">
        <v>785</v>
      </c>
      <c r="D18" s="956">
        <v>108</v>
      </c>
      <c r="E18" s="965">
        <v>0</v>
      </c>
      <c r="F18" s="963">
        <v>0</v>
      </c>
      <c r="G18" s="963">
        <v>0</v>
      </c>
      <c r="H18" s="963">
        <v>0</v>
      </c>
      <c r="I18" s="963">
        <v>0</v>
      </c>
      <c r="J18" s="963">
        <v>0</v>
      </c>
      <c r="K18" s="963">
        <v>0</v>
      </c>
      <c r="L18" s="963">
        <v>0</v>
      </c>
      <c r="M18" s="963">
        <v>0</v>
      </c>
      <c r="N18" s="965">
        <v>0</v>
      </c>
      <c r="O18" s="963">
        <v>0</v>
      </c>
      <c r="P18" s="963">
        <v>0</v>
      </c>
      <c r="Q18" s="963">
        <f t="shared" si="0"/>
        <v>0</v>
      </c>
      <c r="R18" s="962"/>
      <c r="T18" s="963">
        <f t="shared" si="1"/>
        <v>51429.03</v>
      </c>
      <c r="U18" s="901" t="s">
        <v>2751</v>
      </c>
    </row>
    <row r="19" spans="1:21">
      <c r="B19" s="901" t="s">
        <v>2451</v>
      </c>
      <c r="C19" s="956" t="s">
        <v>786</v>
      </c>
      <c r="D19" s="956">
        <v>108</v>
      </c>
      <c r="E19" s="901">
        <v>-0.43</v>
      </c>
      <c r="F19" s="965">
        <v>-14.89</v>
      </c>
      <c r="G19" s="963">
        <v>0</v>
      </c>
      <c r="H19" s="963">
        <v>-1.04</v>
      </c>
      <c r="I19" s="963">
        <v>0</v>
      </c>
      <c r="J19" s="963">
        <v>0</v>
      </c>
      <c r="K19" s="963">
        <v>0</v>
      </c>
      <c r="L19" s="963">
        <v>0</v>
      </c>
      <c r="M19" s="963">
        <v>0</v>
      </c>
      <c r="N19" s="965">
        <v>0</v>
      </c>
      <c r="O19" s="963">
        <v>2</v>
      </c>
      <c r="P19" s="963">
        <v>0</v>
      </c>
      <c r="Q19" s="963">
        <f>SUM(E19:P19)</f>
        <v>-14.36</v>
      </c>
      <c r="R19" s="962"/>
      <c r="T19" s="963">
        <f t="shared" si="1"/>
        <v>-12.229999999999563</v>
      </c>
      <c r="U19" s="901" t="s">
        <v>2451</v>
      </c>
    </row>
    <row r="20" spans="1:21">
      <c r="B20" s="901" t="s">
        <v>2697</v>
      </c>
      <c r="C20" s="956" t="s">
        <v>787</v>
      </c>
      <c r="D20" s="956">
        <v>108</v>
      </c>
      <c r="E20" s="965">
        <v>0</v>
      </c>
      <c r="F20" s="963">
        <v>0</v>
      </c>
      <c r="G20" s="963">
        <v>0</v>
      </c>
      <c r="H20" s="963">
        <v>0</v>
      </c>
      <c r="I20" s="963">
        <v>0</v>
      </c>
      <c r="J20" s="963">
        <v>0</v>
      </c>
      <c r="K20" s="963">
        <v>0</v>
      </c>
      <c r="L20" s="963">
        <v>0</v>
      </c>
      <c r="M20" s="963">
        <v>0</v>
      </c>
      <c r="N20" s="965">
        <v>0</v>
      </c>
      <c r="O20" s="963">
        <v>0</v>
      </c>
      <c r="P20" s="963">
        <v>0</v>
      </c>
      <c r="Q20" s="963">
        <f t="shared" si="0"/>
        <v>0</v>
      </c>
      <c r="R20" s="962"/>
      <c r="T20" s="963">
        <f>SUMIF($B$5:$B$422, U20, $Q$5:$Q$422)</f>
        <v>-26814502.649999999</v>
      </c>
      <c r="U20" s="901" t="s">
        <v>2697</v>
      </c>
    </row>
    <row r="21" spans="1:21">
      <c r="B21" s="901" t="s">
        <v>2698</v>
      </c>
      <c r="C21" s="956" t="s">
        <v>788</v>
      </c>
      <c r="D21" s="956">
        <v>108</v>
      </c>
      <c r="E21" s="965">
        <v>0</v>
      </c>
      <c r="F21" s="963">
        <v>0</v>
      </c>
      <c r="G21" s="963">
        <v>0</v>
      </c>
      <c r="H21" s="963">
        <v>0</v>
      </c>
      <c r="I21" s="963">
        <v>0</v>
      </c>
      <c r="J21" s="963">
        <v>0</v>
      </c>
      <c r="K21" s="963">
        <v>0</v>
      </c>
      <c r="L21" s="963">
        <v>0</v>
      </c>
      <c r="M21" s="963">
        <v>0</v>
      </c>
      <c r="N21" s="965">
        <v>0</v>
      </c>
      <c r="O21" s="963">
        <v>0</v>
      </c>
      <c r="P21" s="963">
        <v>0</v>
      </c>
      <c r="Q21" s="963">
        <f t="shared" si="0"/>
        <v>0</v>
      </c>
      <c r="R21" s="962"/>
      <c r="T21" s="963">
        <f>SUMIF($B$5:$B$422, U21, $Q$5:$Q$422)</f>
        <v>28178858.199999996</v>
      </c>
      <c r="U21" s="901" t="s">
        <v>2698</v>
      </c>
    </row>
    <row r="22" spans="1:21">
      <c r="B22" s="901" t="s">
        <v>2884</v>
      </c>
      <c r="C22" s="956" t="s">
        <v>789</v>
      </c>
      <c r="D22" s="956">
        <v>108</v>
      </c>
      <c r="E22" s="963">
        <f>SUM(E13:E21)</f>
        <v>16583857.109999999</v>
      </c>
      <c r="F22" s="963">
        <f t="shared" ref="F22:P22" si="2">SUM(F13:F21)</f>
        <v>17381490.5</v>
      </c>
      <c r="G22" s="963">
        <f t="shared" si="2"/>
        <v>13368158.75</v>
      </c>
      <c r="H22" s="963">
        <f t="shared" si="2"/>
        <v>7807312.8100000005</v>
      </c>
      <c r="I22" s="963">
        <f t="shared" si="2"/>
        <v>5376355.6400000015</v>
      </c>
      <c r="J22" s="963">
        <f t="shared" si="2"/>
        <v>3642488.9300000006</v>
      </c>
      <c r="K22" s="963">
        <f t="shared" si="2"/>
        <v>3619300.1499999994</v>
      </c>
      <c r="L22" s="963">
        <f t="shared" si="2"/>
        <v>2777963.4899999993</v>
      </c>
      <c r="M22" s="963">
        <f t="shared" si="2"/>
        <v>4437051.1900000004</v>
      </c>
      <c r="N22" s="963">
        <f t="shared" si="2"/>
        <v>9781859.5199999996</v>
      </c>
      <c r="O22" s="963">
        <f t="shared" si="2"/>
        <v>15742840.050000001</v>
      </c>
      <c r="P22" s="963">
        <f t="shared" si="2"/>
        <v>19957748.239999998</v>
      </c>
      <c r="Q22" s="963">
        <f t="shared" si="0"/>
        <v>120476426.37999998</v>
      </c>
      <c r="R22" s="962"/>
      <c r="T22" s="962"/>
    </row>
    <row r="23" spans="1:21">
      <c r="B23" s="964" t="s">
        <v>2673</v>
      </c>
      <c r="Q23" s="963">
        <f>SUM(E15:P15)</f>
        <v>-71347018.019999996</v>
      </c>
      <c r="R23" s="962"/>
    </row>
    <row r="24" spans="1:21">
      <c r="Q24" s="963">
        <f t="shared" si="0"/>
        <v>0</v>
      </c>
      <c r="R24" s="962"/>
    </row>
    <row r="25" spans="1:21">
      <c r="A25" s="903" t="s">
        <v>2923</v>
      </c>
      <c r="B25" s="960" t="s">
        <v>2924</v>
      </c>
      <c r="C25" s="956" t="s">
        <v>777</v>
      </c>
      <c r="D25" s="956">
        <v>71</v>
      </c>
      <c r="E25" s="961"/>
      <c r="F25" s="961"/>
      <c r="G25" s="961"/>
      <c r="H25" s="961"/>
      <c r="I25" s="961"/>
      <c r="J25" s="961"/>
      <c r="K25" s="961"/>
      <c r="L25" s="961"/>
      <c r="M25" s="961"/>
      <c r="N25" s="961"/>
      <c r="O25" s="961"/>
      <c r="P25" s="961"/>
      <c r="Q25" s="963"/>
      <c r="R25" s="962"/>
    </row>
    <row r="26" spans="1:21">
      <c r="B26" s="901" t="s">
        <v>2514</v>
      </c>
      <c r="C26" s="956" t="s">
        <v>780</v>
      </c>
      <c r="D26" s="956">
        <v>71</v>
      </c>
      <c r="E26" s="963">
        <v>13117967</v>
      </c>
      <c r="F26" s="963">
        <v>13988227</v>
      </c>
      <c r="G26" s="963">
        <v>15941825</v>
      </c>
      <c r="H26" s="963">
        <v>9096547</v>
      </c>
      <c r="I26" s="963">
        <v>5370530</v>
      </c>
      <c r="J26" s="963">
        <v>3465484</v>
      </c>
      <c r="K26" s="963">
        <v>3054528</v>
      </c>
      <c r="L26" s="963">
        <v>2791770</v>
      </c>
      <c r="M26" s="963">
        <v>2672689</v>
      </c>
      <c r="N26" s="963">
        <v>4853452</v>
      </c>
      <c r="O26" s="963">
        <v>7908670</v>
      </c>
      <c r="P26" s="963">
        <v>11976706</v>
      </c>
      <c r="Q26" s="963">
        <f>SUM(E26:P26)</f>
        <v>94238395</v>
      </c>
      <c r="R26" s="962"/>
    </row>
    <row r="27" spans="1:21">
      <c r="B27" s="901" t="s">
        <v>2915</v>
      </c>
      <c r="C27" s="956" t="s">
        <v>781</v>
      </c>
      <c r="D27" s="956">
        <v>71</v>
      </c>
      <c r="E27" s="963">
        <v>10187002</v>
      </c>
      <c r="F27" s="963">
        <v>12666270</v>
      </c>
      <c r="G27" s="963">
        <v>8619566</v>
      </c>
      <c r="H27" s="963">
        <v>4713041</v>
      </c>
      <c r="I27" s="963">
        <v>2695771</v>
      </c>
      <c r="J27" s="963">
        <v>2099565</v>
      </c>
      <c r="K27" s="963">
        <v>2183931</v>
      </c>
      <c r="L27" s="963">
        <v>1243727</v>
      </c>
      <c r="M27" s="963">
        <v>2978172</v>
      </c>
      <c r="N27" s="963">
        <v>6393900</v>
      </c>
      <c r="O27" s="963">
        <v>10324809</v>
      </c>
      <c r="P27" s="963">
        <v>11506709</v>
      </c>
      <c r="Q27" s="963">
        <f t="shared" ref="Q27:Q42" si="3">SUM(E27:P27)</f>
        <v>75612463</v>
      </c>
      <c r="R27" s="962"/>
    </row>
    <row r="28" spans="1:21">
      <c r="B28" s="901" t="s">
        <v>2916</v>
      </c>
      <c r="C28" s="956" t="s">
        <v>782</v>
      </c>
      <c r="D28" s="956">
        <v>71</v>
      </c>
      <c r="E28" s="963">
        <v>10228218</v>
      </c>
      <c r="F28" s="963">
        <v>10187002</v>
      </c>
      <c r="G28" s="963">
        <v>12666270</v>
      </c>
      <c r="H28" s="963">
        <v>8619566</v>
      </c>
      <c r="I28" s="963">
        <v>4713041</v>
      </c>
      <c r="J28" s="963">
        <v>2695771</v>
      </c>
      <c r="K28" s="963">
        <v>2099565</v>
      </c>
      <c r="L28" s="963">
        <v>2183931</v>
      </c>
      <c r="M28" s="963">
        <v>1243727</v>
      </c>
      <c r="N28" s="963">
        <v>2978172</v>
      </c>
      <c r="O28" s="963">
        <v>6393900</v>
      </c>
      <c r="P28" s="963">
        <v>10324809</v>
      </c>
      <c r="Q28" s="963">
        <f t="shared" si="3"/>
        <v>74333972</v>
      </c>
      <c r="R28" s="962"/>
    </row>
    <row r="29" spans="1:21">
      <c r="B29" s="901" t="s">
        <v>2917</v>
      </c>
      <c r="C29" s="956" t="s">
        <v>787</v>
      </c>
      <c r="D29" s="956">
        <v>71</v>
      </c>
      <c r="E29" s="963">
        <v>0</v>
      </c>
      <c r="F29" s="963">
        <v>0</v>
      </c>
      <c r="G29" s="963">
        <v>0</v>
      </c>
      <c r="H29" s="963">
        <v>0</v>
      </c>
      <c r="I29" s="963">
        <v>0</v>
      </c>
      <c r="J29" s="963">
        <v>0</v>
      </c>
      <c r="K29" s="963">
        <v>0</v>
      </c>
      <c r="L29" s="963">
        <v>0</v>
      </c>
      <c r="M29" s="963">
        <v>0</v>
      </c>
      <c r="N29" s="963">
        <v>0</v>
      </c>
      <c r="O29" s="963">
        <v>0</v>
      </c>
      <c r="P29" s="963">
        <v>0</v>
      </c>
      <c r="Q29" s="963">
        <f t="shared" si="3"/>
        <v>0</v>
      </c>
      <c r="R29" s="962"/>
    </row>
    <row r="30" spans="1:21">
      <c r="B30" s="901" t="s">
        <v>2918</v>
      </c>
      <c r="C30" s="956" t="s">
        <v>788</v>
      </c>
      <c r="D30" s="956">
        <v>71</v>
      </c>
      <c r="E30" s="963">
        <v>0</v>
      </c>
      <c r="F30" s="963">
        <v>0</v>
      </c>
      <c r="G30" s="963">
        <v>0</v>
      </c>
      <c r="H30" s="963">
        <v>0</v>
      </c>
      <c r="I30" s="963">
        <v>0</v>
      </c>
      <c r="J30" s="963">
        <v>0</v>
      </c>
      <c r="K30" s="963">
        <v>0</v>
      </c>
      <c r="L30" s="963">
        <v>0</v>
      </c>
      <c r="M30" s="963">
        <v>0</v>
      </c>
      <c r="N30" s="963">
        <v>0</v>
      </c>
      <c r="O30" s="963">
        <v>0</v>
      </c>
      <c r="P30" s="963">
        <v>0</v>
      </c>
      <c r="Q30" s="963">
        <f t="shared" si="3"/>
        <v>0</v>
      </c>
      <c r="R30" s="962"/>
    </row>
    <row r="31" spans="1:21">
      <c r="B31" s="901" t="s">
        <v>2886</v>
      </c>
      <c r="C31" s="956" t="s">
        <v>789</v>
      </c>
      <c r="D31" s="956">
        <v>71</v>
      </c>
      <c r="E31" s="963">
        <v>13076751</v>
      </c>
      <c r="F31" s="963">
        <v>16467495</v>
      </c>
      <c r="G31" s="963">
        <v>11895121</v>
      </c>
      <c r="H31" s="963">
        <v>5190022</v>
      </c>
      <c r="I31" s="963">
        <v>3353260</v>
      </c>
      <c r="J31" s="963">
        <v>2869278</v>
      </c>
      <c r="K31" s="963">
        <v>3138894</v>
      </c>
      <c r="L31" s="963">
        <v>1851566</v>
      </c>
      <c r="M31" s="963">
        <v>4407134</v>
      </c>
      <c r="N31" s="963">
        <v>8269180</v>
      </c>
      <c r="O31" s="963">
        <v>11839581</v>
      </c>
      <c r="P31" s="963">
        <v>13158604</v>
      </c>
      <c r="Q31" s="963">
        <f t="shared" si="3"/>
        <v>95516886</v>
      </c>
      <c r="R31" s="962"/>
    </row>
    <row r="32" spans="1:21">
      <c r="B32" s="964" t="s">
        <v>2673</v>
      </c>
      <c r="E32" s="963"/>
      <c r="F32" s="963"/>
      <c r="G32" s="963"/>
      <c r="H32" s="963"/>
      <c r="I32" s="963"/>
      <c r="J32" s="963"/>
      <c r="K32" s="963"/>
      <c r="L32" s="963"/>
      <c r="M32" s="963"/>
      <c r="N32" s="963"/>
      <c r="O32" s="963"/>
      <c r="P32" s="963"/>
      <c r="Q32" s="963">
        <f t="shared" si="3"/>
        <v>0</v>
      </c>
      <c r="R32" s="962"/>
    </row>
    <row r="33" spans="2:18">
      <c r="B33" s="901" t="s">
        <v>2919</v>
      </c>
      <c r="C33" s="956" t="s">
        <v>780</v>
      </c>
      <c r="D33" s="956">
        <v>115</v>
      </c>
      <c r="E33" s="963">
        <v>9637380.1400000006</v>
      </c>
      <c r="F33" s="963">
        <v>10251488.609999999</v>
      </c>
      <c r="G33" s="963">
        <v>11641801.439999999</v>
      </c>
      <c r="H33" s="963">
        <v>6976728.2699999996</v>
      </c>
      <c r="I33" s="963">
        <v>4576454.0199999996</v>
      </c>
      <c r="J33" s="963">
        <v>3092889.59</v>
      </c>
      <c r="K33" s="963">
        <v>2768947.4</v>
      </c>
      <c r="L33" s="963">
        <v>2558491.81</v>
      </c>
      <c r="M33" s="963">
        <v>2466127.17</v>
      </c>
      <c r="N33" s="963">
        <v>4172746.79</v>
      </c>
      <c r="O33" s="963">
        <v>6828194.6100000003</v>
      </c>
      <c r="P33" s="963">
        <v>10904193.51</v>
      </c>
      <c r="Q33" s="963">
        <f t="shared" si="3"/>
        <v>75875443.359999999</v>
      </c>
      <c r="R33" s="962"/>
    </row>
    <row r="34" spans="2:18">
      <c r="B34" s="901" t="s">
        <v>2920</v>
      </c>
      <c r="C34" s="956" t="s">
        <v>781</v>
      </c>
      <c r="D34" s="956">
        <v>115</v>
      </c>
      <c r="E34" s="963">
        <v>6934563.9700000007</v>
      </c>
      <c r="F34" s="963">
        <v>8627699.0099999998</v>
      </c>
      <c r="G34" s="963">
        <v>5877431.1799999997</v>
      </c>
      <c r="H34" s="963">
        <v>3566921.87</v>
      </c>
      <c r="I34" s="963">
        <v>2035004.9800000002</v>
      </c>
      <c r="J34" s="963">
        <v>1582523.2799999998</v>
      </c>
      <c r="K34" s="963">
        <v>1647558.22</v>
      </c>
      <c r="L34" s="963">
        <v>936695.25</v>
      </c>
      <c r="M34" s="963">
        <v>2247869.71</v>
      </c>
      <c r="N34" s="963">
        <v>4818052.63</v>
      </c>
      <c r="O34" s="963">
        <v>8386968.5899999999</v>
      </c>
      <c r="P34" s="963">
        <v>9383013.959999999</v>
      </c>
      <c r="Q34" s="963">
        <f t="shared" si="3"/>
        <v>56044302.649999999</v>
      </c>
      <c r="R34" s="962"/>
    </row>
    <row r="35" spans="2:18">
      <c r="B35" s="901" t="s">
        <v>2921</v>
      </c>
      <c r="C35" s="956" t="s">
        <v>782</v>
      </c>
      <c r="D35" s="956">
        <v>115</v>
      </c>
      <c r="E35" s="963">
        <v>-6952410.0099999998</v>
      </c>
      <c r="F35" s="963">
        <v>-6934563.9699999997</v>
      </c>
      <c r="G35" s="963">
        <v>-8627699.0099999998</v>
      </c>
      <c r="H35" s="963">
        <v>-5877431.1799999997</v>
      </c>
      <c r="I35" s="963">
        <v>-3566921.87</v>
      </c>
      <c r="J35" s="963">
        <v>-2035004.98</v>
      </c>
      <c r="K35" s="963">
        <v>-1582523.28</v>
      </c>
      <c r="L35" s="963">
        <v>-1647558.22</v>
      </c>
      <c r="M35" s="963">
        <v>-936695.25</v>
      </c>
      <c r="N35" s="963">
        <v>-2247869.71</v>
      </c>
      <c r="O35" s="963">
        <v>-4818052.63</v>
      </c>
      <c r="P35" s="963">
        <v>-8386968.5899999999</v>
      </c>
      <c r="Q35" s="963">
        <f t="shared" si="3"/>
        <v>-53613698.700000003</v>
      </c>
      <c r="R35" s="962"/>
    </row>
    <row r="36" spans="2:18">
      <c r="B36" s="901" t="s">
        <v>2922</v>
      </c>
      <c r="C36" s="956" t="s">
        <v>783</v>
      </c>
      <c r="D36" s="956">
        <v>115</v>
      </c>
      <c r="E36" s="963">
        <v>338523.6</v>
      </c>
      <c r="F36" s="963">
        <v>-1271341.06</v>
      </c>
      <c r="G36" s="963">
        <v>-781551.47</v>
      </c>
      <c r="H36" s="963">
        <v>-9554.52</v>
      </c>
      <c r="I36" s="963">
        <v>2935.79</v>
      </c>
      <c r="J36" s="963">
        <v>-51604.79</v>
      </c>
      <c r="K36" s="963">
        <v>-86285.27</v>
      </c>
      <c r="L36" s="963">
        <v>113181.37</v>
      </c>
      <c r="M36" s="963">
        <v>-136300.1</v>
      </c>
      <c r="N36" s="963">
        <v>-238529.48</v>
      </c>
      <c r="O36" s="963">
        <v>-252475.49</v>
      </c>
      <c r="P36" s="963">
        <v>330031.12</v>
      </c>
      <c r="Q36" s="963">
        <f t="shared" si="3"/>
        <v>-2042970.2999999998</v>
      </c>
      <c r="R36" s="962"/>
    </row>
    <row r="37" spans="2:18">
      <c r="B37" s="901" t="s">
        <v>2750</v>
      </c>
      <c r="C37" s="956" t="s">
        <v>784</v>
      </c>
      <c r="D37" s="956">
        <v>115</v>
      </c>
      <c r="E37" s="963">
        <v>365073.03</v>
      </c>
      <c r="F37" s="963">
        <v>389292.36</v>
      </c>
      <c r="G37" s="963">
        <v>443660.99</v>
      </c>
      <c r="H37" s="963">
        <v>253156.9</v>
      </c>
      <c r="I37" s="963">
        <v>149461.85</v>
      </c>
      <c r="J37" s="963">
        <v>96444.42</v>
      </c>
      <c r="K37" s="963">
        <v>85007.52</v>
      </c>
      <c r="L37" s="963">
        <v>77694.960000000006</v>
      </c>
      <c r="M37" s="963">
        <v>74380.929999999993</v>
      </c>
      <c r="N37" s="963">
        <v>135071.57</v>
      </c>
      <c r="O37" s="963">
        <v>139278.99</v>
      </c>
      <c r="P37" s="963">
        <v>-40481.26</v>
      </c>
      <c r="Q37" s="963">
        <f t="shared" si="3"/>
        <v>2168042.2599999998</v>
      </c>
      <c r="R37" s="962"/>
    </row>
    <row r="38" spans="2:18">
      <c r="B38" s="901" t="s">
        <v>2751</v>
      </c>
      <c r="C38" s="956" t="s">
        <v>785</v>
      </c>
      <c r="D38" s="956">
        <v>115</v>
      </c>
      <c r="E38" s="966">
        <v>3344.32</v>
      </c>
      <c r="F38" s="966">
        <v>4158.97</v>
      </c>
      <c r="G38" s="966">
        <v>2564.84</v>
      </c>
      <c r="H38" s="966">
        <v>0</v>
      </c>
      <c r="I38" s="966">
        <v>0</v>
      </c>
      <c r="J38" s="966">
        <v>2760.22</v>
      </c>
      <c r="K38" s="966">
        <v>0</v>
      </c>
      <c r="L38" s="966">
        <v>5832.9</v>
      </c>
      <c r="M38" s="966">
        <v>0</v>
      </c>
      <c r="N38" s="966">
        <v>28981.53</v>
      </c>
      <c r="O38" s="966">
        <v>0</v>
      </c>
      <c r="P38" s="966">
        <v>3786.25</v>
      </c>
      <c r="Q38" s="963">
        <f t="shared" si="3"/>
        <v>51429.03</v>
      </c>
      <c r="R38" s="962"/>
    </row>
    <row r="39" spans="2:18">
      <c r="B39" s="901" t="s">
        <v>2451</v>
      </c>
      <c r="C39" s="956" t="s">
        <v>786</v>
      </c>
      <c r="D39" s="956">
        <v>115</v>
      </c>
      <c r="E39" s="963">
        <v>-0.3</v>
      </c>
      <c r="F39" s="963">
        <v>0.3</v>
      </c>
      <c r="G39" s="963">
        <v>0</v>
      </c>
      <c r="H39" s="963">
        <v>1.05</v>
      </c>
      <c r="I39" s="963">
        <v>0</v>
      </c>
      <c r="J39" s="963">
        <v>0</v>
      </c>
      <c r="K39" s="963">
        <v>0</v>
      </c>
      <c r="L39" s="963">
        <v>1.08</v>
      </c>
      <c r="M39" s="963">
        <v>0</v>
      </c>
      <c r="N39" s="963">
        <v>0</v>
      </c>
      <c r="O39" s="963">
        <v>0</v>
      </c>
      <c r="P39" s="963">
        <v>0</v>
      </c>
      <c r="Q39" s="963">
        <f t="shared" si="3"/>
        <v>2.13</v>
      </c>
      <c r="R39" s="962"/>
    </row>
    <row r="40" spans="2:18">
      <c r="B40" s="901" t="s">
        <v>2697</v>
      </c>
      <c r="C40" s="956" t="s">
        <v>787</v>
      </c>
      <c r="D40" s="956">
        <v>115</v>
      </c>
      <c r="E40" s="963">
        <v>0</v>
      </c>
      <c r="F40" s="963">
        <v>0</v>
      </c>
      <c r="G40" s="963">
        <v>0</v>
      </c>
      <c r="H40" s="963">
        <v>0</v>
      </c>
      <c r="I40" s="963">
        <v>0</v>
      </c>
      <c r="J40" s="963">
        <v>0</v>
      </c>
      <c r="K40" s="963">
        <v>0</v>
      </c>
      <c r="L40" s="963">
        <v>0</v>
      </c>
      <c r="M40" s="963">
        <v>0</v>
      </c>
      <c r="N40" s="963">
        <v>0</v>
      </c>
      <c r="O40" s="963">
        <v>0</v>
      </c>
      <c r="P40" s="963">
        <v>0</v>
      </c>
      <c r="Q40" s="963">
        <f t="shared" si="3"/>
        <v>0</v>
      </c>
      <c r="R40" s="962"/>
    </row>
    <row r="41" spans="2:18">
      <c r="B41" s="901" t="s">
        <v>2698</v>
      </c>
      <c r="C41" s="956" t="s">
        <v>788</v>
      </c>
      <c r="D41" s="956">
        <v>115</v>
      </c>
      <c r="E41" s="963">
        <v>0</v>
      </c>
      <c r="F41" s="963">
        <v>0</v>
      </c>
      <c r="G41" s="963">
        <v>0</v>
      </c>
      <c r="H41" s="963">
        <v>0</v>
      </c>
      <c r="I41" s="963">
        <v>0</v>
      </c>
      <c r="J41" s="963">
        <v>0</v>
      </c>
      <c r="K41" s="963">
        <v>0</v>
      </c>
      <c r="L41" s="963">
        <v>0</v>
      </c>
      <c r="M41" s="963">
        <v>0</v>
      </c>
      <c r="N41" s="963">
        <v>0</v>
      </c>
      <c r="O41" s="963">
        <v>0</v>
      </c>
      <c r="P41" s="963">
        <v>0</v>
      </c>
      <c r="Q41" s="963">
        <f t="shared" si="3"/>
        <v>0</v>
      </c>
      <c r="R41" s="962"/>
    </row>
    <row r="42" spans="2:18">
      <c r="B42" s="901" t="s">
        <v>2884</v>
      </c>
      <c r="C42" s="956" t="s">
        <v>789</v>
      </c>
      <c r="D42" s="956">
        <v>115</v>
      </c>
      <c r="E42" s="963">
        <v>10326474.75</v>
      </c>
      <c r="F42" s="963">
        <v>11066734.219999997</v>
      </c>
      <c r="G42" s="963">
        <v>8556207.9699999969</v>
      </c>
      <c r="H42" s="963">
        <v>4909822.3900000015</v>
      </c>
      <c r="I42" s="963">
        <v>3196934.77</v>
      </c>
      <c r="J42" s="963">
        <v>2688007.7399999988</v>
      </c>
      <c r="K42" s="963">
        <v>2832704.5900000003</v>
      </c>
      <c r="L42" s="963">
        <v>2044339.15</v>
      </c>
      <c r="M42" s="963">
        <v>3715382.46</v>
      </c>
      <c r="N42" s="963">
        <v>6668453.3300000001</v>
      </c>
      <c r="O42" s="963">
        <v>10283914.07</v>
      </c>
      <c r="P42" s="963">
        <v>12193574.989999998</v>
      </c>
      <c r="Q42" s="963">
        <f t="shared" si="3"/>
        <v>78482550.430000007</v>
      </c>
      <c r="R42" s="962"/>
    </row>
    <row r="43" spans="2:18">
      <c r="B43" s="964" t="s">
        <v>2673</v>
      </c>
      <c r="E43" s="963">
        <f>SUM(E33:E39)</f>
        <v>10326474.75</v>
      </c>
      <c r="F43" s="963">
        <f t="shared" ref="F43:P43" si="4">SUM(F33:F39)</f>
        <v>11066734.219999999</v>
      </c>
      <c r="G43" s="963">
        <f t="shared" si="4"/>
        <v>8556207.9699999969</v>
      </c>
      <c r="H43" s="963">
        <f t="shared" si="4"/>
        <v>4909822.3900000015</v>
      </c>
      <c r="I43" s="963">
        <f t="shared" si="4"/>
        <v>3196934.77</v>
      </c>
      <c r="J43" s="963">
        <f t="shared" si="4"/>
        <v>2688007.7399999993</v>
      </c>
      <c r="K43" s="963">
        <f t="shared" si="4"/>
        <v>2832704.59</v>
      </c>
      <c r="L43" s="963">
        <f t="shared" si="4"/>
        <v>2044339.15</v>
      </c>
      <c r="M43" s="963">
        <f t="shared" si="4"/>
        <v>3715382.46</v>
      </c>
      <c r="N43" s="963">
        <f t="shared" si="4"/>
        <v>6668453.3300000001</v>
      </c>
      <c r="O43" s="963">
        <f t="shared" si="4"/>
        <v>10283914.07</v>
      </c>
      <c r="P43" s="963">
        <f t="shared" si="4"/>
        <v>12193574.989999998</v>
      </c>
      <c r="Q43" s="963"/>
      <c r="R43" s="962"/>
    </row>
    <row r="44" spans="2:18">
      <c r="B44" s="964"/>
      <c r="E44" s="963">
        <f>E42-E43</f>
        <v>0</v>
      </c>
      <c r="F44" s="963">
        <f t="shared" ref="F44:P44" si="5">F42-F43</f>
        <v>0</v>
      </c>
      <c r="G44" s="963">
        <f t="shared" si="5"/>
        <v>0</v>
      </c>
      <c r="H44" s="965">
        <f t="shared" si="5"/>
        <v>0</v>
      </c>
      <c r="I44" s="963">
        <f t="shared" si="5"/>
        <v>0</v>
      </c>
      <c r="J44" s="963">
        <f t="shared" si="5"/>
        <v>0</v>
      </c>
      <c r="K44" s="963">
        <f t="shared" si="5"/>
        <v>0</v>
      </c>
      <c r="L44" s="965">
        <f t="shared" si="5"/>
        <v>0</v>
      </c>
      <c r="M44" s="963">
        <f t="shared" si="5"/>
        <v>0</v>
      </c>
      <c r="N44" s="963">
        <f t="shared" si="5"/>
        <v>0</v>
      </c>
      <c r="O44" s="963">
        <f t="shared" si="5"/>
        <v>0</v>
      </c>
      <c r="P44" s="963">
        <f t="shared" si="5"/>
        <v>0</v>
      </c>
      <c r="Q44" s="963"/>
      <c r="R44" s="962"/>
    </row>
    <row r="45" spans="2:18">
      <c r="B45" s="960" t="s">
        <v>2925</v>
      </c>
      <c r="E45" s="963"/>
      <c r="F45" s="963"/>
      <c r="G45" s="963"/>
      <c r="H45" s="963"/>
      <c r="I45" s="963"/>
      <c r="J45" s="963"/>
      <c r="K45" s="963"/>
      <c r="L45" s="963"/>
      <c r="M45" s="963"/>
      <c r="N45" s="963"/>
      <c r="O45" s="963"/>
      <c r="P45" s="963"/>
      <c r="Q45" s="963"/>
      <c r="R45" s="962"/>
    </row>
    <row r="46" spans="2:18">
      <c r="B46" s="901" t="s">
        <v>2514</v>
      </c>
      <c r="E46" s="963"/>
      <c r="F46" s="963"/>
      <c r="G46" s="963"/>
      <c r="H46" s="963"/>
      <c r="I46" s="963"/>
      <c r="J46" s="963"/>
      <c r="K46" s="963"/>
      <c r="L46" s="963"/>
      <c r="M46" s="963"/>
      <c r="N46" s="963"/>
      <c r="O46" s="963">
        <v>1347361</v>
      </c>
      <c r="P46" s="963">
        <v>1498743</v>
      </c>
      <c r="Q46" s="963">
        <f t="shared" si="0"/>
        <v>2846104</v>
      </c>
      <c r="R46" s="962"/>
    </row>
    <row r="47" spans="2:18">
      <c r="B47" s="901" t="s">
        <v>2915</v>
      </c>
      <c r="E47" s="963"/>
      <c r="F47" s="963"/>
      <c r="G47" s="963"/>
      <c r="H47" s="963"/>
      <c r="I47" s="963"/>
      <c r="J47" s="963"/>
      <c r="K47" s="963"/>
      <c r="L47" s="963"/>
      <c r="M47" s="963"/>
      <c r="N47" s="963"/>
      <c r="O47" s="963"/>
      <c r="P47" s="963"/>
      <c r="Q47" s="963">
        <f t="shared" si="0"/>
        <v>0</v>
      </c>
      <c r="R47" s="962"/>
    </row>
    <row r="48" spans="2:18">
      <c r="B48" s="901" t="s">
        <v>2916</v>
      </c>
      <c r="Q48" s="963">
        <f t="shared" si="0"/>
        <v>0</v>
      </c>
      <c r="R48" s="962"/>
    </row>
    <row r="49" spans="2:18">
      <c r="B49" s="901" t="s">
        <v>2917</v>
      </c>
      <c r="E49" s="963"/>
      <c r="F49" s="963"/>
      <c r="G49" s="963"/>
      <c r="H49" s="963"/>
      <c r="I49" s="963"/>
      <c r="J49" s="963"/>
      <c r="K49" s="963"/>
      <c r="L49" s="963"/>
      <c r="M49" s="963"/>
      <c r="N49" s="963"/>
      <c r="O49" s="963">
        <v>-1347361</v>
      </c>
      <c r="P49" s="963">
        <v>-1498743</v>
      </c>
      <c r="Q49" s="963">
        <f t="shared" si="0"/>
        <v>-2846104</v>
      </c>
      <c r="R49" s="962"/>
    </row>
    <row r="50" spans="2:18">
      <c r="B50" s="901" t="s">
        <v>2918</v>
      </c>
      <c r="E50" s="963"/>
      <c r="F50" s="963"/>
      <c r="G50" s="963"/>
      <c r="H50" s="963"/>
      <c r="I50" s="963"/>
      <c r="J50" s="963"/>
      <c r="K50" s="963"/>
      <c r="L50" s="963"/>
      <c r="M50" s="963"/>
      <c r="N50" s="963">
        <v>1347361</v>
      </c>
      <c r="O50" s="963">
        <v>1498743</v>
      </c>
      <c r="P50" s="963">
        <v>1688999</v>
      </c>
      <c r="Q50" s="963">
        <f t="shared" si="0"/>
        <v>4535103</v>
      </c>
      <c r="R50" s="962"/>
    </row>
    <row r="51" spans="2:18">
      <c r="B51" s="901" t="s">
        <v>2886</v>
      </c>
      <c r="E51" s="963"/>
      <c r="F51" s="963"/>
      <c r="G51" s="963"/>
      <c r="H51" s="963"/>
      <c r="I51" s="963"/>
      <c r="J51" s="963"/>
      <c r="K51" s="963"/>
      <c r="L51" s="963"/>
      <c r="M51" s="963"/>
      <c r="N51" s="963">
        <f>SUM(N46:N50)</f>
        <v>1347361</v>
      </c>
      <c r="O51" s="963">
        <f>SUM(O46:O50)</f>
        <v>1498743</v>
      </c>
      <c r="P51" s="963">
        <f>SUM(P46:P50)</f>
        <v>1688999</v>
      </c>
      <c r="Q51" s="963">
        <f t="shared" si="0"/>
        <v>4535103</v>
      </c>
      <c r="R51" s="962"/>
    </row>
    <row r="52" spans="2:18">
      <c r="B52" s="964" t="s">
        <v>2673</v>
      </c>
      <c r="E52" s="963"/>
      <c r="F52" s="963"/>
      <c r="G52" s="963"/>
      <c r="H52" s="963"/>
      <c r="I52" s="963"/>
      <c r="J52" s="963"/>
      <c r="K52" s="963"/>
      <c r="L52" s="963"/>
      <c r="M52" s="963"/>
      <c r="N52" s="963"/>
      <c r="O52" s="963"/>
      <c r="P52" s="963"/>
      <c r="Q52" s="963">
        <f t="shared" si="0"/>
        <v>0</v>
      </c>
      <c r="R52" s="962"/>
    </row>
    <row r="53" spans="2:18">
      <c r="B53" s="901" t="s">
        <v>2919</v>
      </c>
      <c r="N53" s="901">
        <v>0</v>
      </c>
      <c r="O53" s="901">
        <v>753779.36</v>
      </c>
      <c r="P53" s="901">
        <v>973161.6</v>
      </c>
      <c r="Q53" s="963">
        <f t="shared" si="0"/>
        <v>1726940.96</v>
      </c>
      <c r="R53" s="962"/>
    </row>
    <row r="54" spans="2:18">
      <c r="B54" s="901" t="s">
        <v>2920</v>
      </c>
      <c r="E54" s="963"/>
      <c r="F54" s="963"/>
      <c r="G54" s="963"/>
      <c r="H54" s="963"/>
      <c r="I54" s="963"/>
      <c r="J54" s="963"/>
      <c r="K54" s="963"/>
      <c r="L54" s="963"/>
      <c r="M54" s="963"/>
      <c r="N54" s="963"/>
      <c r="O54" s="963"/>
      <c r="P54" s="963"/>
      <c r="Q54" s="963">
        <f t="shared" si="0"/>
        <v>0</v>
      </c>
      <c r="R54" s="962"/>
    </row>
    <row r="55" spans="2:18">
      <c r="B55" s="901" t="s">
        <v>2921</v>
      </c>
      <c r="E55" s="963"/>
      <c r="F55" s="963"/>
      <c r="G55" s="963"/>
      <c r="H55" s="963"/>
      <c r="I55" s="963"/>
      <c r="J55" s="963"/>
      <c r="K55" s="963"/>
      <c r="L55" s="963"/>
      <c r="M55" s="963"/>
      <c r="N55" s="963"/>
      <c r="O55" s="963"/>
      <c r="P55" s="963"/>
      <c r="Q55" s="963">
        <f t="shared" si="0"/>
        <v>0</v>
      </c>
      <c r="R55" s="962"/>
    </row>
    <row r="56" spans="2:18">
      <c r="B56" s="901" t="s">
        <v>2922</v>
      </c>
      <c r="E56" s="963"/>
      <c r="F56" s="963"/>
      <c r="G56" s="963"/>
      <c r="H56" s="963"/>
      <c r="I56" s="963"/>
      <c r="J56" s="963"/>
      <c r="K56" s="963"/>
      <c r="L56" s="963"/>
      <c r="M56" s="963"/>
      <c r="N56" s="963">
        <v>-72073.100000000006</v>
      </c>
      <c r="O56" s="963">
        <v>-78267.73</v>
      </c>
      <c r="P56" s="963">
        <v>-80229.440000000002</v>
      </c>
      <c r="Q56" s="963">
        <f t="shared" si="0"/>
        <v>-230570.27000000002</v>
      </c>
      <c r="R56" s="962"/>
    </row>
    <row r="57" spans="2:18">
      <c r="B57" s="901" t="s">
        <v>2750</v>
      </c>
      <c r="E57" s="963"/>
      <c r="F57" s="963"/>
      <c r="G57" s="963"/>
      <c r="H57" s="963"/>
      <c r="I57" s="963"/>
      <c r="J57" s="963"/>
      <c r="K57" s="963"/>
      <c r="L57" s="963"/>
      <c r="M57" s="963"/>
      <c r="N57" s="963"/>
      <c r="O57" s="963"/>
      <c r="P57" s="963"/>
      <c r="Q57" s="963">
        <f t="shared" si="0"/>
        <v>0</v>
      </c>
      <c r="R57" s="962"/>
    </row>
    <row r="58" spans="2:18">
      <c r="B58" s="901" t="s">
        <v>2751</v>
      </c>
      <c r="Q58" s="963">
        <f t="shared" si="0"/>
        <v>0</v>
      </c>
      <c r="R58" s="962"/>
    </row>
    <row r="59" spans="2:18">
      <c r="B59" s="901" t="s">
        <v>2451</v>
      </c>
      <c r="E59" s="963"/>
      <c r="F59" s="963"/>
      <c r="G59" s="963"/>
      <c r="H59" s="963"/>
      <c r="I59" s="963"/>
      <c r="J59" s="963"/>
      <c r="K59" s="963"/>
      <c r="L59" s="963"/>
      <c r="M59" s="963"/>
      <c r="N59" s="963"/>
      <c r="O59" s="963"/>
      <c r="P59" s="963"/>
      <c r="Q59" s="963">
        <f t="shared" si="0"/>
        <v>0</v>
      </c>
      <c r="R59" s="962"/>
    </row>
    <row r="60" spans="2:18">
      <c r="B60" s="901" t="s">
        <v>2697</v>
      </c>
      <c r="E60" s="963"/>
      <c r="F60" s="963"/>
      <c r="G60" s="963"/>
      <c r="H60" s="963"/>
      <c r="I60" s="963"/>
      <c r="J60" s="963"/>
      <c r="K60" s="963"/>
      <c r="L60" s="963"/>
      <c r="M60" s="963"/>
      <c r="N60" s="963"/>
      <c r="O60" s="963">
        <v>-751839.15</v>
      </c>
      <c r="P60" s="963">
        <v>-971048.36</v>
      </c>
      <c r="Q60" s="963">
        <f t="shared" si="0"/>
        <v>-1722887.51</v>
      </c>
      <c r="R60" s="962"/>
    </row>
    <row r="61" spans="2:18">
      <c r="B61" s="901" t="s">
        <v>2698</v>
      </c>
      <c r="E61" s="963"/>
      <c r="F61" s="963"/>
      <c r="G61" s="963"/>
      <c r="H61" s="963"/>
      <c r="I61" s="963"/>
      <c r="J61" s="963"/>
      <c r="K61" s="963"/>
      <c r="L61" s="963"/>
      <c r="M61" s="963"/>
      <c r="N61" s="963">
        <v>751839.15</v>
      </c>
      <c r="O61" s="963">
        <v>971048.36</v>
      </c>
      <c r="P61" s="963">
        <v>1090474.7</v>
      </c>
      <c r="Q61" s="963">
        <f t="shared" si="0"/>
        <v>2813362.21</v>
      </c>
      <c r="R61" s="962"/>
    </row>
    <row r="62" spans="2:18">
      <c r="B62" s="901" t="s">
        <v>2884</v>
      </c>
      <c r="E62" s="963"/>
      <c r="F62" s="963"/>
      <c r="G62" s="963"/>
      <c r="H62" s="963"/>
      <c r="I62" s="963"/>
      <c r="J62" s="963"/>
      <c r="K62" s="963"/>
      <c r="L62" s="963"/>
      <c r="M62" s="963"/>
      <c r="N62" s="963">
        <f>SUM(N53:N61)</f>
        <v>679766.05</v>
      </c>
      <c r="O62" s="963">
        <f>SUM(O53:O61)</f>
        <v>894720.84</v>
      </c>
      <c r="P62" s="963">
        <f>SUM(P53:P61)</f>
        <v>1012358.4999999999</v>
      </c>
      <c r="Q62" s="963">
        <f>SUM(E62:P62)</f>
        <v>2586845.39</v>
      </c>
      <c r="R62" s="962"/>
    </row>
    <row r="63" spans="2:18">
      <c r="B63" s="964" t="s">
        <v>2673</v>
      </c>
      <c r="Q63" s="963"/>
      <c r="R63" s="962"/>
    </row>
    <row r="64" spans="2:18">
      <c r="B64" s="964"/>
      <c r="Q64" s="963"/>
      <c r="R64" s="962"/>
    </row>
    <row r="65" spans="1:18">
      <c r="A65" s="903" t="s">
        <v>2926</v>
      </c>
      <c r="B65" s="960" t="s">
        <v>2927</v>
      </c>
      <c r="C65" s="956" t="s">
        <v>777</v>
      </c>
      <c r="D65" s="956">
        <v>67</v>
      </c>
      <c r="E65" s="961"/>
      <c r="F65" s="961"/>
      <c r="G65" s="961"/>
      <c r="H65" s="961"/>
      <c r="I65" s="961"/>
      <c r="J65" s="961"/>
      <c r="K65" s="961"/>
      <c r="L65" s="961"/>
      <c r="M65" s="961"/>
      <c r="N65" s="961"/>
      <c r="O65" s="961"/>
      <c r="P65" s="961"/>
      <c r="Q65" s="963"/>
      <c r="R65" s="962"/>
    </row>
    <row r="66" spans="1:18">
      <c r="B66" s="901" t="s">
        <v>2514</v>
      </c>
      <c r="C66" s="956" t="s">
        <v>780</v>
      </c>
      <c r="D66" s="956">
        <v>67</v>
      </c>
      <c r="E66" s="963">
        <v>1433715</v>
      </c>
      <c r="F66" s="963">
        <v>1616149</v>
      </c>
      <c r="G66" s="963">
        <v>1794729</v>
      </c>
      <c r="H66" s="963">
        <v>1331310</v>
      </c>
      <c r="I66" s="963">
        <v>789879</v>
      </c>
      <c r="J66" s="963">
        <v>579038</v>
      </c>
      <c r="K66" s="963">
        <v>537168</v>
      </c>
      <c r="L66" s="963">
        <v>564404</v>
      </c>
      <c r="M66" s="963">
        <v>651984</v>
      </c>
      <c r="N66" s="963">
        <v>1274354</v>
      </c>
      <c r="O66" s="963">
        <v>1158623</v>
      </c>
      <c r="P66" s="963">
        <v>1422636</v>
      </c>
      <c r="Q66" s="963">
        <f t="shared" si="0"/>
        <v>13153989</v>
      </c>
      <c r="R66" s="962"/>
    </row>
    <row r="67" spans="1:18">
      <c r="B67" s="901" t="s">
        <v>2915</v>
      </c>
      <c r="C67" s="956" t="s">
        <v>781</v>
      </c>
      <c r="D67" s="956">
        <v>67</v>
      </c>
      <c r="E67" s="963">
        <v>0</v>
      </c>
      <c r="F67" s="963">
        <v>0</v>
      </c>
      <c r="G67" s="963">
        <v>0</v>
      </c>
      <c r="H67" s="963">
        <v>0</v>
      </c>
      <c r="I67" s="963">
        <v>0</v>
      </c>
      <c r="J67" s="963">
        <v>0</v>
      </c>
      <c r="K67" s="963">
        <v>0</v>
      </c>
      <c r="L67" s="963">
        <v>0</v>
      </c>
      <c r="M67" s="963">
        <v>0</v>
      </c>
      <c r="N67" s="963">
        <v>0</v>
      </c>
      <c r="O67" s="963">
        <v>0</v>
      </c>
      <c r="P67" s="963">
        <v>0</v>
      </c>
      <c r="Q67" s="963">
        <f t="shared" si="0"/>
        <v>0</v>
      </c>
      <c r="R67" s="962"/>
    </row>
    <row r="68" spans="1:18">
      <c r="B68" s="901" t="s">
        <v>2916</v>
      </c>
      <c r="C68" s="956" t="s">
        <v>782</v>
      </c>
      <c r="D68" s="956">
        <v>67</v>
      </c>
      <c r="E68" s="963">
        <v>0</v>
      </c>
      <c r="F68" s="963">
        <v>0</v>
      </c>
      <c r="G68" s="963">
        <v>0</v>
      </c>
      <c r="H68" s="963">
        <v>0</v>
      </c>
      <c r="I68" s="963">
        <v>0</v>
      </c>
      <c r="J68" s="963">
        <v>0</v>
      </c>
      <c r="K68" s="963">
        <v>0</v>
      </c>
      <c r="L68" s="963">
        <v>0</v>
      </c>
      <c r="M68" s="963">
        <v>0</v>
      </c>
      <c r="N68" s="963">
        <v>0</v>
      </c>
      <c r="O68" s="963">
        <v>0</v>
      </c>
      <c r="P68" s="963">
        <v>0</v>
      </c>
      <c r="Q68" s="963">
        <f t="shared" si="0"/>
        <v>0</v>
      </c>
      <c r="R68" s="962"/>
    </row>
    <row r="69" spans="1:18">
      <c r="B69" s="901" t="s">
        <v>2917</v>
      </c>
      <c r="C69" s="956" t="s">
        <v>787</v>
      </c>
      <c r="D69" s="956">
        <v>67</v>
      </c>
      <c r="E69" s="963">
        <v>0</v>
      </c>
      <c r="F69" s="963">
        <v>0</v>
      </c>
      <c r="G69" s="963">
        <v>0</v>
      </c>
      <c r="H69" s="963">
        <v>0</v>
      </c>
      <c r="I69" s="963">
        <v>0</v>
      </c>
      <c r="J69" s="963">
        <v>0</v>
      </c>
      <c r="K69" s="963">
        <v>0</v>
      </c>
      <c r="L69" s="963">
        <v>0</v>
      </c>
      <c r="M69" s="963">
        <v>0</v>
      </c>
      <c r="N69" s="963">
        <v>0</v>
      </c>
      <c r="O69" s="963">
        <v>0</v>
      </c>
      <c r="P69" s="963">
        <v>0</v>
      </c>
      <c r="Q69" s="963">
        <f t="shared" si="0"/>
        <v>0</v>
      </c>
      <c r="R69" s="962"/>
    </row>
    <row r="70" spans="1:18">
      <c r="B70" s="901" t="s">
        <v>2918</v>
      </c>
      <c r="C70" s="956" t="s">
        <v>788</v>
      </c>
      <c r="D70" s="956">
        <v>67</v>
      </c>
      <c r="E70" s="963">
        <v>0</v>
      </c>
      <c r="F70" s="963">
        <v>0</v>
      </c>
      <c r="G70" s="963">
        <v>0</v>
      </c>
      <c r="H70" s="963">
        <v>0</v>
      </c>
      <c r="I70" s="963">
        <v>0</v>
      </c>
      <c r="J70" s="963">
        <v>0</v>
      </c>
      <c r="K70" s="963">
        <v>0</v>
      </c>
      <c r="L70" s="963">
        <v>0</v>
      </c>
      <c r="M70" s="963">
        <v>0</v>
      </c>
      <c r="N70" s="963">
        <v>0</v>
      </c>
      <c r="O70" s="963">
        <v>0</v>
      </c>
      <c r="P70" s="963">
        <v>0</v>
      </c>
      <c r="Q70" s="963">
        <f t="shared" si="0"/>
        <v>0</v>
      </c>
      <c r="R70" s="962"/>
    </row>
    <row r="71" spans="1:18">
      <c r="B71" s="901" t="s">
        <v>2886</v>
      </c>
      <c r="C71" s="956" t="s">
        <v>789</v>
      </c>
      <c r="D71" s="956">
        <v>67</v>
      </c>
      <c r="E71" s="963">
        <v>1433715</v>
      </c>
      <c r="F71" s="963">
        <v>1616149</v>
      </c>
      <c r="G71" s="963">
        <v>1794729</v>
      </c>
      <c r="H71" s="963">
        <v>1331310</v>
      </c>
      <c r="I71" s="963">
        <v>789879</v>
      </c>
      <c r="J71" s="963">
        <v>579038</v>
      </c>
      <c r="K71" s="963">
        <v>537168</v>
      </c>
      <c r="L71" s="963">
        <v>564404</v>
      </c>
      <c r="M71" s="963">
        <v>651984</v>
      </c>
      <c r="N71" s="963">
        <v>1274354</v>
      </c>
      <c r="O71" s="963">
        <v>1158623</v>
      </c>
      <c r="P71" s="963">
        <v>1422636</v>
      </c>
      <c r="Q71" s="963">
        <f t="shared" si="0"/>
        <v>13153989</v>
      </c>
      <c r="R71" s="962"/>
    </row>
    <row r="72" spans="1:18">
      <c r="B72" s="964" t="s">
        <v>2673</v>
      </c>
      <c r="E72" s="963"/>
      <c r="F72" s="963"/>
      <c r="G72" s="963"/>
      <c r="H72" s="963"/>
      <c r="I72" s="963"/>
      <c r="J72" s="963"/>
      <c r="K72" s="963"/>
      <c r="L72" s="963"/>
      <c r="M72" s="963"/>
      <c r="N72" s="963"/>
      <c r="O72" s="963"/>
      <c r="P72" s="963"/>
      <c r="Q72" s="963">
        <f t="shared" si="0"/>
        <v>0</v>
      </c>
      <c r="R72" s="962"/>
    </row>
    <row r="73" spans="1:18">
      <c r="B73" s="901" t="s">
        <v>2919</v>
      </c>
      <c r="C73" s="956" t="s">
        <v>780</v>
      </c>
      <c r="D73" s="956">
        <v>111</v>
      </c>
      <c r="E73" s="963">
        <v>936888.66</v>
      </c>
      <c r="F73" s="963">
        <v>1049392.1399999999</v>
      </c>
      <c r="G73" s="963">
        <v>1164185.93</v>
      </c>
      <c r="H73" s="963">
        <v>896883.68</v>
      </c>
      <c r="I73" s="963">
        <v>591706.77</v>
      </c>
      <c r="J73" s="963">
        <v>443240.55</v>
      </c>
      <c r="K73" s="963">
        <v>411665.08</v>
      </c>
      <c r="L73" s="963">
        <v>431235.45</v>
      </c>
      <c r="M73" s="963">
        <v>488654.76</v>
      </c>
      <c r="N73" s="963">
        <v>918719.51</v>
      </c>
      <c r="O73" s="963">
        <v>869878.78</v>
      </c>
      <c r="P73" s="963">
        <v>1111820.51</v>
      </c>
      <c r="Q73" s="963">
        <f t="shared" si="0"/>
        <v>9314271.8200000003</v>
      </c>
      <c r="R73" s="962"/>
    </row>
    <row r="74" spans="1:18">
      <c r="B74" s="901" t="s">
        <v>2920</v>
      </c>
      <c r="C74" s="956" t="s">
        <v>781</v>
      </c>
      <c r="D74" s="956">
        <v>111</v>
      </c>
      <c r="E74" s="963">
        <v>0</v>
      </c>
      <c r="F74" s="963">
        <v>0</v>
      </c>
      <c r="G74" s="963">
        <v>0</v>
      </c>
      <c r="H74" s="963">
        <v>0</v>
      </c>
      <c r="I74" s="963">
        <v>0</v>
      </c>
      <c r="J74" s="963">
        <v>0</v>
      </c>
      <c r="K74" s="963">
        <v>0</v>
      </c>
      <c r="L74" s="963">
        <v>0</v>
      </c>
      <c r="M74" s="963">
        <v>0</v>
      </c>
      <c r="N74" s="963">
        <v>0</v>
      </c>
      <c r="O74" s="963">
        <v>0</v>
      </c>
      <c r="P74" s="963">
        <v>0</v>
      </c>
      <c r="Q74" s="963">
        <f t="shared" si="0"/>
        <v>0</v>
      </c>
      <c r="R74" s="962"/>
    </row>
    <row r="75" spans="1:18">
      <c r="B75" s="901" t="s">
        <v>2921</v>
      </c>
      <c r="C75" s="956" t="s">
        <v>782</v>
      </c>
      <c r="D75" s="956">
        <v>111</v>
      </c>
      <c r="E75" s="963">
        <v>0</v>
      </c>
      <c r="F75" s="963">
        <v>0</v>
      </c>
      <c r="G75" s="963">
        <v>0</v>
      </c>
      <c r="H75" s="963">
        <v>0</v>
      </c>
      <c r="I75" s="963">
        <v>0</v>
      </c>
      <c r="J75" s="963">
        <v>0</v>
      </c>
      <c r="K75" s="963">
        <v>0</v>
      </c>
      <c r="L75" s="963">
        <v>0</v>
      </c>
      <c r="M75" s="963">
        <v>0</v>
      </c>
      <c r="N75" s="963">
        <v>0</v>
      </c>
      <c r="O75" s="963">
        <v>0</v>
      </c>
      <c r="P75" s="963">
        <v>0</v>
      </c>
      <c r="Q75" s="963">
        <f t="shared" si="0"/>
        <v>0</v>
      </c>
      <c r="R75" s="962"/>
    </row>
    <row r="76" spans="1:18">
      <c r="B76" s="901" t="s">
        <v>2922</v>
      </c>
      <c r="C76" s="956" t="s">
        <v>783</v>
      </c>
      <c r="D76" s="956">
        <v>111</v>
      </c>
      <c r="E76" s="963">
        <v>25729.21</v>
      </c>
      <c r="F76" s="963">
        <v>-33933.46</v>
      </c>
      <c r="G76" s="963">
        <v>-72068.69</v>
      </c>
      <c r="H76" s="963">
        <v>-57172.43</v>
      </c>
      <c r="I76" s="963">
        <v>-17312.7</v>
      </c>
      <c r="J76" s="963">
        <v>4196.7299999999996</v>
      </c>
      <c r="K76" s="963">
        <v>-6871.89</v>
      </c>
      <c r="L76" s="963">
        <v>-6235.57</v>
      </c>
      <c r="M76" s="963">
        <v>4695.5</v>
      </c>
      <c r="N76" s="963">
        <v>-12962</v>
      </c>
      <c r="O76" s="963">
        <v>-22893.87</v>
      </c>
      <c r="P76" s="963">
        <v>-3052.33</v>
      </c>
      <c r="Q76" s="963">
        <f>SUM(E76:P76)</f>
        <v>-197881.5</v>
      </c>
      <c r="R76" s="962"/>
    </row>
    <row r="77" spans="1:18">
      <c r="B77" s="901" t="s">
        <v>2750</v>
      </c>
      <c r="C77" s="956" t="s">
        <v>784</v>
      </c>
      <c r="D77" s="956">
        <v>111</v>
      </c>
      <c r="E77" s="963">
        <v>-6924.85</v>
      </c>
      <c r="F77" s="963">
        <v>-7806</v>
      </c>
      <c r="G77" s="963">
        <v>-8668.5400000000009</v>
      </c>
      <c r="H77" s="963">
        <v>-6430.23</v>
      </c>
      <c r="I77" s="963">
        <v>-3815.11</v>
      </c>
      <c r="J77" s="963">
        <v>-2796.75</v>
      </c>
      <c r="K77" s="963">
        <v>-2594.52</v>
      </c>
      <c r="L77" s="963">
        <v>-2726.07</v>
      </c>
      <c r="M77" s="963">
        <v>-3149.08</v>
      </c>
      <c r="N77" s="963">
        <v>-6155.13</v>
      </c>
      <c r="O77" s="963">
        <v>-2398.44</v>
      </c>
      <c r="P77" s="963">
        <v>6046.2</v>
      </c>
      <c r="Q77" s="963">
        <f>SUM(E77:P77)</f>
        <v>-47418.52</v>
      </c>
      <c r="R77" s="962"/>
    </row>
    <row r="78" spans="1:18">
      <c r="B78" s="901" t="s">
        <v>2751</v>
      </c>
      <c r="C78" s="956" t="s">
        <v>785</v>
      </c>
      <c r="D78" s="956">
        <v>111</v>
      </c>
      <c r="E78" s="963">
        <v>0</v>
      </c>
      <c r="F78" s="963">
        <v>0</v>
      </c>
      <c r="G78" s="963">
        <v>0</v>
      </c>
      <c r="H78" s="963">
        <v>0</v>
      </c>
      <c r="I78" s="963">
        <v>0</v>
      </c>
      <c r="J78" s="963">
        <v>0</v>
      </c>
      <c r="K78" s="963">
        <v>0</v>
      </c>
      <c r="L78" s="963">
        <v>0</v>
      </c>
      <c r="M78" s="963">
        <v>0</v>
      </c>
      <c r="N78" s="963">
        <v>0</v>
      </c>
      <c r="O78" s="963">
        <v>0</v>
      </c>
      <c r="P78" s="963">
        <v>0</v>
      </c>
      <c r="Q78" s="963">
        <f t="shared" si="0"/>
        <v>0</v>
      </c>
      <c r="R78" s="962"/>
    </row>
    <row r="79" spans="1:18">
      <c r="B79" s="901" t="s">
        <v>2451</v>
      </c>
      <c r="C79" s="956" t="s">
        <v>786</v>
      </c>
      <c r="D79" s="956">
        <v>111</v>
      </c>
      <c r="E79" s="963">
        <v>0</v>
      </c>
      <c r="F79" s="963">
        <v>0</v>
      </c>
      <c r="G79" s="963">
        <v>0</v>
      </c>
      <c r="H79" s="963">
        <v>0</v>
      </c>
      <c r="I79" s="963">
        <v>0</v>
      </c>
      <c r="J79" s="963">
        <v>0</v>
      </c>
      <c r="K79" s="963">
        <v>0</v>
      </c>
      <c r="L79" s="963">
        <v>0</v>
      </c>
      <c r="M79" s="963">
        <v>0</v>
      </c>
      <c r="N79" s="963">
        <v>0</v>
      </c>
      <c r="O79" s="963">
        <v>0</v>
      </c>
      <c r="P79" s="963">
        <v>0</v>
      </c>
      <c r="Q79" s="963">
        <f t="shared" si="0"/>
        <v>0</v>
      </c>
      <c r="R79" s="962"/>
    </row>
    <row r="80" spans="1:18">
      <c r="B80" s="901" t="s">
        <v>2697</v>
      </c>
      <c r="C80" s="956" t="s">
        <v>787</v>
      </c>
      <c r="D80" s="956">
        <v>111</v>
      </c>
      <c r="E80" s="963">
        <v>0</v>
      </c>
      <c r="F80" s="963">
        <v>0</v>
      </c>
      <c r="G80" s="963">
        <v>0</v>
      </c>
      <c r="H80" s="963">
        <v>0</v>
      </c>
      <c r="I80" s="963">
        <v>0</v>
      </c>
      <c r="J80" s="963">
        <v>0</v>
      </c>
      <c r="K80" s="963">
        <v>0</v>
      </c>
      <c r="L80" s="963">
        <v>0</v>
      </c>
      <c r="M80" s="963">
        <v>0</v>
      </c>
      <c r="N80" s="963">
        <v>0</v>
      </c>
      <c r="O80" s="963">
        <v>0</v>
      </c>
      <c r="P80" s="963">
        <v>0</v>
      </c>
      <c r="Q80" s="963">
        <f t="shared" si="0"/>
        <v>0</v>
      </c>
      <c r="R80" s="962"/>
    </row>
    <row r="81" spans="1:18">
      <c r="B81" s="901" t="s">
        <v>2698</v>
      </c>
      <c r="C81" s="956" t="s">
        <v>788</v>
      </c>
      <c r="D81" s="956">
        <v>111</v>
      </c>
      <c r="E81" s="963">
        <v>0</v>
      </c>
      <c r="F81" s="963">
        <v>0</v>
      </c>
      <c r="G81" s="963">
        <v>0</v>
      </c>
      <c r="H81" s="963">
        <v>0</v>
      </c>
      <c r="I81" s="963">
        <v>0</v>
      </c>
      <c r="J81" s="963">
        <v>0</v>
      </c>
      <c r="K81" s="963">
        <v>0</v>
      </c>
      <c r="L81" s="963">
        <v>0</v>
      </c>
      <c r="M81" s="963">
        <v>0</v>
      </c>
      <c r="N81" s="963">
        <v>0</v>
      </c>
      <c r="O81" s="963">
        <v>0</v>
      </c>
      <c r="P81" s="963">
        <v>0</v>
      </c>
      <c r="Q81" s="963">
        <f t="shared" si="0"/>
        <v>0</v>
      </c>
      <c r="R81" s="962"/>
    </row>
    <row r="82" spans="1:18">
      <c r="B82" s="901" t="s">
        <v>2884</v>
      </c>
      <c r="C82" s="956" t="s">
        <v>789</v>
      </c>
      <c r="D82" s="956">
        <v>111</v>
      </c>
      <c r="E82" s="963">
        <v>955693.02</v>
      </c>
      <c r="F82" s="963">
        <v>1007652.6799999999</v>
      </c>
      <c r="G82" s="963">
        <v>1083448.7</v>
      </c>
      <c r="H82" s="963">
        <v>833281.02</v>
      </c>
      <c r="I82" s="963">
        <v>570578.96000000008</v>
      </c>
      <c r="J82" s="963">
        <v>444640.52999999997</v>
      </c>
      <c r="K82" s="963">
        <v>402198.67</v>
      </c>
      <c r="L82" s="963">
        <v>422273.81</v>
      </c>
      <c r="M82" s="963">
        <v>490201.18</v>
      </c>
      <c r="N82" s="963">
        <v>899602.38</v>
      </c>
      <c r="O82" s="963">
        <v>844586.47000000009</v>
      </c>
      <c r="P82" s="963">
        <v>1114814.3799999999</v>
      </c>
      <c r="Q82" s="963">
        <f t="shared" si="0"/>
        <v>9068971.7999999989</v>
      </c>
      <c r="R82" s="962"/>
    </row>
    <row r="83" spans="1:18">
      <c r="B83" s="964" t="s">
        <v>2673</v>
      </c>
      <c r="E83" s="963"/>
      <c r="F83" s="963"/>
      <c r="G83" s="963"/>
      <c r="H83" s="963"/>
      <c r="I83" s="963"/>
      <c r="J83" s="963"/>
      <c r="K83" s="963"/>
      <c r="L83" s="963"/>
      <c r="M83" s="963"/>
      <c r="N83" s="963"/>
      <c r="O83" s="963"/>
      <c r="P83" s="963"/>
      <c r="Q83" s="963">
        <f t="shared" si="0"/>
        <v>0</v>
      </c>
      <c r="R83" s="962"/>
    </row>
    <row r="84" spans="1:18">
      <c r="Q84" s="963">
        <f t="shared" si="0"/>
        <v>0</v>
      </c>
      <c r="R84" s="962"/>
    </row>
    <row r="85" spans="1:18">
      <c r="A85" s="901" t="s">
        <v>2830</v>
      </c>
      <c r="B85" s="960" t="s">
        <v>2928</v>
      </c>
      <c r="C85" s="956" t="s">
        <v>777</v>
      </c>
      <c r="D85" s="956">
        <v>72</v>
      </c>
      <c r="E85" s="961"/>
      <c r="F85" s="961"/>
      <c r="G85" s="961"/>
      <c r="H85" s="961"/>
      <c r="I85" s="961"/>
      <c r="J85" s="961"/>
      <c r="K85" s="961"/>
      <c r="L85" s="961"/>
      <c r="M85" s="961"/>
      <c r="N85" s="961"/>
      <c r="O85" s="961"/>
      <c r="P85" s="961"/>
      <c r="Q85" s="963"/>
      <c r="R85" s="962"/>
    </row>
    <row r="86" spans="1:18">
      <c r="B86" s="901" t="s">
        <v>2514</v>
      </c>
      <c r="C86" s="956" t="s">
        <v>780</v>
      </c>
      <c r="D86" s="956">
        <v>72</v>
      </c>
      <c r="E86" s="963">
        <v>1477641</v>
      </c>
      <c r="F86" s="963">
        <v>1527495</v>
      </c>
      <c r="G86" s="963">
        <v>1650107</v>
      </c>
      <c r="H86" s="963">
        <v>1028839</v>
      </c>
      <c r="I86" s="963">
        <v>692205</v>
      </c>
      <c r="J86" s="963">
        <v>479946</v>
      </c>
      <c r="K86" s="963">
        <v>406093</v>
      </c>
      <c r="L86" s="963">
        <v>400926</v>
      </c>
      <c r="M86" s="963">
        <v>346838</v>
      </c>
      <c r="N86" s="963">
        <v>680358</v>
      </c>
      <c r="O86" s="963">
        <v>1037028</v>
      </c>
      <c r="P86" s="963">
        <v>1270156</v>
      </c>
      <c r="Q86" s="963">
        <f t="shared" si="0"/>
        <v>10997632</v>
      </c>
      <c r="R86" s="962"/>
    </row>
    <row r="87" spans="1:18">
      <c r="B87" s="901" t="s">
        <v>2915</v>
      </c>
      <c r="C87" s="956" t="s">
        <v>781</v>
      </c>
      <c r="D87" s="956">
        <v>72</v>
      </c>
      <c r="E87" s="963">
        <v>0</v>
      </c>
      <c r="F87" s="963">
        <v>0</v>
      </c>
      <c r="G87" s="963">
        <v>0</v>
      </c>
      <c r="H87" s="963">
        <v>0</v>
      </c>
      <c r="I87" s="963">
        <v>0</v>
      </c>
      <c r="J87" s="963">
        <v>0</v>
      </c>
      <c r="K87" s="963">
        <v>0</v>
      </c>
      <c r="L87" s="963">
        <v>0</v>
      </c>
      <c r="M87" s="963">
        <v>0</v>
      </c>
      <c r="N87" s="963">
        <v>0</v>
      </c>
      <c r="O87" s="963">
        <v>0</v>
      </c>
      <c r="P87" s="963">
        <v>0</v>
      </c>
      <c r="Q87" s="963">
        <f t="shared" si="0"/>
        <v>0</v>
      </c>
      <c r="R87" s="962"/>
    </row>
    <row r="88" spans="1:18">
      <c r="B88" s="901" t="s">
        <v>2916</v>
      </c>
      <c r="C88" s="956" t="s">
        <v>782</v>
      </c>
      <c r="D88" s="956">
        <v>72</v>
      </c>
      <c r="E88" s="963">
        <v>0</v>
      </c>
      <c r="F88" s="963">
        <v>0</v>
      </c>
      <c r="G88" s="963">
        <v>0</v>
      </c>
      <c r="H88" s="963">
        <v>0</v>
      </c>
      <c r="I88" s="963">
        <v>0</v>
      </c>
      <c r="J88" s="963">
        <v>0</v>
      </c>
      <c r="K88" s="963">
        <v>0</v>
      </c>
      <c r="L88" s="963">
        <v>0</v>
      </c>
      <c r="M88" s="963">
        <v>0</v>
      </c>
      <c r="N88" s="963">
        <v>0</v>
      </c>
      <c r="O88" s="963">
        <v>0</v>
      </c>
      <c r="P88" s="963">
        <v>0</v>
      </c>
      <c r="Q88" s="963">
        <f t="shared" si="0"/>
        <v>0</v>
      </c>
      <c r="R88" s="962"/>
    </row>
    <row r="89" spans="1:18">
      <c r="B89" s="901" t="s">
        <v>2917</v>
      </c>
      <c r="C89" s="956" t="s">
        <v>787</v>
      </c>
      <c r="D89" s="956">
        <v>72</v>
      </c>
      <c r="E89" s="963">
        <v>0</v>
      </c>
      <c r="F89" s="963">
        <v>0</v>
      </c>
      <c r="G89" s="963">
        <v>0</v>
      </c>
      <c r="H89" s="963">
        <v>0</v>
      </c>
      <c r="I89" s="963">
        <v>0</v>
      </c>
      <c r="J89" s="963">
        <v>0</v>
      </c>
      <c r="K89" s="963">
        <v>0</v>
      </c>
      <c r="L89" s="963">
        <v>0</v>
      </c>
      <c r="M89" s="963">
        <v>0</v>
      </c>
      <c r="N89" s="963">
        <v>0</v>
      </c>
      <c r="O89" s="963">
        <v>0</v>
      </c>
      <c r="P89" s="963">
        <v>0</v>
      </c>
      <c r="Q89" s="963">
        <f t="shared" si="0"/>
        <v>0</v>
      </c>
      <c r="R89" s="962"/>
    </row>
    <row r="90" spans="1:18">
      <c r="B90" s="901" t="s">
        <v>2918</v>
      </c>
      <c r="C90" s="956" t="s">
        <v>788</v>
      </c>
      <c r="D90" s="956">
        <v>72</v>
      </c>
      <c r="E90" s="963">
        <v>0</v>
      </c>
      <c r="F90" s="963">
        <v>0</v>
      </c>
      <c r="G90" s="963">
        <v>0</v>
      </c>
      <c r="H90" s="963">
        <v>0</v>
      </c>
      <c r="I90" s="963">
        <v>0</v>
      </c>
      <c r="J90" s="963">
        <v>0</v>
      </c>
      <c r="K90" s="963">
        <v>0</v>
      </c>
      <c r="L90" s="963">
        <v>0</v>
      </c>
      <c r="M90" s="963">
        <v>0</v>
      </c>
      <c r="N90" s="963">
        <v>0</v>
      </c>
      <c r="O90" s="963">
        <v>0</v>
      </c>
      <c r="P90" s="963">
        <v>0</v>
      </c>
      <c r="Q90" s="963">
        <f t="shared" si="0"/>
        <v>0</v>
      </c>
      <c r="R90" s="962"/>
    </row>
    <row r="91" spans="1:18">
      <c r="B91" s="901" t="s">
        <v>2886</v>
      </c>
      <c r="C91" s="956" t="s">
        <v>789</v>
      </c>
      <c r="D91" s="956">
        <v>72</v>
      </c>
      <c r="E91" s="963">
        <v>1477641</v>
      </c>
      <c r="F91" s="963">
        <v>1527495</v>
      </c>
      <c r="G91" s="963">
        <v>1650107</v>
      </c>
      <c r="H91" s="963">
        <v>1028839</v>
      </c>
      <c r="I91" s="963">
        <v>692205</v>
      </c>
      <c r="J91" s="963">
        <v>479946</v>
      </c>
      <c r="K91" s="963">
        <v>406093</v>
      </c>
      <c r="L91" s="963">
        <v>400926</v>
      </c>
      <c r="M91" s="963">
        <v>346838</v>
      </c>
      <c r="N91" s="963">
        <v>680358</v>
      </c>
      <c r="O91" s="963">
        <v>1037028</v>
      </c>
      <c r="P91" s="963">
        <v>1270156</v>
      </c>
      <c r="Q91" s="963">
        <f t="shared" ref="Q91:Q174" si="6">SUM(E91:P91)</f>
        <v>10997632</v>
      </c>
      <c r="R91" s="962"/>
    </row>
    <row r="92" spans="1:18">
      <c r="B92" s="964" t="s">
        <v>2673</v>
      </c>
      <c r="E92" s="963"/>
      <c r="F92" s="963"/>
      <c r="G92" s="963"/>
      <c r="H92" s="963"/>
      <c r="I92" s="963"/>
      <c r="J92" s="963"/>
      <c r="K92" s="963"/>
      <c r="L92" s="963"/>
      <c r="M92" s="963"/>
      <c r="N92" s="963"/>
      <c r="O92" s="963"/>
      <c r="P92" s="963"/>
      <c r="Q92" s="963">
        <f t="shared" si="6"/>
        <v>0</v>
      </c>
      <c r="R92" s="962"/>
    </row>
    <row r="93" spans="1:18">
      <c r="B93" s="901" t="s">
        <v>2919</v>
      </c>
      <c r="C93" s="956" t="s">
        <v>780</v>
      </c>
      <c r="D93" s="956">
        <v>116</v>
      </c>
      <c r="E93" s="963">
        <v>822203.04</v>
      </c>
      <c r="F93" s="963">
        <v>849600.63</v>
      </c>
      <c r="G93" s="963">
        <v>914449.75</v>
      </c>
      <c r="H93" s="963">
        <v>603443.46</v>
      </c>
      <c r="I93" s="963">
        <v>448412.25</v>
      </c>
      <c r="J93" s="963">
        <v>314956.52</v>
      </c>
      <c r="K93" s="963">
        <v>267558.89</v>
      </c>
      <c r="L93" s="963">
        <v>262242.84999999998</v>
      </c>
      <c r="M93" s="963">
        <v>230387.74</v>
      </c>
      <c r="N93" s="963">
        <v>438604.01</v>
      </c>
      <c r="O93" s="963">
        <v>695593.82</v>
      </c>
      <c r="P93" s="963">
        <v>929583.21</v>
      </c>
      <c r="Q93" s="963">
        <f t="shared" si="6"/>
        <v>6777036.1699999999</v>
      </c>
      <c r="R93" s="962"/>
    </row>
    <row r="94" spans="1:18">
      <c r="B94" s="901" t="s">
        <v>2920</v>
      </c>
      <c r="C94" s="956" t="s">
        <v>781</v>
      </c>
      <c r="D94" s="956">
        <v>116</v>
      </c>
      <c r="E94" s="963">
        <v>0</v>
      </c>
      <c r="F94" s="963">
        <v>0</v>
      </c>
      <c r="G94" s="963">
        <v>0</v>
      </c>
      <c r="H94" s="963">
        <v>0</v>
      </c>
      <c r="I94" s="963">
        <v>0</v>
      </c>
      <c r="J94" s="963">
        <v>0</v>
      </c>
      <c r="K94" s="963">
        <v>0</v>
      </c>
      <c r="L94" s="963">
        <v>0</v>
      </c>
      <c r="M94" s="963">
        <v>0</v>
      </c>
      <c r="N94" s="963">
        <v>0</v>
      </c>
      <c r="O94" s="963">
        <v>0</v>
      </c>
      <c r="P94" s="963">
        <v>0</v>
      </c>
      <c r="Q94" s="963">
        <f t="shared" si="6"/>
        <v>0</v>
      </c>
      <c r="R94" s="962"/>
    </row>
    <row r="95" spans="1:18">
      <c r="B95" s="901" t="s">
        <v>2921</v>
      </c>
      <c r="C95" s="956" t="s">
        <v>782</v>
      </c>
      <c r="D95" s="956">
        <v>116</v>
      </c>
      <c r="E95" s="963">
        <v>0</v>
      </c>
      <c r="F95" s="963">
        <v>0</v>
      </c>
      <c r="G95" s="963">
        <v>0</v>
      </c>
      <c r="H95" s="963">
        <v>0</v>
      </c>
      <c r="I95" s="963">
        <v>0</v>
      </c>
      <c r="J95" s="963">
        <v>0</v>
      </c>
      <c r="K95" s="963">
        <v>0</v>
      </c>
      <c r="L95" s="963">
        <v>0</v>
      </c>
      <c r="M95" s="963">
        <v>0</v>
      </c>
      <c r="N95" s="963">
        <v>0</v>
      </c>
      <c r="O95" s="963">
        <v>0</v>
      </c>
      <c r="P95" s="963">
        <v>0</v>
      </c>
      <c r="Q95" s="963">
        <f t="shared" si="6"/>
        <v>0</v>
      </c>
      <c r="R95" s="962"/>
    </row>
    <row r="96" spans="1:18">
      <c r="B96" s="901" t="s">
        <v>2922</v>
      </c>
      <c r="C96" s="956" t="s">
        <v>783</v>
      </c>
      <c r="D96" s="956">
        <v>116</v>
      </c>
      <c r="E96" s="963">
        <v>-17428.68</v>
      </c>
      <c r="F96" s="963">
        <v>-84690.62</v>
      </c>
      <c r="G96" s="963">
        <v>3014.39</v>
      </c>
      <c r="H96" s="963">
        <v>95.74</v>
      </c>
      <c r="I96" s="963">
        <v>-13837.17</v>
      </c>
      <c r="J96" s="963">
        <v>5149.33</v>
      </c>
      <c r="K96" s="963">
        <v>-11560.95</v>
      </c>
      <c r="L96" s="963">
        <v>18053.38</v>
      </c>
      <c r="M96" s="963">
        <v>-9861.26</v>
      </c>
      <c r="N96" s="963">
        <v>-70860.75</v>
      </c>
      <c r="O96" s="963">
        <v>-87846.34</v>
      </c>
      <c r="P96" s="963">
        <v>-8942.39</v>
      </c>
      <c r="Q96" s="963">
        <f t="shared" si="6"/>
        <v>-278715.31999999995</v>
      </c>
      <c r="R96" s="962"/>
    </row>
    <row r="97" spans="1:18">
      <c r="B97" s="901" t="s">
        <v>2750</v>
      </c>
      <c r="C97" s="956" t="s">
        <v>784</v>
      </c>
      <c r="D97" s="956">
        <v>116</v>
      </c>
      <c r="E97" s="963">
        <v>72847.710000000006</v>
      </c>
      <c r="F97" s="963">
        <v>75305.509999999995</v>
      </c>
      <c r="G97" s="963">
        <v>81350.27</v>
      </c>
      <c r="H97" s="963">
        <v>50721.77</v>
      </c>
      <c r="I97" s="963">
        <v>34125.71</v>
      </c>
      <c r="J97" s="963">
        <v>23661.33</v>
      </c>
      <c r="K97" s="963">
        <v>20020.38</v>
      </c>
      <c r="L97" s="963">
        <v>19765.650000000001</v>
      </c>
      <c r="M97" s="963">
        <v>17099.11</v>
      </c>
      <c r="N97" s="963">
        <v>101825.91</v>
      </c>
      <c r="O97" s="963">
        <v>65791.55</v>
      </c>
      <c r="P97" s="963">
        <v>54083.88</v>
      </c>
      <c r="Q97" s="963">
        <f t="shared" si="6"/>
        <v>616598.78000000014</v>
      </c>
      <c r="R97" s="962"/>
    </row>
    <row r="98" spans="1:18">
      <c r="B98" s="901" t="s">
        <v>2751</v>
      </c>
      <c r="C98" s="956" t="s">
        <v>785</v>
      </c>
      <c r="D98" s="956">
        <v>116</v>
      </c>
      <c r="E98" s="963">
        <v>0</v>
      </c>
      <c r="F98" s="963">
        <v>0</v>
      </c>
      <c r="G98" s="963">
        <v>0</v>
      </c>
      <c r="H98" s="963">
        <v>0</v>
      </c>
      <c r="I98" s="963">
        <v>0</v>
      </c>
      <c r="J98" s="963">
        <v>0</v>
      </c>
      <c r="K98" s="963">
        <v>0</v>
      </c>
      <c r="L98" s="963">
        <v>0</v>
      </c>
      <c r="M98" s="963">
        <v>0</v>
      </c>
      <c r="N98" s="963">
        <v>0</v>
      </c>
      <c r="O98" s="963">
        <v>0</v>
      </c>
      <c r="P98" s="963">
        <v>0</v>
      </c>
      <c r="Q98" s="963">
        <f t="shared" si="6"/>
        <v>0</v>
      </c>
      <c r="R98" s="962"/>
    </row>
    <row r="99" spans="1:18">
      <c r="B99" s="901" t="s">
        <v>2451</v>
      </c>
      <c r="C99" s="956" t="s">
        <v>786</v>
      </c>
      <c r="D99" s="956">
        <v>116</v>
      </c>
      <c r="E99" s="963">
        <v>0</v>
      </c>
      <c r="F99" s="963">
        <v>0</v>
      </c>
      <c r="G99" s="963">
        <v>0</v>
      </c>
      <c r="H99" s="963">
        <v>0</v>
      </c>
      <c r="I99" s="963">
        <v>0</v>
      </c>
      <c r="J99" s="963">
        <v>0</v>
      </c>
      <c r="K99" s="963">
        <v>0</v>
      </c>
      <c r="L99" s="963">
        <v>0</v>
      </c>
      <c r="M99" s="963">
        <v>0</v>
      </c>
      <c r="N99" s="963">
        <v>0</v>
      </c>
      <c r="O99" s="963">
        <v>0</v>
      </c>
      <c r="P99" s="963">
        <v>0</v>
      </c>
      <c r="Q99" s="963">
        <f t="shared" si="6"/>
        <v>0</v>
      </c>
      <c r="R99" s="962"/>
    </row>
    <row r="100" spans="1:18">
      <c r="B100" s="901" t="s">
        <v>2697</v>
      </c>
      <c r="C100" s="956" t="s">
        <v>787</v>
      </c>
      <c r="D100" s="956">
        <v>116</v>
      </c>
      <c r="E100" s="963">
        <v>0</v>
      </c>
      <c r="F100" s="963">
        <v>0</v>
      </c>
      <c r="G100" s="963">
        <v>0</v>
      </c>
      <c r="H100" s="963">
        <v>0</v>
      </c>
      <c r="I100" s="963">
        <v>0</v>
      </c>
      <c r="J100" s="963">
        <v>0</v>
      </c>
      <c r="K100" s="963">
        <v>0</v>
      </c>
      <c r="L100" s="963">
        <v>0</v>
      </c>
      <c r="M100" s="963">
        <v>0</v>
      </c>
      <c r="N100" s="963">
        <v>0</v>
      </c>
      <c r="O100" s="963">
        <v>0</v>
      </c>
      <c r="P100" s="963">
        <v>0</v>
      </c>
      <c r="Q100" s="963">
        <f t="shared" si="6"/>
        <v>0</v>
      </c>
      <c r="R100" s="962"/>
    </row>
    <row r="101" spans="1:18">
      <c r="B101" s="901" t="s">
        <v>2698</v>
      </c>
      <c r="C101" s="956" t="s">
        <v>788</v>
      </c>
      <c r="D101" s="956">
        <v>116</v>
      </c>
      <c r="E101" s="963">
        <v>0</v>
      </c>
      <c r="F101" s="963">
        <v>0</v>
      </c>
      <c r="G101" s="963">
        <v>0</v>
      </c>
      <c r="H101" s="963">
        <v>0</v>
      </c>
      <c r="I101" s="963">
        <v>0</v>
      </c>
      <c r="J101" s="963">
        <v>0</v>
      </c>
      <c r="K101" s="963">
        <v>0</v>
      </c>
      <c r="L101" s="963">
        <v>0</v>
      </c>
      <c r="M101" s="963">
        <v>0</v>
      </c>
      <c r="N101" s="963">
        <v>0</v>
      </c>
      <c r="O101" s="963">
        <v>0</v>
      </c>
      <c r="P101" s="963">
        <v>0</v>
      </c>
      <c r="Q101" s="963">
        <f t="shared" si="6"/>
        <v>0</v>
      </c>
      <c r="R101" s="962"/>
    </row>
    <row r="102" spans="1:18">
      <c r="B102" s="901" t="s">
        <v>2884</v>
      </c>
      <c r="C102" s="956" t="s">
        <v>789</v>
      </c>
      <c r="D102" s="956">
        <v>116</v>
      </c>
      <c r="E102" s="963">
        <v>877622.07</v>
      </c>
      <c r="F102" s="963">
        <v>840215.52</v>
      </c>
      <c r="G102" s="963">
        <v>998814.41</v>
      </c>
      <c r="H102" s="963">
        <v>654260.97</v>
      </c>
      <c r="I102" s="963">
        <v>468700.79000000004</v>
      </c>
      <c r="J102" s="963">
        <v>343767.18000000005</v>
      </c>
      <c r="K102" s="963">
        <v>276018.32</v>
      </c>
      <c r="L102" s="963">
        <v>300061.88</v>
      </c>
      <c r="M102" s="963">
        <v>237625.58999999997</v>
      </c>
      <c r="N102" s="963">
        <v>469569.17000000004</v>
      </c>
      <c r="O102" s="963">
        <v>673539.03</v>
      </c>
      <c r="P102" s="963">
        <v>974724.7</v>
      </c>
      <c r="Q102" s="963">
        <f t="shared" si="6"/>
        <v>7114919.6299999999</v>
      </c>
      <c r="R102" s="962"/>
    </row>
    <row r="103" spans="1:18">
      <c r="B103" s="964" t="s">
        <v>2673</v>
      </c>
      <c r="E103" s="963"/>
      <c r="F103" s="963"/>
      <c r="G103" s="963"/>
      <c r="H103" s="963"/>
      <c r="I103" s="963"/>
      <c r="J103" s="963"/>
      <c r="K103" s="963"/>
      <c r="L103" s="963"/>
      <c r="M103" s="963"/>
      <c r="N103" s="963"/>
      <c r="O103" s="963"/>
      <c r="P103" s="963"/>
      <c r="Q103" s="963">
        <f t="shared" si="6"/>
        <v>0</v>
      </c>
      <c r="R103" s="962"/>
    </row>
    <row r="104" spans="1:18">
      <c r="B104" s="964"/>
      <c r="E104" s="963"/>
      <c r="F104" s="963"/>
      <c r="G104" s="963"/>
      <c r="H104" s="963"/>
      <c r="I104" s="963"/>
      <c r="J104" s="963"/>
      <c r="K104" s="963"/>
      <c r="L104" s="963"/>
      <c r="M104" s="963"/>
      <c r="N104" s="963"/>
      <c r="O104" s="963"/>
      <c r="P104" s="963"/>
      <c r="Q104" s="963">
        <f t="shared" si="6"/>
        <v>0</v>
      </c>
      <c r="R104" s="962"/>
    </row>
    <row r="105" spans="1:18">
      <c r="A105" s="901" t="s">
        <v>2929</v>
      </c>
      <c r="B105" s="960" t="s">
        <v>2928</v>
      </c>
      <c r="E105" s="963"/>
      <c r="F105" s="963"/>
      <c r="G105" s="963"/>
      <c r="H105" s="963"/>
      <c r="I105" s="963"/>
      <c r="J105" s="963"/>
      <c r="K105" s="963"/>
      <c r="L105" s="963"/>
      <c r="M105" s="963"/>
      <c r="N105" s="963"/>
      <c r="O105" s="963"/>
      <c r="P105" s="963"/>
      <c r="Q105" s="963">
        <f t="shared" si="6"/>
        <v>0</v>
      </c>
      <c r="R105" s="962"/>
    </row>
    <row r="106" spans="1:18">
      <c r="B106" s="901" t="s">
        <v>2514</v>
      </c>
      <c r="E106" s="963">
        <v>330955</v>
      </c>
      <c r="F106" s="963">
        <v>325966</v>
      </c>
      <c r="G106" s="963">
        <v>344448</v>
      </c>
      <c r="H106" s="963">
        <v>339049</v>
      </c>
      <c r="I106" s="963">
        <v>267660</v>
      </c>
      <c r="J106" s="963">
        <v>275040</v>
      </c>
      <c r="K106" s="963">
        <v>315197</v>
      </c>
      <c r="L106" s="963">
        <v>350812</v>
      </c>
      <c r="M106" s="963">
        <v>310612</v>
      </c>
      <c r="N106" s="963">
        <v>413276</v>
      </c>
      <c r="O106" s="963">
        <v>484916</v>
      </c>
      <c r="P106" s="963">
        <v>368658</v>
      </c>
      <c r="Q106" s="963">
        <f t="shared" si="6"/>
        <v>4126589</v>
      </c>
      <c r="R106" s="962"/>
    </row>
    <row r="107" spans="1:18">
      <c r="B107" s="901" t="s">
        <v>2915</v>
      </c>
      <c r="E107" s="963"/>
      <c r="F107" s="963"/>
      <c r="G107" s="963"/>
      <c r="H107" s="963"/>
      <c r="I107" s="963"/>
      <c r="J107" s="963"/>
      <c r="K107" s="963"/>
      <c r="L107" s="963"/>
      <c r="M107" s="963"/>
      <c r="N107" s="963">
        <v>0</v>
      </c>
      <c r="O107" s="963">
        <v>0</v>
      </c>
      <c r="P107" s="963">
        <v>0</v>
      </c>
      <c r="Q107" s="963">
        <f t="shared" si="6"/>
        <v>0</v>
      </c>
      <c r="R107" s="962"/>
    </row>
    <row r="108" spans="1:18">
      <c r="B108" s="901" t="s">
        <v>2916</v>
      </c>
      <c r="E108" s="963"/>
      <c r="F108" s="963"/>
      <c r="G108" s="963"/>
      <c r="H108" s="963"/>
      <c r="I108" s="963"/>
      <c r="J108" s="963"/>
      <c r="K108" s="963"/>
      <c r="L108" s="963"/>
      <c r="M108" s="963"/>
      <c r="N108" s="963">
        <v>0</v>
      </c>
      <c r="O108" s="963">
        <v>0</v>
      </c>
      <c r="P108" s="963">
        <v>0</v>
      </c>
      <c r="Q108" s="963">
        <f t="shared" si="6"/>
        <v>0</v>
      </c>
      <c r="R108" s="962"/>
    </row>
    <row r="109" spans="1:18">
      <c r="B109" s="901" t="s">
        <v>2917</v>
      </c>
      <c r="E109" s="963"/>
      <c r="F109" s="963"/>
      <c r="G109" s="963"/>
      <c r="H109" s="963"/>
      <c r="I109" s="963"/>
      <c r="J109" s="963"/>
      <c r="K109" s="963"/>
      <c r="L109" s="963"/>
      <c r="M109" s="963"/>
      <c r="N109" s="963">
        <v>0</v>
      </c>
      <c r="O109" s="963">
        <v>0</v>
      </c>
      <c r="P109" s="963">
        <v>0</v>
      </c>
      <c r="Q109" s="963">
        <f t="shared" si="6"/>
        <v>0</v>
      </c>
      <c r="R109" s="962"/>
    </row>
    <row r="110" spans="1:18">
      <c r="B110" s="901" t="s">
        <v>2918</v>
      </c>
      <c r="E110" s="963"/>
      <c r="F110" s="963"/>
      <c r="G110" s="963"/>
      <c r="H110" s="963"/>
      <c r="I110" s="963"/>
      <c r="J110" s="963"/>
      <c r="K110" s="963"/>
      <c r="L110" s="963"/>
      <c r="M110" s="963"/>
      <c r="N110" s="963">
        <v>0</v>
      </c>
      <c r="O110" s="963">
        <v>0</v>
      </c>
      <c r="P110" s="963">
        <v>0</v>
      </c>
      <c r="Q110" s="963">
        <f t="shared" si="6"/>
        <v>0</v>
      </c>
      <c r="R110" s="962"/>
    </row>
    <row r="111" spans="1:18">
      <c r="B111" s="901" t="s">
        <v>2886</v>
      </c>
      <c r="E111" s="963">
        <v>330955</v>
      </c>
      <c r="F111" s="963">
        <v>325966</v>
      </c>
      <c r="G111" s="963">
        <v>344448</v>
      </c>
      <c r="H111" s="963">
        <v>339049</v>
      </c>
      <c r="I111" s="963">
        <v>267660</v>
      </c>
      <c r="J111" s="963">
        <v>275040</v>
      </c>
      <c r="K111" s="963">
        <v>315197</v>
      </c>
      <c r="L111" s="963">
        <v>350812</v>
      </c>
      <c r="M111" s="963">
        <v>310612</v>
      </c>
      <c r="N111" s="963">
        <v>413276</v>
      </c>
      <c r="O111" s="963">
        <v>484916</v>
      </c>
      <c r="P111" s="963">
        <v>368658</v>
      </c>
      <c r="Q111" s="963">
        <f t="shared" si="6"/>
        <v>4126589</v>
      </c>
      <c r="R111" s="962"/>
    </row>
    <row r="112" spans="1:18">
      <c r="B112" s="964" t="s">
        <v>2673</v>
      </c>
      <c r="E112" s="963"/>
      <c r="F112" s="963"/>
      <c r="G112" s="963"/>
      <c r="H112" s="963"/>
      <c r="I112" s="963"/>
      <c r="J112" s="963"/>
      <c r="K112" s="963"/>
      <c r="L112" s="963"/>
      <c r="M112" s="963"/>
      <c r="N112" s="963"/>
      <c r="O112" s="963"/>
      <c r="P112" s="963"/>
      <c r="Q112" s="963">
        <f t="shared" si="6"/>
        <v>0</v>
      </c>
      <c r="R112" s="962"/>
    </row>
    <row r="113" spans="2:18">
      <c r="B113" s="901" t="s">
        <v>2919</v>
      </c>
      <c r="E113" s="963">
        <v>184213.48</v>
      </c>
      <c r="F113" s="963">
        <v>181507.72</v>
      </c>
      <c r="G113" s="963">
        <v>191768.49</v>
      </c>
      <c r="H113" s="963">
        <v>194310.17</v>
      </c>
      <c r="I113" s="963">
        <v>166180.85999999999</v>
      </c>
      <c r="J113" s="963">
        <v>167617.04</v>
      </c>
      <c r="K113" s="963">
        <v>189840.93</v>
      </c>
      <c r="L113" s="963">
        <v>212236</v>
      </c>
      <c r="M113" s="963">
        <v>190231.28</v>
      </c>
      <c r="N113" s="963">
        <v>253502.47</v>
      </c>
      <c r="O113" s="963">
        <v>320763.87</v>
      </c>
      <c r="P113" s="963">
        <v>263633.78000000003</v>
      </c>
      <c r="Q113" s="963">
        <f t="shared" si="6"/>
        <v>2515806.09</v>
      </c>
      <c r="R113" s="962"/>
    </row>
    <row r="114" spans="2:18">
      <c r="B114" s="901" t="s">
        <v>2920</v>
      </c>
      <c r="E114" s="963"/>
      <c r="F114" s="963"/>
      <c r="G114" s="963"/>
      <c r="H114" s="963"/>
      <c r="I114" s="963"/>
      <c r="J114" s="963"/>
      <c r="K114" s="963"/>
      <c r="L114" s="963"/>
      <c r="M114" s="963"/>
      <c r="N114" s="963">
        <v>0</v>
      </c>
      <c r="O114" s="963">
        <v>0</v>
      </c>
      <c r="P114" s="963">
        <v>0</v>
      </c>
      <c r="Q114" s="963">
        <f t="shared" si="6"/>
        <v>0</v>
      </c>
      <c r="R114" s="962"/>
    </row>
    <row r="115" spans="2:18">
      <c r="B115" s="901" t="s">
        <v>2921</v>
      </c>
      <c r="E115" s="963"/>
      <c r="F115" s="963"/>
      <c r="G115" s="963"/>
      <c r="H115" s="963"/>
      <c r="I115" s="963"/>
      <c r="J115" s="963"/>
      <c r="K115" s="963"/>
      <c r="L115" s="963"/>
      <c r="M115" s="963"/>
      <c r="N115" s="963">
        <v>0</v>
      </c>
      <c r="O115" s="963">
        <v>0</v>
      </c>
      <c r="P115" s="963">
        <v>0</v>
      </c>
      <c r="Q115" s="963">
        <f t="shared" si="6"/>
        <v>0</v>
      </c>
      <c r="R115" s="962"/>
    </row>
    <row r="116" spans="2:18">
      <c r="B116" s="901" t="s">
        <v>2922</v>
      </c>
      <c r="E116" s="963">
        <v>-14586.86</v>
      </c>
      <c r="F116" s="963">
        <v>-19348.759999999998</v>
      </c>
      <c r="G116" s="963">
        <v>-16470.099999999999</v>
      </c>
      <c r="H116" s="963">
        <v>-25332.91</v>
      </c>
      <c r="I116" s="963">
        <v>-23752.29</v>
      </c>
      <c r="J116" s="963">
        <v>-21053.38</v>
      </c>
      <c r="K116" s="963">
        <v>-27015.77</v>
      </c>
      <c r="L116" s="963">
        <v>-26775.25</v>
      </c>
      <c r="M116" s="963">
        <v>-25925.77</v>
      </c>
      <c r="N116" s="963">
        <v>-38073.53</v>
      </c>
      <c r="O116" s="963">
        <v>-36062.339999999997</v>
      </c>
      <c r="P116" s="963">
        <v>-16919</v>
      </c>
      <c r="Q116" s="963">
        <f t="shared" si="6"/>
        <v>-291315.95999999996</v>
      </c>
      <c r="R116" s="962"/>
    </row>
    <row r="117" spans="2:18">
      <c r="B117" s="901" t="s">
        <v>2750</v>
      </c>
      <c r="E117" s="963">
        <v>16316.08</v>
      </c>
      <c r="F117" s="963">
        <v>16070.13</v>
      </c>
      <c r="G117" s="963">
        <v>16981.28</v>
      </c>
      <c r="H117" s="963">
        <v>16715.12</v>
      </c>
      <c r="I117" s="963">
        <v>13195.64</v>
      </c>
      <c r="J117" s="963">
        <v>13559.47</v>
      </c>
      <c r="K117" s="963">
        <v>15539.21</v>
      </c>
      <c r="L117" s="963">
        <v>17295.03</v>
      </c>
      <c r="M117" s="963">
        <v>15313.18</v>
      </c>
      <c r="N117" s="963">
        <v>20374.509999999998</v>
      </c>
      <c r="O117" s="963">
        <v>17913.14</v>
      </c>
      <c r="P117" s="963">
        <v>6705.89</v>
      </c>
      <c r="Q117" s="963">
        <f t="shared" si="6"/>
        <v>185978.68</v>
      </c>
      <c r="R117" s="962"/>
    </row>
    <row r="118" spans="2:18">
      <c r="B118" s="901" t="s">
        <v>2751</v>
      </c>
      <c r="E118" s="963"/>
      <c r="F118" s="963"/>
      <c r="G118" s="963"/>
      <c r="H118" s="963"/>
      <c r="I118" s="963"/>
      <c r="J118" s="963"/>
      <c r="K118" s="963"/>
      <c r="L118" s="963"/>
      <c r="M118" s="963"/>
      <c r="N118" s="963">
        <v>0</v>
      </c>
      <c r="O118" s="963">
        <v>0</v>
      </c>
      <c r="P118" s="963">
        <v>0</v>
      </c>
      <c r="Q118" s="963">
        <f t="shared" si="6"/>
        <v>0</v>
      </c>
      <c r="R118" s="962"/>
    </row>
    <row r="119" spans="2:18">
      <c r="B119" s="901" t="s">
        <v>2451</v>
      </c>
      <c r="E119" s="963"/>
      <c r="F119" s="963"/>
      <c r="G119" s="963"/>
      <c r="H119" s="963"/>
      <c r="I119" s="963"/>
      <c r="J119" s="963"/>
      <c r="K119" s="963"/>
      <c r="L119" s="963"/>
      <c r="M119" s="963"/>
      <c r="N119" s="963">
        <v>0</v>
      </c>
      <c r="O119" s="963">
        <v>0</v>
      </c>
      <c r="P119" s="963">
        <v>0</v>
      </c>
      <c r="Q119" s="963">
        <f t="shared" si="6"/>
        <v>0</v>
      </c>
      <c r="R119" s="962"/>
    </row>
    <row r="120" spans="2:18">
      <c r="B120" s="901" t="s">
        <v>2697</v>
      </c>
      <c r="E120" s="963"/>
      <c r="F120" s="963"/>
      <c r="G120" s="963"/>
      <c r="H120" s="963"/>
      <c r="I120" s="963"/>
      <c r="J120" s="963"/>
      <c r="K120" s="963"/>
      <c r="L120" s="963"/>
      <c r="M120" s="963"/>
      <c r="N120" s="963">
        <v>0</v>
      </c>
      <c r="O120" s="963">
        <v>0</v>
      </c>
      <c r="P120" s="963">
        <v>0</v>
      </c>
      <c r="Q120" s="963">
        <f t="shared" si="6"/>
        <v>0</v>
      </c>
      <c r="R120" s="962"/>
    </row>
    <row r="121" spans="2:18">
      <c r="B121" s="901" t="s">
        <v>2698</v>
      </c>
      <c r="E121" s="963"/>
      <c r="F121" s="963"/>
      <c r="G121" s="963"/>
      <c r="H121" s="963"/>
      <c r="I121" s="963"/>
      <c r="J121" s="963"/>
      <c r="K121" s="963"/>
      <c r="L121" s="963"/>
      <c r="M121" s="963"/>
      <c r="N121" s="963">
        <v>0</v>
      </c>
      <c r="O121" s="963">
        <v>0</v>
      </c>
      <c r="P121" s="963">
        <v>0</v>
      </c>
      <c r="Q121" s="963">
        <f t="shared" si="6"/>
        <v>0</v>
      </c>
      <c r="R121" s="962"/>
    </row>
    <row r="122" spans="2:18">
      <c r="B122" s="901" t="s">
        <v>2884</v>
      </c>
      <c r="E122" s="963">
        <f t="shared" ref="E122:M122" si="7">SUM(E113:E121)</f>
        <v>185942.69999999998</v>
      </c>
      <c r="F122" s="963">
        <f t="shared" si="7"/>
        <v>178229.09</v>
      </c>
      <c r="G122" s="963">
        <f t="shared" si="7"/>
        <v>192279.66999999998</v>
      </c>
      <c r="H122" s="963">
        <f t="shared" si="7"/>
        <v>185692.38</v>
      </c>
      <c r="I122" s="963">
        <f t="shared" si="7"/>
        <v>155624.20999999996</v>
      </c>
      <c r="J122" s="963">
        <f t="shared" si="7"/>
        <v>160123.13</v>
      </c>
      <c r="K122" s="963">
        <f t="shared" si="7"/>
        <v>178364.37</v>
      </c>
      <c r="L122" s="963">
        <f t="shared" si="7"/>
        <v>202755.78</v>
      </c>
      <c r="M122" s="963">
        <f t="shared" si="7"/>
        <v>179618.69</v>
      </c>
      <c r="N122" s="963">
        <f>SUM(N113:N121)</f>
        <v>235803.45</v>
      </c>
      <c r="O122" s="963">
        <f>SUM(O113:O121)</f>
        <v>302614.67000000004</v>
      </c>
      <c r="P122" s="963">
        <f>SUM(P113:P121)</f>
        <v>253420.67000000004</v>
      </c>
      <c r="Q122" s="963">
        <f t="shared" si="6"/>
        <v>2410468.8099999996</v>
      </c>
      <c r="R122" s="962"/>
    </row>
    <row r="123" spans="2:18">
      <c r="B123" s="964" t="s">
        <v>2673</v>
      </c>
      <c r="E123" s="963"/>
      <c r="F123" s="963"/>
      <c r="G123" s="963"/>
      <c r="H123" s="963"/>
      <c r="I123" s="963"/>
      <c r="J123" s="963"/>
      <c r="K123" s="963"/>
      <c r="L123" s="963"/>
      <c r="M123" s="963"/>
      <c r="N123" s="963"/>
      <c r="O123" s="963"/>
      <c r="P123" s="963"/>
      <c r="Q123" s="963">
        <f t="shared" si="6"/>
        <v>0</v>
      </c>
      <c r="R123" s="962"/>
    </row>
    <row r="124" spans="2:18">
      <c r="B124" s="964"/>
      <c r="E124" s="963"/>
      <c r="F124" s="963"/>
      <c r="G124" s="963"/>
      <c r="H124" s="963"/>
      <c r="I124" s="963"/>
      <c r="J124" s="963"/>
      <c r="K124" s="963"/>
      <c r="L124" s="963"/>
      <c r="M124" s="963"/>
      <c r="N124" s="963"/>
      <c r="O124" s="963"/>
      <c r="P124" s="963"/>
      <c r="Q124" s="963">
        <f t="shared" si="6"/>
        <v>0</v>
      </c>
      <c r="R124" s="962"/>
    </row>
    <row r="125" spans="2:18">
      <c r="B125" s="960" t="s">
        <v>2930</v>
      </c>
      <c r="E125" s="967"/>
      <c r="F125" s="967"/>
      <c r="G125" s="967"/>
      <c r="H125" s="967"/>
      <c r="I125" s="967"/>
      <c r="J125" s="967"/>
      <c r="K125" s="967"/>
      <c r="L125" s="967"/>
      <c r="M125" s="967"/>
      <c r="N125" s="967"/>
      <c r="O125" s="967"/>
      <c r="P125" s="967"/>
      <c r="Q125" s="963">
        <f t="shared" si="6"/>
        <v>0</v>
      </c>
      <c r="R125" s="962"/>
    </row>
    <row r="126" spans="2:18">
      <c r="B126" s="901" t="s">
        <v>2514</v>
      </c>
      <c r="C126" s="956" t="s">
        <v>780</v>
      </c>
      <c r="D126" s="956">
        <v>69</v>
      </c>
      <c r="E126" s="963">
        <v>4915</v>
      </c>
      <c r="F126" s="963">
        <v>4626</v>
      </c>
      <c r="G126" s="963">
        <v>5486</v>
      </c>
      <c r="H126" s="963">
        <v>3527</v>
      </c>
      <c r="I126" s="963">
        <v>2258</v>
      </c>
      <c r="J126" s="963">
        <v>645</v>
      </c>
      <c r="K126" s="963">
        <v>367</v>
      </c>
      <c r="L126" s="963">
        <v>155</v>
      </c>
      <c r="M126" s="963">
        <v>138</v>
      </c>
      <c r="N126" s="963">
        <v>619</v>
      </c>
      <c r="O126" s="963">
        <v>2955</v>
      </c>
      <c r="P126" s="963">
        <v>3958</v>
      </c>
      <c r="Q126" s="963">
        <f t="shared" si="6"/>
        <v>29649</v>
      </c>
      <c r="R126" s="962"/>
    </row>
    <row r="127" spans="2:18">
      <c r="B127" s="901" t="s">
        <v>2915</v>
      </c>
      <c r="C127" s="956" t="s">
        <v>781</v>
      </c>
      <c r="D127" s="956">
        <v>69</v>
      </c>
      <c r="E127" s="963">
        <v>0</v>
      </c>
      <c r="F127" s="963">
        <v>0</v>
      </c>
      <c r="G127" s="963">
        <v>0</v>
      </c>
      <c r="H127" s="963">
        <v>0</v>
      </c>
      <c r="I127" s="963">
        <v>0</v>
      </c>
      <c r="J127" s="963">
        <v>0</v>
      </c>
      <c r="K127" s="963">
        <v>0</v>
      </c>
      <c r="L127" s="963">
        <v>0</v>
      </c>
      <c r="M127" s="963">
        <v>0</v>
      </c>
      <c r="N127" s="963">
        <v>0</v>
      </c>
      <c r="O127" s="963">
        <v>0</v>
      </c>
      <c r="P127" s="963">
        <v>0</v>
      </c>
      <c r="Q127" s="963">
        <f t="shared" si="6"/>
        <v>0</v>
      </c>
      <c r="R127" s="962"/>
    </row>
    <row r="128" spans="2:18">
      <c r="B128" s="901" t="s">
        <v>2916</v>
      </c>
      <c r="C128" s="956" t="s">
        <v>782</v>
      </c>
      <c r="D128" s="956">
        <v>69</v>
      </c>
      <c r="E128" s="963">
        <v>0</v>
      </c>
      <c r="F128" s="963">
        <v>0</v>
      </c>
      <c r="G128" s="963">
        <v>0</v>
      </c>
      <c r="H128" s="963">
        <v>0</v>
      </c>
      <c r="I128" s="963">
        <v>0</v>
      </c>
      <c r="J128" s="963">
        <v>0</v>
      </c>
      <c r="K128" s="963">
        <v>0</v>
      </c>
      <c r="L128" s="963">
        <v>0</v>
      </c>
      <c r="M128" s="963">
        <v>0</v>
      </c>
      <c r="N128" s="963">
        <v>0</v>
      </c>
      <c r="O128" s="963">
        <v>0</v>
      </c>
      <c r="P128" s="963">
        <v>0</v>
      </c>
      <c r="Q128" s="963">
        <f t="shared" si="6"/>
        <v>0</v>
      </c>
      <c r="R128" s="962"/>
    </row>
    <row r="129" spans="2:18">
      <c r="B129" s="901" t="s">
        <v>2917</v>
      </c>
      <c r="C129" s="956" t="s">
        <v>787</v>
      </c>
      <c r="D129" s="956">
        <v>69</v>
      </c>
      <c r="E129" s="963">
        <v>4915</v>
      </c>
      <c r="F129" s="963">
        <v>4626</v>
      </c>
      <c r="G129" s="963">
        <v>5486</v>
      </c>
      <c r="H129" s="963">
        <v>3527</v>
      </c>
      <c r="I129" s="963">
        <v>2258</v>
      </c>
      <c r="J129" s="963">
        <v>645</v>
      </c>
      <c r="K129" s="963">
        <v>367</v>
      </c>
      <c r="L129" s="963">
        <v>155</v>
      </c>
      <c r="M129" s="963">
        <v>138</v>
      </c>
      <c r="N129" s="963">
        <v>619</v>
      </c>
      <c r="O129" s="963">
        <v>2955</v>
      </c>
      <c r="P129" s="963">
        <v>3958</v>
      </c>
      <c r="Q129" s="963">
        <f t="shared" si="6"/>
        <v>29649</v>
      </c>
      <c r="R129" s="962"/>
    </row>
    <row r="130" spans="2:18">
      <c r="B130" s="901" t="s">
        <v>2918</v>
      </c>
      <c r="C130" s="956" t="s">
        <v>788</v>
      </c>
      <c r="D130" s="956">
        <v>69</v>
      </c>
      <c r="E130" s="963">
        <v>4626</v>
      </c>
      <c r="F130" s="963">
        <v>5486</v>
      </c>
      <c r="G130" s="963">
        <v>3527</v>
      </c>
      <c r="H130" s="963">
        <v>2258</v>
      </c>
      <c r="I130" s="963">
        <v>645</v>
      </c>
      <c r="J130" s="963">
        <v>367</v>
      </c>
      <c r="K130" s="963">
        <v>155</v>
      </c>
      <c r="L130" s="963">
        <v>138</v>
      </c>
      <c r="M130" s="963">
        <v>619</v>
      </c>
      <c r="N130" s="963">
        <v>2955</v>
      </c>
      <c r="O130" s="963">
        <v>3958</v>
      </c>
      <c r="P130" s="963">
        <v>4552</v>
      </c>
      <c r="Q130" s="963">
        <f t="shared" si="6"/>
        <v>29286</v>
      </c>
      <c r="R130" s="962"/>
    </row>
    <row r="131" spans="2:18">
      <c r="B131" s="901" t="s">
        <v>2886</v>
      </c>
      <c r="C131" s="956" t="s">
        <v>789</v>
      </c>
      <c r="D131" s="956">
        <v>69</v>
      </c>
      <c r="E131" s="963">
        <v>4626</v>
      </c>
      <c r="F131" s="963">
        <v>5486</v>
      </c>
      <c r="G131" s="963">
        <v>3527</v>
      </c>
      <c r="H131" s="963">
        <v>2258</v>
      </c>
      <c r="I131" s="963">
        <v>645</v>
      </c>
      <c r="J131" s="963">
        <v>367</v>
      </c>
      <c r="K131" s="963">
        <v>155</v>
      </c>
      <c r="L131" s="963">
        <v>138</v>
      </c>
      <c r="M131" s="963">
        <v>619</v>
      </c>
      <c r="N131" s="963">
        <v>2955</v>
      </c>
      <c r="O131" s="963">
        <v>3958</v>
      </c>
      <c r="P131" s="963">
        <v>4552</v>
      </c>
      <c r="Q131" s="963">
        <f t="shared" si="6"/>
        <v>29286</v>
      </c>
      <c r="R131" s="962"/>
    </row>
    <row r="132" spans="2:18">
      <c r="B132" s="964" t="s">
        <v>2673</v>
      </c>
      <c r="E132" s="963"/>
      <c r="F132" s="963"/>
      <c r="G132" s="963"/>
      <c r="H132" s="963"/>
      <c r="I132" s="963"/>
      <c r="J132" s="963"/>
      <c r="K132" s="963"/>
      <c r="L132" s="963"/>
      <c r="M132" s="963"/>
      <c r="N132" s="963"/>
      <c r="O132" s="963"/>
      <c r="P132" s="963"/>
      <c r="Q132" s="963">
        <f t="shared" si="6"/>
        <v>0</v>
      </c>
      <c r="R132" s="962"/>
    </row>
    <row r="133" spans="2:18">
      <c r="B133" s="901" t="s">
        <v>2919</v>
      </c>
      <c r="C133" s="956" t="s">
        <v>780</v>
      </c>
      <c r="D133" s="956">
        <v>113</v>
      </c>
      <c r="E133" s="963">
        <v>3496.4</v>
      </c>
      <c r="F133" s="963">
        <v>3291.63</v>
      </c>
      <c r="G133" s="963">
        <v>3900.98</v>
      </c>
      <c r="H133" s="963">
        <v>2512.89</v>
      </c>
      <c r="I133" s="963">
        <v>1796.01</v>
      </c>
      <c r="J133" s="963">
        <v>522.88</v>
      </c>
      <c r="K133" s="963">
        <v>303.45999999999998</v>
      </c>
      <c r="L133" s="963">
        <v>136.11000000000001</v>
      </c>
      <c r="M133" s="963">
        <v>122.71</v>
      </c>
      <c r="N133" s="963">
        <v>502.37</v>
      </c>
      <c r="O133" s="963">
        <v>2346.13</v>
      </c>
      <c r="P133" s="963">
        <v>3511.89</v>
      </c>
      <c r="Q133" s="963">
        <f t="shared" si="6"/>
        <v>22443.46</v>
      </c>
      <c r="R133" s="962"/>
    </row>
    <row r="134" spans="2:18">
      <c r="B134" s="901" t="s">
        <v>2920</v>
      </c>
      <c r="C134" s="956" t="s">
        <v>781</v>
      </c>
      <c r="D134" s="956">
        <v>113</v>
      </c>
      <c r="E134" s="963">
        <v>0</v>
      </c>
      <c r="F134" s="963">
        <v>0</v>
      </c>
      <c r="G134" s="963">
        <v>0</v>
      </c>
      <c r="H134" s="963">
        <v>0</v>
      </c>
      <c r="I134" s="963">
        <v>0</v>
      </c>
      <c r="J134" s="963">
        <v>0</v>
      </c>
      <c r="K134" s="963">
        <v>0</v>
      </c>
      <c r="L134" s="963">
        <v>0</v>
      </c>
      <c r="M134" s="963">
        <v>0</v>
      </c>
      <c r="N134" s="963">
        <v>0</v>
      </c>
      <c r="O134" s="963">
        <v>0</v>
      </c>
      <c r="P134" s="963">
        <v>0</v>
      </c>
      <c r="Q134" s="963">
        <f t="shared" si="6"/>
        <v>0</v>
      </c>
      <c r="R134" s="962"/>
    </row>
    <row r="135" spans="2:18">
      <c r="B135" s="901" t="s">
        <v>2921</v>
      </c>
      <c r="C135" s="956" t="s">
        <v>782</v>
      </c>
      <c r="D135" s="956">
        <v>113</v>
      </c>
      <c r="E135" s="963">
        <v>0</v>
      </c>
      <c r="F135" s="963">
        <v>0</v>
      </c>
      <c r="G135" s="963">
        <v>0</v>
      </c>
      <c r="H135" s="963">
        <v>0</v>
      </c>
      <c r="I135" s="963">
        <v>0</v>
      </c>
      <c r="J135" s="963">
        <v>0</v>
      </c>
      <c r="K135" s="963">
        <v>0</v>
      </c>
      <c r="L135" s="963">
        <v>0</v>
      </c>
      <c r="M135" s="963">
        <v>0</v>
      </c>
      <c r="N135" s="963">
        <v>0</v>
      </c>
      <c r="O135" s="963">
        <v>0</v>
      </c>
      <c r="P135" s="963">
        <v>0</v>
      </c>
      <c r="Q135" s="963">
        <f t="shared" si="6"/>
        <v>0</v>
      </c>
      <c r="R135" s="962"/>
    </row>
    <row r="136" spans="2:18">
      <c r="B136" s="901" t="s">
        <v>2922</v>
      </c>
      <c r="C136" s="956" t="s">
        <v>783</v>
      </c>
      <c r="D136" s="956">
        <v>113</v>
      </c>
      <c r="E136" s="963">
        <v>-942.9</v>
      </c>
      <c r="F136" s="963">
        <v>-1175.6400000000001</v>
      </c>
      <c r="G136" s="963">
        <v>-737.9</v>
      </c>
      <c r="H136" s="963">
        <v>-474.31</v>
      </c>
      <c r="I136" s="963">
        <v>-118.05</v>
      </c>
      <c r="J136" s="963">
        <v>-61.08</v>
      </c>
      <c r="K136" s="963">
        <v>-11.42</v>
      </c>
      <c r="L136" s="963">
        <v>-10.34</v>
      </c>
      <c r="M136" s="963">
        <v>-111.2</v>
      </c>
      <c r="N136" s="963">
        <v>-624.46</v>
      </c>
      <c r="O136" s="963">
        <v>-826.12</v>
      </c>
      <c r="P136" s="963">
        <v>-926.42</v>
      </c>
      <c r="Q136" s="963">
        <f t="shared" si="6"/>
        <v>-6019.84</v>
      </c>
      <c r="R136" s="962"/>
    </row>
    <row r="137" spans="2:18">
      <c r="B137" s="901" t="s">
        <v>2750</v>
      </c>
      <c r="C137" s="956" t="s">
        <v>784</v>
      </c>
      <c r="D137" s="956">
        <v>113</v>
      </c>
      <c r="E137" s="963">
        <v>127.98</v>
      </c>
      <c r="F137" s="963">
        <v>154.93</v>
      </c>
      <c r="G137" s="963">
        <v>93.03</v>
      </c>
      <c r="H137" s="963">
        <v>59.52</v>
      </c>
      <c r="I137" s="963">
        <v>13.72</v>
      </c>
      <c r="J137" s="963">
        <v>9.49</v>
      </c>
      <c r="K137" s="963">
        <v>3.76</v>
      </c>
      <c r="L137" s="963">
        <v>3.79</v>
      </c>
      <c r="M137" s="963">
        <v>18.489999999999998</v>
      </c>
      <c r="N137" s="963">
        <v>88.36</v>
      </c>
      <c r="O137" s="963">
        <v>-10.95</v>
      </c>
      <c r="P137" s="963">
        <v>-13.86</v>
      </c>
      <c r="Q137" s="963">
        <f t="shared" si="6"/>
        <v>548.26</v>
      </c>
      <c r="R137" s="962"/>
    </row>
    <row r="138" spans="2:18">
      <c r="B138" s="901" t="s">
        <v>2751</v>
      </c>
      <c r="C138" s="956" t="s">
        <v>785</v>
      </c>
      <c r="D138" s="956">
        <v>113</v>
      </c>
      <c r="Q138" s="963">
        <f t="shared" si="6"/>
        <v>0</v>
      </c>
      <c r="R138" s="962"/>
    </row>
    <row r="139" spans="2:18">
      <c r="B139" s="901" t="s">
        <v>2451</v>
      </c>
      <c r="C139" s="956" t="s">
        <v>786</v>
      </c>
      <c r="D139" s="956">
        <v>113</v>
      </c>
      <c r="Q139" s="963">
        <f t="shared" si="6"/>
        <v>0</v>
      </c>
      <c r="R139" s="962"/>
    </row>
    <row r="140" spans="2:18">
      <c r="B140" s="901" t="s">
        <v>2697</v>
      </c>
      <c r="C140" s="956" t="s">
        <v>787</v>
      </c>
      <c r="D140" s="956">
        <v>113</v>
      </c>
      <c r="E140" s="963">
        <v>3482.9300000000003</v>
      </c>
      <c r="F140" s="963">
        <v>3278.9500000000003</v>
      </c>
      <c r="G140" s="963">
        <v>3885.95</v>
      </c>
      <c r="H140" s="963">
        <v>2503.23</v>
      </c>
      <c r="I140" s="963">
        <v>1789.82</v>
      </c>
      <c r="J140" s="963">
        <v>521.11</v>
      </c>
      <c r="K140" s="963">
        <v>302.45</v>
      </c>
      <c r="L140" s="963">
        <v>135.69000000000003</v>
      </c>
      <c r="M140" s="963">
        <v>122.33</v>
      </c>
      <c r="N140" s="963">
        <v>500.67</v>
      </c>
      <c r="O140" s="963">
        <v>2338.0300000000002</v>
      </c>
      <c r="P140" s="963">
        <v>3501.24</v>
      </c>
      <c r="Q140" s="963">
        <f>-SUM(E140:P140)</f>
        <v>-22362.400000000001</v>
      </c>
      <c r="R140" s="962"/>
    </row>
    <row r="141" spans="2:18">
      <c r="B141" s="901" t="s">
        <v>2698</v>
      </c>
      <c r="C141" s="956" t="s">
        <v>788</v>
      </c>
      <c r="D141" s="956">
        <v>113</v>
      </c>
      <c r="E141" s="963">
        <v>3278.9500000000003</v>
      </c>
      <c r="F141" s="963">
        <v>3885.95</v>
      </c>
      <c r="G141" s="963">
        <v>2503.23</v>
      </c>
      <c r="H141" s="963">
        <v>1789.82</v>
      </c>
      <c r="I141" s="963">
        <v>521.11</v>
      </c>
      <c r="J141" s="963">
        <v>302.45</v>
      </c>
      <c r="K141" s="963">
        <v>135.69000000000003</v>
      </c>
      <c r="L141" s="963">
        <v>122.33</v>
      </c>
      <c r="M141" s="963">
        <v>500.67</v>
      </c>
      <c r="N141" s="963">
        <v>2338.0300000000002</v>
      </c>
      <c r="O141" s="963">
        <v>3501.24</v>
      </c>
      <c r="P141" s="963">
        <v>4024.61</v>
      </c>
      <c r="Q141" s="963">
        <f t="shared" si="6"/>
        <v>22904.080000000002</v>
      </c>
      <c r="R141" s="962"/>
    </row>
    <row r="142" spans="2:18">
      <c r="B142" s="901" t="s">
        <v>2884</v>
      </c>
      <c r="C142" s="956" t="s">
        <v>789</v>
      </c>
      <c r="D142" s="956">
        <v>113</v>
      </c>
      <c r="E142" s="963">
        <v>2477.5</v>
      </c>
      <c r="F142" s="963">
        <v>2877.9199999999992</v>
      </c>
      <c r="G142" s="963">
        <v>1873.3900000000003</v>
      </c>
      <c r="H142" s="963">
        <v>1384.6899999999998</v>
      </c>
      <c r="I142" s="963">
        <v>422.97000000000014</v>
      </c>
      <c r="J142" s="963">
        <v>252.63</v>
      </c>
      <c r="K142" s="963">
        <v>129.04</v>
      </c>
      <c r="L142" s="963">
        <v>116.19999999999997</v>
      </c>
      <c r="M142" s="963">
        <v>408.34000000000003</v>
      </c>
      <c r="N142" s="963">
        <v>1803.63</v>
      </c>
      <c r="O142" s="963">
        <v>2672.2699999999995</v>
      </c>
      <c r="P142" s="963">
        <v>3094.98</v>
      </c>
      <c r="Q142" s="963">
        <f t="shared" si="6"/>
        <v>17513.560000000001</v>
      </c>
      <c r="R142" s="962"/>
    </row>
    <row r="143" spans="2:18">
      <c r="B143" s="964" t="s">
        <v>2673</v>
      </c>
      <c r="E143" s="963"/>
      <c r="F143" s="963"/>
      <c r="G143" s="963"/>
      <c r="H143" s="963"/>
      <c r="I143" s="963"/>
      <c r="J143" s="963"/>
      <c r="K143" s="963"/>
      <c r="L143" s="963"/>
      <c r="M143" s="963"/>
      <c r="N143" s="963"/>
      <c r="O143" s="963"/>
      <c r="P143" s="963"/>
      <c r="Q143" s="963">
        <f t="shared" si="6"/>
        <v>0</v>
      </c>
      <c r="R143" s="962"/>
    </row>
    <row r="144" spans="2:18">
      <c r="B144" s="964"/>
      <c r="E144" s="963"/>
      <c r="F144" s="963"/>
      <c r="G144" s="963"/>
      <c r="H144" s="963"/>
      <c r="I144" s="963"/>
      <c r="J144" s="963"/>
      <c r="K144" s="963"/>
      <c r="L144" s="963"/>
      <c r="M144" s="963"/>
      <c r="N144" s="963"/>
      <c r="O144" s="963"/>
      <c r="P144" s="963"/>
      <c r="Q144" s="963">
        <f t="shared" si="6"/>
        <v>0</v>
      </c>
      <c r="R144" s="962"/>
    </row>
    <row r="145" spans="2:18">
      <c r="B145" s="960" t="s">
        <v>2931</v>
      </c>
      <c r="E145" s="967"/>
      <c r="F145" s="967"/>
      <c r="G145" s="967"/>
      <c r="H145" s="967"/>
      <c r="I145" s="967"/>
      <c r="J145" s="967"/>
      <c r="K145" s="967"/>
      <c r="L145" s="967"/>
      <c r="M145" s="967"/>
      <c r="N145" s="967"/>
      <c r="O145" s="967"/>
      <c r="P145" s="967"/>
      <c r="Q145" s="963">
        <f t="shared" si="6"/>
        <v>0</v>
      </c>
      <c r="R145" s="962"/>
    </row>
    <row r="146" spans="2:18">
      <c r="B146" s="901" t="s">
        <v>2514</v>
      </c>
      <c r="C146" s="956" t="s">
        <v>780</v>
      </c>
      <c r="D146" s="956">
        <v>75</v>
      </c>
      <c r="E146" s="963">
        <v>79</v>
      </c>
      <c r="F146" s="963">
        <v>7</v>
      </c>
      <c r="G146" s="963">
        <v>0</v>
      </c>
      <c r="H146" s="963">
        <v>0</v>
      </c>
      <c r="I146" s="963">
        <v>128</v>
      </c>
      <c r="J146" s="963">
        <v>151</v>
      </c>
      <c r="K146" s="963">
        <v>0</v>
      </c>
      <c r="L146" s="963">
        <v>163</v>
      </c>
      <c r="M146" s="963">
        <v>0</v>
      </c>
      <c r="N146" s="963">
        <v>0</v>
      </c>
      <c r="O146" s="963">
        <v>0</v>
      </c>
      <c r="P146" s="963">
        <v>0</v>
      </c>
      <c r="Q146" s="963">
        <f t="shared" si="6"/>
        <v>528</v>
      </c>
      <c r="R146" s="962"/>
    </row>
    <row r="147" spans="2:18">
      <c r="B147" s="901" t="s">
        <v>2915</v>
      </c>
      <c r="C147" s="956" t="s">
        <v>781</v>
      </c>
      <c r="D147" s="956">
        <v>75</v>
      </c>
      <c r="E147" s="963">
        <v>0</v>
      </c>
      <c r="F147" s="963">
        <v>0</v>
      </c>
      <c r="G147" s="963">
        <v>0</v>
      </c>
      <c r="H147" s="963">
        <v>0</v>
      </c>
      <c r="I147" s="963">
        <v>0</v>
      </c>
      <c r="J147" s="963">
        <v>0</v>
      </c>
      <c r="K147" s="963">
        <v>0</v>
      </c>
      <c r="L147" s="963">
        <v>0</v>
      </c>
      <c r="M147" s="963">
        <v>0</v>
      </c>
      <c r="N147" s="963">
        <v>0</v>
      </c>
      <c r="O147" s="963">
        <v>0</v>
      </c>
      <c r="P147" s="963">
        <v>0</v>
      </c>
      <c r="Q147" s="963">
        <f t="shared" si="6"/>
        <v>0</v>
      </c>
      <c r="R147" s="962"/>
    </row>
    <row r="148" spans="2:18">
      <c r="B148" s="901" t="s">
        <v>2916</v>
      </c>
      <c r="C148" s="956" t="s">
        <v>782</v>
      </c>
      <c r="D148" s="956">
        <v>75</v>
      </c>
      <c r="E148" s="963">
        <v>0</v>
      </c>
      <c r="F148" s="963">
        <v>0</v>
      </c>
      <c r="G148" s="963">
        <v>0</v>
      </c>
      <c r="H148" s="965">
        <v>0</v>
      </c>
      <c r="I148" s="965">
        <v>0</v>
      </c>
      <c r="J148" s="965">
        <v>0</v>
      </c>
      <c r="K148" s="965">
        <v>0</v>
      </c>
      <c r="L148" s="965">
        <v>0</v>
      </c>
      <c r="M148" s="965">
        <v>0</v>
      </c>
      <c r="N148" s="965">
        <v>0</v>
      </c>
      <c r="O148" s="965">
        <v>0</v>
      </c>
      <c r="P148" s="965">
        <v>0</v>
      </c>
      <c r="Q148" s="963">
        <f t="shared" si="6"/>
        <v>0</v>
      </c>
      <c r="R148" s="962"/>
    </row>
    <row r="149" spans="2:18">
      <c r="B149" s="901" t="s">
        <v>2917</v>
      </c>
      <c r="C149" s="956" t="s">
        <v>787</v>
      </c>
      <c r="D149" s="956">
        <v>75</v>
      </c>
      <c r="E149" s="963">
        <v>79</v>
      </c>
      <c r="F149" s="963">
        <v>7</v>
      </c>
      <c r="G149" s="963">
        <v>0</v>
      </c>
      <c r="H149" s="965">
        <v>0</v>
      </c>
      <c r="I149" s="965">
        <v>128</v>
      </c>
      <c r="J149" s="965">
        <v>151</v>
      </c>
      <c r="K149" s="965">
        <v>0</v>
      </c>
      <c r="L149" s="965">
        <v>163</v>
      </c>
      <c r="M149" s="965">
        <v>0</v>
      </c>
      <c r="N149" s="965">
        <v>0</v>
      </c>
      <c r="O149" s="965">
        <v>0</v>
      </c>
      <c r="P149" s="965">
        <v>0</v>
      </c>
      <c r="Q149" s="963">
        <f t="shared" si="6"/>
        <v>528</v>
      </c>
      <c r="R149" s="962"/>
    </row>
    <row r="150" spans="2:18">
      <c r="B150" s="901" t="s">
        <v>2918</v>
      </c>
      <c r="C150" s="956" t="s">
        <v>788</v>
      </c>
      <c r="D150" s="956">
        <v>75</v>
      </c>
      <c r="E150" s="963">
        <v>7</v>
      </c>
      <c r="F150" s="963">
        <v>0</v>
      </c>
      <c r="G150" s="963">
        <v>0</v>
      </c>
      <c r="H150" s="965">
        <v>128</v>
      </c>
      <c r="I150" s="965">
        <v>151</v>
      </c>
      <c r="J150" s="965">
        <v>0</v>
      </c>
      <c r="K150" s="965">
        <v>163</v>
      </c>
      <c r="L150" s="965">
        <v>0</v>
      </c>
      <c r="M150" s="965">
        <v>411</v>
      </c>
      <c r="N150" s="965">
        <v>0</v>
      </c>
      <c r="O150" s="965">
        <v>0</v>
      </c>
      <c r="P150" s="965">
        <v>0</v>
      </c>
      <c r="Q150" s="963">
        <f t="shared" si="6"/>
        <v>860</v>
      </c>
      <c r="R150" s="962"/>
    </row>
    <row r="151" spans="2:18">
      <c r="B151" s="901" t="s">
        <v>2886</v>
      </c>
      <c r="C151" s="956" t="s">
        <v>789</v>
      </c>
      <c r="D151" s="956">
        <v>75</v>
      </c>
      <c r="E151" s="963">
        <v>7</v>
      </c>
      <c r="F151" s="963">
        <v>0</v>
      </c>
      <c r="G151" s="963">
        <v>0</v>
      </c>
      <c r="H151" s="965">
        <v>128</v>
      </c>
      <c r="I151" s="965">
        <v>151</v>
      </c>
      <c r="J151" s="965">
        <v>0</v>
      </c>
      <c r="K151" s="965">
        <v>163</v>
      </c>
      <c r="L151" s="965">
        <v>0</v>
      </c>
      <c r="M151" s="965">
        <v>411</v>
      </c>
      <c r="N151" s="965">
        <v>0</v>
      </c>
      <c r="O151" s="965">
        <v>0</v>
      </c>
      <c r="P151" s="965">
        <v>0</v>
      </c>
      <c r="Q151" s="963">
        <f t="shared" si="6"/>
        <v>860</v>
      </c>
      <c r="R151" s="962"/>
    </row>
    <row r="152" spans="2:18">
      <c r="B152" s="964" t="s">
        <v>2673</v>
      </c>
      <c r="E152" s="963"/>
      <c r="F152" s="963"/>
      <c r="G152" s="963"/>
      <c r="H152" s="965"/>
      <c r="I152" s="965"/>
      <c r="J152" s="965"/>
      <c r="K152" s="965"/>
      <c r="L152" s="965"/>
      <c r="M152" s="965"/>
      <c r="N152" s="965"/>
      <c r="O152" s="965"/>
      <c r="P152" s="965"/>
      <c r="Q152" s="963">
        <f t="shared" si="6"/>
        <v>0</v>
      </c>
      <c r="R152" s="962"/>
    </row>
    <row r="153" spans="2:18">
      <c r="B153" s="901" t="s">
        <v>2919</v>
      </c>
      <c r="C153" s="956" t="s">
        <v>780</v>
      </c>
      <c r="D153" s="956">
        <v>110</v>
      </c>
      <c r="E153" s="963">
        <v>110.31</v>
      </c>
      <c r="F153" s="963">
        <v>64.459999999999994</v>
      </c>
      <c r="G153" s="963">
        <v>60</v>
      </c>
      <c r="H153" s="965">
        <v>60</v>
      </c>
      <c r="I153" s="965">
        <v>151.29</v>
      </c>
      <c r="J153" s="965">
        <v>167.68</v>
      </c>
      <c r="K153" s="965">
        <v>60</v>
      </c>
      <c r="L153" s="965">
        <v>176.24</v>
      </c>
      <c r="M153" s="965">
        <v>60</v>
      </c>
      <c r="N153" s="965">
        <v>353.09</v>
      </c>
      <c r="O153" s="965">
        <v>286.06</v>
      </c>
      <c r="P153" s="965">
        <v>433.68</v>
      </c>
      <c r="Q153" s="963">
        <f t="shared" si="6"/>
        <v>1982.81</v>
      </c>
      <c r="R153" s="962"/>
    </row>
    <row r="154" spans="2:18">
      <c r="B154" s="901" t="s">
        <v>2920</v>
      </c>
      <c r="C154" s="956" t="s">
        <v>781</v>
      </c>
      <c r="D154" s="956">
        <v>110</v>
      </c>
      <c r="E154" s="963">
        <v>0</v>
      </c>
      <c r="F154" s="963">
        <v>0</v>
      </c>
      <c r="G154" s="963">
        <v>0</v>
      </c>
      <c r="H154" s="965">
        <v>0</v>
      </c>
      <c r="I154" s="965">
        <v>0</v>
      </c>
      <c r="J154" s="965">
        <v>0</v>
      </c>
      <c r="K154" s="965">
        <v>0</v>
      </c>
      <c r="L154" s="965">
        <v>0</v>
      </c>
      <c r="M154" s="965">
        <v>0</v>
      </c>
      <c r="N154" s="965">
        <v>0</v>
      </c>
      <c r="O154" s="965">
        <v>0</v>
      </c>
      <c r="P154" s="965">
        <v>0</v>
      </c>
      <c r="Q154" s="963">
        <f t="shared" si="6"/>
        <v>0</v>
      </c>
      <c r="R154" s="962"/>
    </row>
    <row r="155" spans="2:18">
      <c r="B155" s="901" t="s">
        <v>2921</v>
      </c>
      <c r="C155" s="956" t="s">
        <v>782</v>
      </c>
      <c r="D155" s="956">
        <v>110</v>
      </c>
      <c r="E155" s="963">
        <v>0</v>
      </c>
      <c r="F155" s="963">
        <v>0</v>
      </c>
      <c r="G155" s="963">
        <v>0</v>
      </c>
      <c r="H155" s="965">
        <v>0</v>
      </c>
      <c r="I155" s="965">
        <v>0</v>
      </c>
      <c r="J155" s="965">
        <v>0</v>
      </c>
      <c r="K155" s="965">
        <v>0</v>
      </c>
      <c r="L155" s="965">
        <v>0</v>
      </c>
      <c r="M155" s="965">
        <v>0</v>
      </c>
      <c r="N155" s="965">
        <v>0</v>
      </c>
      <c r="O155" s="965">
        <v>0</v>
      </c>
      <c r="P155" s="965">
        <v>0</v>
      </c>
      <c r="Q155" s="963">
        <f t="shared" si="6"/>
        <v>0</v>
      </c>
      <c r="R155" s="962"/>
    </row>
    <row r="156" spans="2:18">
      <c r="B156" s="901" t="s">
        <v>2922</v>
      </c>
      <c r="C156" s="956" t="s">
        <v>783</v>
      </c>
      <c r="D156" s="956">
        <v>110</v>
      </c>
      <c r="E156" s="963">
        <v>496.98</v>
      </c>
      <c r="F156" s="963">
        <v>423.12</v>
      </c>
      <c r="G156" s="963">
        <v>397.9</v>
      </c>
      <c r="H156" s="965">
        <v>266.26</v>
      </c>
      <c r="I156" s="965">
        <v>183.26</v>
      </c>
      <c r="J156" s="965">
        <v>189.53</v>
      </c>
      <c r="K156" s="965">
        <v>123.4</v>
      </c>
      <c r="L156" s="965">
        <v>161.43</v>
      </c>
      <c r="M156" s="965">
        <v>136.33000000000001</v>
      </c>
      <c r="N156" s="965">
        <v>374.05</v>
      </c>
      <c r="O156" s="965">
        <v>220.38</v>
      </c>
      <c r="P156" s="965">
        <v>383.84</v>
      </c>
      <c r="Q156" s="963">
        <f t="shared" si="6"/>
        <v>3356.48</v>
      </c>
      <c r="R156" s="962"/>
    </row>
    <row r="157" spans="2:18">
      <c r="B157" s="901" t="s">
        <v>2750</v>
      </c>
      <c r="C157" s="956" t="s">
        <v>784</v>
      </c>
      <c r="D157" s="956">
        <v>110</v>
      </c>
      <c r="E157" s="963">
        <v>-0.15</v>
      </c>
      <c r="F157" s="963">
        <v>-0.01</v>
      </c>
      <c r="G157" s="963">
        <v>0</v>
      </c>
      <c r="H157" s="965">
        <v>-0.41</v>
      </c>
      <c r="I157" s="965">
        <v>-0.69</v>
      </c>
      <c r="J157" s="965">
        <v>-0.24</v>
      </c>
      <c r="K157" s="965">
        <v>-0.52</v>
      </c>
      <c r="L157" s="965">
        <v>-0.26</v>
      </c>
      <c r="M157" s="965">
        <v>-1.32</v>
      </c>
      <c r="N157" s="965">
        <v>-1.69</v>
      </c>
      <c r="O157" s="965">
        <v>2.36</v>
      </c>
      <c r="P157" s="965">
        <v>0.74</v>
      </c>
      <c r="Q157" s="963">
        <f t="shared" si="6"/>
        <v>-2.1899999999999995</v>
      </c>
      <c r="R157" s="962"/>
    </row>
    <row r="158" spans="2:18">
      <c r="B158" s="901" t="s">
        <v>2751</v>
      </c>
      <c r="C158" s="956" t="s">
        <v>785</v>
      </c>
      <c r="D158" s="956">
        <v>110</v>
      </c>
      <c r="E158" s="963">
        <v>0</v>
      </c>
      <c r="F158" s="963">
        <v>0</v>
      </c>
      <c r="G158" s="963">
        <v>0</v>
      </c>
      <c r="H158" s="965">
        <v>0</v>
      </c>
      <c r="I158" s="965">
        <v>0</v>
      </c>
      <c r="J158" s="965">
        <v>0</v>
      </c>
      <c r="K158" s="965">
        <v>0</v>
      </c>
      <c r="L158" s="965">
        <v>0</v>
      </c>
      <c r="M158" s="965">
        <v>0</v>
      </c>
      <c r="N158" s="965">
        <v>0</v>
      </c>
      <c r="O158" s="965">
        <v>0</v>
      </c>
      <c r="P158" s="965">
        <v>0</v>
      </c>
      <c r="Q158" s="963">
        <f t="shared" si="6"/>
        <v>0</v>
      </c>
      <c r="R158" s="962"/>
    </row>
    <row r="159" spans="2:18">
      <c r="B159" s="901" t="s">
        <v>2451</v>
      </c>
      <c r="C159" s="956" t="s">
        <v>786</v>
      </c>
      <c r="D159" s="956">
        <v>110</v>
      </c>
      <c r="E159" s="963">
        <v>0</v>
      </c>
      <c r="F159" s="963">
        <v>0</v>
      </c>
      <c r="G159" s="963">
        <v>0</v>
      </c>
      <c r="H159" s="965">
        <v>0</v>
      </c>
      <c r="I159" s="965">
        <v>0</v>
      </c>
      <c r="J159" s="965">
        <v>0</v>
      </c>
      <c r="K159" s="965">
        <v>0</v>
      </c>
      <c r="L159" s="965">
        <v>0</v>
      </c>
      <c r="M159" s="965">
        <v>24</v>
      </c>
      <c r="N159" s="965">
        <v>-24</v>
      </c>
      <c r="O159" s="965">
        <v>0</v>
      </c>
      <c r="P159" s="965">
        <v>0</v>
      </c>
      <c r="Q159" s="963">
        <f t="shared" si="6"/>
        <v>0</v>
      </c>
      <c r="R159" s="962"/>
    </row>
    <row r="160" spans="2:18">
      <c r="B160" s="901" t="s">
        <v>2697</v>
      </c>
      <c r="C160" s="956" t="s">
        <v>787</v>
      </c>
      <c r="D160" s="956">
        <v>110</v>
      </c>
      <c r="E160" s="963">
        <v>-110.18</v>
      </c>
      <c r="F160" s="963">
        <v>-64.45</v>
      </c>
      <c r="G160" s="963">
        <v>-60</v>
      </c>
      <c r="H160" s="965">
        <v>-60</v>
      </c>
      <c r="I160" s="965">
        <v>-151.07</v>
      </c>
      <c r="J160" s="965">
        <v>-167.42</v>
      </c>
      <c r="K160" s="965">
        <v>-60</v>
      </c>
      <c r="L160" s="965">
        <v>-175.96</v>
      </c>
      <c r="M160" s="965">
        <v>-60</v>
      </c>
      <c r="N160" s="965">
        <v>-352.39</v>
      </c>
      <c r="O160" s="965">
        <v>-285.52</v>
      </c>
      <c r="P160" s="965">
        <v>-432.86</v>
      </c>
      <c r="Q160" s="963">
        <f t="shared" si="6"/>
        <v>-1979.85</v>
      </c>
      <c r="R160" s="962"/>
    </row>
    <row r="161" spans="2:18">
      <c r="B161" s="901" t="s">
        <v>2698</v>
      </c>
      <c r="C161" s="956" t="s">
        <v>788</v>
      </c>
      <c r="D161" s="956">
        <v>110</v>
      </c>
      <c r="E161" s="963">
        <v>64.45</v>
      </c>
      <c r="F161" s="963">
        <v>60</v>
      </c>
      <c r="G161" s="963">
        <v>60</v>
      </c>
      <c r="H161" s="965">
        <v>151.07</v>
      </c>
      <c r="I161" s="965">
        <v>167.42</v>
      </c>
      <c r="J161" s="965">
        <v>60</v>
      </c>
      <c r="K161" s="965">
        <v>175.96</v>
      </c>
      <c r="L161" s="965">
        <v>60</v>
      </c>
      <c r="M161" s="965">
        <v>352.39</v>
      </c>
      <c r="N161" s="965">
        <v>285.52</v>
      </c>
      <c r="O161" s="965">
        <v>432.86</v>
      </c>
      <c r="P161" s="965">
        <v>258.19</v>
      </c>
      <c r="Q161" s="963">
        <f t="shared" si="6"/>
        <v>2127.86</v>
      </c>
      <c r="R161" s="962"/>
    </row>
    <row r="162" spans="2:18">
      <c r="B162" s="901" t="s">
        <v>2884</v>
      </c>
      <c r="C162" s="956" t="s">
        <v>789</v>
      </c>
      <c r="D162" s="956">
        <v>110</v>
      </c>
      <c r="E162" s="963">
        <f>SUM(E153:E161)</f>
        <v>561.41</v>
      </c>
      <c r="F162" s="963">
        <f t="shared" ref="F162:P162" si="8">SUM(F153:F161)</f>
        <v>483.12</v>
      </c>
      <c r="G162" s="963">
        <f t="shared" si="8"/>
        <v>457.9</v>
      </c>
      <c r="H162" s="965">
        <f>SUM(H153:H161)</f>
        <v>416.91999999999996</v>
      </c>
      <c r="I162" s="965">
        <f t="shared" si="8"/>
        <v>350.20999999999992</v>
      </c>
      <c r="J162" s="965">
        <f t="shared" si="8"/>
        <v>249.55000000000004</v>
      </c>
      <c r="K162" s="965">
        <f t="shared" si="8"/>
        <v>298.84000000000003</v>
      </c>
      <c r="L162" s="965">
        <f t="shared" si="8"/>
        <v>221.45000000000002</v>
      </c>
      <c r="M162" s="965">
        <f t="shared" si="8"/>
        <v>511.4</v>
      </c>
      <c r="N162" s="965">
        <f t="shared" si="8"/>
        <v>634.57999999999993</v>
      </c>
      <c r="O162" s="965">
        <f t="shared" si="8"/>
        <v>656.1400000000001</v>
      </c>
      <c r="P162" s="965">
        <f t="shared" si="8"/>
        <v>643.58999999999992</v>
      </c>
      <c r="Q162" s="963">
        <f>SUM(E162:P162)</f>
        <v>5485.1100000000006</v>
      </c>
      <c r="R162" s="962"/>
    </row>
    <row r="163" spans="2:18">
      <c r="B163" s="964" t="s">
        <v>2673</v>
      </c>
      <c r="E163" s="963"/>
      <c r="F163" s="963"/>
      <c r="G163" s="963"/>
      <c r="H163" s="965"/>
      <c r="I163" s="965"/>
      <c r="J163" s="965"/>
      <c r="K163" s="965"/>
      <c r="L163" s="965"/>
      <c r="M163" s="965"/>
      <c r="N163" s="965"/>
      <c r="O163" s="965"/>
      <c r="P163" s="965"/>
      <c r="Q163" s="963">
        <f t="shared" si="6"/>
        <v>0</v>
      </c>
      <c r="R163" s="962"/>
    </row>
    <row r="164" spans="2:18">
      <c r="B164" s="964"/>
      <c r="E164" s="963"/>
      <c r="F164" s="963"/>
      <c r="G164" s="963"/>
      <c r="H164" s="963"/>
      <c r="I164" s="963"/>
      <c r="J164" s="963"/>
      <c r="K164" s="963"/>
      <c r="L164" s="963"/>
      <c r="M164" s="963"/>
      <c r="N164" s="963"/>
      <c r="O164" s="963"/>
      <c r="P164" s="963"/>
      <c r="Q164" s="963"/>
      <c r="R164" s="962"/>
    </row>
    <row r="165" spans="2:18">
      <c r="B165" s="960" t="s">
        <v>2932</v>
      </c>
      <c r="E165" s="961"/>
      <c r="F165" s="961"/>
      <c r="G165" s="961"/>
      <c r="H165" s="961"/>
      <c r="I165" s="961"/>
      <c r="J165" s="961"/>
      <c r="K165" s="961"/>
      <c r="L165" s="961"/>
      <c r="M165" s="961"/>
      <c r="N165" s="961"/>
      <c r="O165" s="961"/>
      <c r="P165" s="961"/>
      <c r="Q165" s="963">
        <f t="shared" si="6"/>
        <v>0</v>
      </c>
      <c r="R165" s="962"/>
    </row>
    <row r="166" spans="2:18">
      <c r="B166" s="901" t="s">
        <v>2514</v>
      </c>
      <c r="C166" s="956" t="s">
        <v>780</v>
      </c>
      <c r="D166" s="956">
        <v>77</v>
      </c>
      <c r="E166" s="963">
        <v>260482</v>
      </c>
      <c r="F166" s="963">
        <v>258811</v>
      </c>
      <c r="G166" s="963">
        <v>270184</v>
      </c>
      <c r="H166" s="963">
        <v>248145</v>
      </c>
      <c r="I166" s="963">
        <v>191467</v>
      </c>
      <c r="J166" s="963">
        <v>142256</v>
      </c>
      <c r="K166" s="963">
        <v>110987</v>
      </c>
      <c r="L166" s="963">
        <v>120028</v>
      </c>
      <c r="M166" s="963">
        <v>93626</v>
      </c>
      <c r="N166" s="963">
        <v>111442</v>
      </c>
      <c r="O166" s="963">
        <v>232820</v>
      </c>
      <c r="P166" s="963">
        <v>230233</v>
      </c>
      <c r="Q166" s="963">
        <f t="shared" si="6"/>
        <v>2270481</v>
      </c>
      <c r="R166" s="962"/>
    </row>
    <row r="167" spans="2:18">
      <c r="B167" s="901" t="s">
        <v>2915</v>
      </c>
      <c r="C167" s="956" t="s">
        <v>781</v>
      </c>
      <c r="D167" s="956">
        <v>77</v>
      </c>
      <c r="E167" s="963">
        <v>0</v>
      </c>
      <c r="F167" s="963">
        <v>0</v>
      </c>
      <c r="G167" s="963">
        <v>0</v>
      </c>
      <c r="H167" s="963">
        <v>0</v>
      </c>
      <c r="I167" s="963">
        <v>0</v>
      </c>
      <c r="J167" s="963">
        <v>0</v>
      </c>
      <c r="K167" s="963">
        <v>0</v>
      </c>
      <c r="L167" s="963">
        <v>0</v>
      </c>
      <c r="M167" s="963">
        <v>0</v>
      </c>
      <c r="N167" s="963">
        <v>0</v>
      </c>
      <c r="O167" s="963">
        <v>0</v>
      </c>
      <c r="P167" s="963">
        <v>0</v>
      </c>
      <c r="Q167" s="963">
        <f t="shared" si="6"/>
        <v>0</v>
      </c>
      <c r="R167" s="962"/>
    </row>
    <row r="168" spans="2:18">
      <c r="B168" s="901" t="s">
        <v>2916</v>
      </c>
      <c r="C168" s="956" t="s">
        <v>782</v>
      </c>
      <c r="D168" s="956">
        <v>77</v>
      </c>
      <c r="E168" s="963">
        <v>0</v>
      </c>
      <c r="F168" s="963">
        <v>0</v>
      </c>
      <c r="G168" s="963">
        <v>0</v>
      </c>
      <c r="H168" s="963">
        <v>0</v>
      </c>
      <c r="I168" s="963">
        <v>0</v>
      </c>
      <c r="J168" s="963">
        <v>0</v>
      </c>
      <c r="K168" s="963">
        <v>0</v>
      </c>
      <c r="L168" s="963">
        <v>0</v>
      </c>
      <c r="M168" s="963">
        <v>0</v>
      </c>
      <c r="N168" s="963">
        <v>0</v>
      </c>
      <c r="O168" s="963">
        <v>0</v>
      </c>
      <c r="P168" s="963">
        <v>0</v>
      </c>
      <c r="Q168" s="963">
        <f t="shared" si="6"/>
        <v>0</v>
      </c>
      <c r="R168" s="962"/>
    </row>
    <row r="169" spans="2:18">
      <c r="B169" s="901" t="s">
        <v>2917</v>
      </c>
      <c r="C169" s="956" t="s">
        <v>787</v>
      </c>
      <c r="D169" s="956">
        <v>77</v>
      </c>
      <c r="E169" s="963">
        <v>260482</v>
      </c>
      <c r="F169" s="963">
        <v>258811</v>
      </c>
      <c r="G169" s="963">
        <v>270184</v>
      </c>
      <c r="H169" s="963">
        <v>248145</v>
      </c>
      <c r="I169" s="963">
        <v>191467</v>
      </c>
      <c r="J169" s="963">
        <v>142256</v>
      </c>
      <c r="K169" s="963">
        <v>110987</v>
      </c>
      <c r="L169" s="963">
        <v>120028</v>
      </c>
      <c r="M169" s="963">
        <v>93626</v>
      </c>
      <c r="N169" s="963">
        <v>111442</v>
      </c>
      <c r="O169" s="963">
        <v>232820</v>
      </c>
      <c r="P169" s="963">
        <v>230233</v>
      </c>
      <c r="Q169" s="963">
        <f t="shared" si="6"/>
        <v>2270481</v>
      </c>
      <c r="R169" s="962"/>
    </row>
    <row r="170" spans="2:18">
      <c r="B170" s="901" t="s">
        <v>2918</v>
      </c>
      <c r="C170" s="956" t="s">
        <v>788</v>
      </c>
      <c r="D170" s="956">
        <v>77</v>
      </c>
      <c r="E170" s="963">
        <v>258811</v>
      </c>
      <c r="F170" s="963">
        <v>270184</v>
      </c>
      <c r="G170" s="963">
        <v>248145</v>
      </c>
      <c r="H170" s="963">
        <v>191467</v>
      </c>
      <c r="I170" s="963">
        <v>142256</v>
      </c>
      <c r="J170" s="963">
        <v>110987</v>
      </c>
      <c r="K170" s="963">
        <v>120028</v>
      </c>
      <c r="L170" s="963">
        <v>93626</v>
      </c>
      <c r="M170" s="963">
        <v>111442</v>
      </c>
      <c r="N170" s="963">
        <v>232820</v>
      </c>
      <c r="O170" s="963">
        <v>230233</v>
      </c>
      <c r="P170" s="963">
        <v>254015</v>
      </c>
      <c r="Q170" s="963">
        <f t="shared" si="6"/>
        <v>2264014</v>
      </c>
      <c r="R170" s="962"/>
    </row>
    <row r="171" spans="2:18">
      <c r="B171" s="901" t="s">
        <v>2886</v>
      </c>
      <c r="C171" s="956" t="s">
        <v>789</v>
      </c>
      <c r="D171" s="956">
        <v>77</v>
      </c>
      <c r="E171" s="963">
        <v>258811</v>
      </c>
      <c r="F171" s="963">
        <v>270184</v>
      </c>
      <c r="G171" s="963">
        <v>248145</v>
      </c>
      <c r="H171" s="963">
        <v>191467</v>
      </c>
      <c r="I171" s="963">
        <v>142256</v>
      </c>
      <c r="J171" s="963">
        <v>110987</v>
      </c>
      <c r="K171" s="963">
        <v>120028</v>
      </c>
      <c r="L171" s="963">
        <v>93626</v>
      </c>
      <c r="M171" s="963">
        <v>111442</v>
      </c>
      <c r="N171" s="963">
        <v>232820</v>
      </c>
      <c r="O171" s="963">
        <v>230234</v>
      </c>
      <c r="P171" s="963">
        <v>254014</v>
      </c>
      <c r="Q171" s="963">
        <f t="shared" si="6"/>
        <v>2264014</v>
      </c>
      <c r="R171" s="962"/>
    </row>
    <row r="172" spans="2:18">
      <c r="B172" s="964" t="s">
        <v>2673</v>
      </c>
      <c r="E172" s="963"/>
      <c r="F172" s="963"/>
      <c r="G172" s="963"/>
      <c r="H172" s="963"/>
      <c r="I172" s="963"/>
      <c r="J172" s="963"/>
      <c r="K172" s="963"/>
      <c r="L172" s="963"/>
      <c r="M172" s="963"/>
      <c r="N172" s="963"/>
      <c r="O172" s="963"/>
      <c r="P172" s="963"/>
      <c r="Q172" s="963">
        <f t="shared" si="6"/>
        <v>0</v>
      </c>
      <c r="R172" s="962"/>
    </row>
    <row r="173" spans="2:18">
      <c r="B173" s="901" t="s">
        <v>2919</v>
      </c>
      <c r="C173" s="956" t="s">
        <v>780</v>
      </c>
      <c r="D173" s="956">
        <v>121</v>
      </c>
      <c r="E173" s="963">
        <v>133452.63</v>
      </c>
      <c r="F173" s="963">
        <v>132641.73000000001</v>
      </c>
      <c r="G173" s="963">
        <v>138156.16</v>
      </c>
      <c r="H173" s="963">
        <v>127236.72</v>
      </c>
      <c r="I173" s="963">
        <v>113617.97</v>
      </c>
      <c r="J173" s="963">
        <v>85436.04</v>
      </c>
      <c r="K173" s="963">
        <v>67458.759999999995</v>
      </c>
      <c r="L173" s="963">
        <v>74035.460000000006</v>
      </c>
      <c r="M173" s="963">
        <v>57805.31</v>
      </c>
      <c r="N173" s="963">
        <v>67921.81</v>
      </c>
      <c r="O173" s="963">
        <v>138946.76999999999</v>
      </c>
      <c r="P173" s="963">
        <v>151680.69</v>
      </c>
      <c r="Q173" s="963">
        <f t="shared" si="6"/>
        <v>1288390.05</v>
      </c>
      <c r="R173" s="962"/>
    </row>
    <row r="174" spans="2:18">
      <c r="B174" s="901" t="s">
        <v>2920</v>
      </c>
      <c r="C174" s="956" t="s">
        <v>781</v>
      </c>
      <c r="D174" s="956">
        <v>121</v>
      </c>
      <c r="E174" s="963">
        <v>0</v>
      </c>
      <c r="F174" s="963">
        <v>0</v>
      </c>
      <c r="G174" s="963">
        <v>0</v>
      </c>
      <c r="H174" s="963">
        <v>0</v>
      </c>
      <c r="I174" s="963">
        <v>0</v>
      </c>
      <c r="J174" s="963">
        <v>0</v>
      </c>
      <c r="K174" s="963">
        <v>0</v>
      </c>
      <c r="L174" s="963">
        <v>0</v>
      </c>
      <c r="M174" s="963">
        <v>0</v>
      </c>
      <c r="N174" s="963">
        <v>0</v>
      </c>
      <c r="O174" s="963">
        <v>0</v>
      </c>
      <c r="P174" s="963">
        <v>0</v>
      </c>
      <c r="Q174" s="963">
        <f t="shared" si="6"/>
        <v>0</v>
      </c>
      <c r="R174" s="962"/>
    </row>
    <row r="175" spans="2:18">
      <c r="B175" s="901" t="s">
        <v>2921</v>
      </c>
      <c r="C175" s="956" t="s">
        <v>782</v>
      </c>
      <c r="D175" s="956">
        <v>121</v>
      </c>
      <c r="E175" s="963">
        <v>0</v>
      </c>
      <c r="F175" s="963">
        <v>0</v>
      </c>
      <c r="G175" s="963">
        <v>0</v>
      </c>
      <c r="H175" s="963">
        <v>0</v>
      </c>
      <c r="I175" s="963">
        <v>0</v>
      </c>
      <c r="J175" s="963">
        <v>0</v>
      </c>
      <c r="K175" s="963">
        <v>0</v>
      </c>
      <c r="L175" s="963">
        <v>0</v>
      </c>
      <c r="M175" s="963">
        <v>0</v>
      </c>
      <c r="N175" s="963">
        <v>0</v>
      </c>
      <c r="O175" s="963">
        <v>0</v>
      </c>
      <c r="P175" s="963">
        <v>0</v>
      </c>
      <c r="Q175" s="963">
        <f t="shared" ref="Q175:Q238" si="9">SUM(E175:P175)</f>
        <v>0</v>
      </c>
      <c r="R175" s="962"/>
    </row>
    <row r="176" spans="2:18">
      <c r="B176" s="901" t="s">
        <v>2922</v>
      </c>
      <c r="C176" s="956" t="s">
        <v>783</v>
      </c>
      <c r="D176" s="956">
        <v>121</v>
      </c>
      <c r="E176" s="963">
        <v>6134.82</v>
      </c>
      <c r="F176" s="963">
        <v>5877.68</v>
      </c>
      <c r="G176" s="963">
        <v>1311.99</v>
      </c>
      <c r="H176" s="963">
        <v>3377.2</v>
      </c>
      <c r="I176" s="963">
        <v>1427.35</v>
      </c>
      <c r="J176" s="963">
        <v>1049.79</v>
      </c>
      <c r="K176" s="963">
        <v>-778.55</v>
      </c>
      <c r="L176" s="963">
        <v>2424.73</v>
      </c>
      <c r="M176" s="963">
        <v>-1380.48</v>
      </c>
      <c r="N176" s="963">
        <v>17308.79</v>
      </c>
      <c r="O176" s="963">
        <v>-18739.09</v>
      </c>
      <c r="P176" s="963">
        <v>2045.34</v>
      </c>
      <c r="Q176" s="963">
        <f t="shared" si="9"/>
        <v>20059.57</v>
      </c>
      <c r="R176" s="962"/>
    </row>
    <row r="177" spans="1:18">
      <c r="B177" s="901" t="s">
        <v>2750</v>
      </c>
      <c r="C177" s="956" t="s">
        <v>784</v>
      </c>
      <c r="D177" s="956">
        <v>121</v>
      </c>
      <c r="E177" s="963">
        <v>-2071.31</v>
      </c>
      <c r="F177" s="963">
        <v>-2155.9</v>
      </c>
      <c r="G177" s="963">
        <v>-1995.96</v>
      </c>
      <c r="H177" s="963">
        <v>-1559.51</v>
      </c>
      <c r="I177" s="963">
        <v>-1162.1600000000001</v>
      </c>
      <c r="J177" s="963">
        <v>-903.22</v>
      </c>
      <c r="K177" s="963">
        <v>-955.79</v>
      </c>
      <c r="L177" s="963">
        <v>-761.94</v>
      </c>
      <c r="M177" s="963">
        <v>-882.81</v>
      </c>
      <c r="N177" s="963">
        <v>-1803.09</v>
      </c>
      <c r="O177" s="963">
        <v>-4502.32</v>
      </c>
      <c r="P177" s="963">
        <v>-4952.04</v>
      </c>
      <c r="Q177" s="963">
        <f t="shared" si="9"/>
        <v>-23706.05</v>
      </c>
      <c r="R177" s="962"/>
    </row>
    <row r="178" spans="1:18">
      <c r="B178" s="901" t="s">
        <v>2751</v>
      </c>
      <c r="C178" s="956" t="s">
        <v>785</v>
      </c>
      <c r="D178" s="956">
        <v>121</v>
      </c>
      <c r="E178" s="963">
        <v>0</v>
      </c>
      <c r="F178" s="963">
        <v>0</v>
      </c>
      <c r="G178" s="963">
        <v>0</v>
      </c>
      <c r="H178" s="963">
        <v>0</v>
      </c>
      <c r="I178" s="963">
        <v>0</v>
      </c>
      <c r="J178" s="963">
        <v>0</v>
      </c>
      <c r="K178" s="963">
        <v>0</v>
      </c>
      <c r="L178" s="963">
        <v>0</v>
      </c>
      <c r="M178" s="963">
        <v>0</v>
      </c>
      <c r="N178" s="963">
        <v>0</v>
      </c>
      <c r="O178" s="963">
        <v>0</v>
      </c>
      <c r="P178" s="963">
        <v>0</v>
      </c>
      <c r="Q178" s="963">
        <f t="shared" si="9"/>
        <v>0</v>
      </c>
      <c r="R178" s="962"/>
    </row>
    <row r="179" spans="1:18">
      <c r="B179" s="901" t="s">
        <v>2451</v>
      </c>
      <c r="C179" s="956" t="s">
        <v>786</v>
      </c>
      <c r="D179" s="956">
        <v>121</v>
      </c>
      <c r="E179" s="963">
        <v>0</v>
      </c>
      <c r="F179" s="963">
        <v>0</v>
      </c>
      <c r="G179" s="963">
        <v>0</v>
      </c>
      <c r="H179" s="963">
        <v>0</v>
      </c>
      <c r="I179" s="963">
        <v>0</v>
      </c>
      <c r="J179" s="963">
        <v>0</v>
      </c>
      <c r="K179" s="963">
        <v>0</v>
      </c>
      <c r="L179" s="963">
        <v>0</v>
      </c>
      <c r="M179" s="963">
        <v>0</v>
      </c>
      <c r="N179" s="963">
        <v>0</v>
      </c>
      <c r="O179" s="963">
        <v>0</v>
      </c>
      <c r="P179" s="963">
        <v>0</v>
      </c>
      <c r="Q179" s="963">
        <f t="shared" si="9"/>
        <v>0</v>
      </c>
      <c r="R179" s="962"/>
    </row>
    <row r="180" spans="1:18">
      <c r="B180" s="901" t="s">
        <v>2697</v>
      </c>
      <c r="C180" s="956" t="s">
        <v>787</v>
      </c>
      <c r="D180" s="956">
        <v>121</v>
      </c>
      <c r="E180" s="963">
        <v>133319.79</v>
      </c>
      <c r="F180" s="963">
        <v>132509.73000000001</v>
      </c>
      <c r="G180" s="963">
        <v>138018.36000000002</v>
      </c>
      <c r="H180" s="963">
        <v>126942.28</v>
      </c>
      <c r="I180" s="963">
        <v>113520.33</v>
      </c>
      <c r="J180" s="963">
        <v>85363.5</v>
      </c>
      <c r="K180" s="963">
        <v>67402.159999999989</v>
      </c>
      <c r="L180" s="963">
        <v>73974.240000000005</v>
      </c>
      <c r="M180" s="963">
        <v>57757.549999999996</v>
      </c>
      <c r="N180" s="963">
        <v>67864.97</v>
      </c>
      <c r="O180" s="963">
        <v>138828.03</v>
      </c>
      <c r="P180" s="963">
        <v>151565.56</v>
      </c>
      <c r="Q180" s="963">
        <f>-SUM(E180:P180)</f>
        <v>-1287066.5</v>
      </c>
      <c r="R180" s="962"/>
    </row>
    <row r="181" spans="1:18">
      <c r="B181" s="901" t="s">
        <v>2698</v>
      </c>
      <c r="C181" s="956" t="s">
        <v>788</v>
      </c>
      <c r="D181" s="956">
        <v>121</v>
      </c>
      <c r="E181" s="963">
        <v>132509.73000000001</v>
      </c>
      <c r="F181" s="963">
        <v>138018.36000000002</v>
      </c>
      <c r="G181" s="963">
        <v>126942.28</v>
      </c>
      <c r="H181" s="963">
        <v>113520.33</v>
      </c>
      <c r="I181" s="963">
        <v>85363.5</v>
      </c>
      <c r="J181" s="963">
        <v>67402.159999999989</v>
      </c>
      <c r="K181" s="963">
        <v>73974.240000000005</v>
      </c>
      <c r="L181" s="963">
        <v>57757.549999999996</v>
      </c>
      <c r="M181" s="963">
        <v>67864.97</v>
      </c>
      <c r="N181" s="963">
        <v>138828.03</v>
      </c>
      <c r="O181" s="963">
        <v>151565.56</v>
      </c>
      <c r="P181" s="963">
        <v>166995.06999999998</v>
      </c>
      <c r="Q181" s="963">
        <f t="shared" si="9"/>
        <v>1320741.78</v>
      </c>
      <c r="R181" s="962"/>
    </row>
    <row r="182" spans="1:18">
      <c r="B182" s="901" t="s">
        <v>2884</v>
      </c>
      <c r="C182" s="956" t="s">
        <v>789</v>
      </c>
      <c r="D182" s="956">
        <v>121</v>
      </c>
      <c r="E182" s="963">
        <v>136706.08000000002</v>
      </c>
      <c r="F182" s="963">
        <v>141872.14000000001</v>
      </c>
      <c r="G182" s="963">
        <v>126396.10999999999</v>
      </c>
      <c r="H182" s="963">
        <v>115632.46</v>
      </c>
      <c r="I182" s="963">
        <v>85726.33</v>
      </c>
      <c r="J182" s="963">
        <v>67621.269999999975</v>
      </c>
      <c r="K182" s="963">
        <v>72296.500000000015</v>
      </c>
      <c r="L182" s="963">
        <v>59481.55999999999</v>
      </c>
      <c r="M182" s="963">
        <v>65649.440000000002</v>
      </c>
      <c r="N182" s="963">
        <v>154390.57</v>
      </c>
      <c r="O182" s="963">
        <v>128442.88999999998</v>
      </c>
      <c r="P182" s="963">
        <v>164203.49999999997</v>
      </c>
      <c r="Q182" s="963">
        <f t="shared" si="9"/>
        <v>1318418.8499999999</v>
      </c>
      <c r="R182" s="962"/>
    </row>
    <row r="183" spans="1:18">
      <c r="B183" s="964" t="s">
        <v>2673</v>
      </c>
      <c r="E183" s="963"/>
      <c r="F183" s="963"/>
      <c r="G183" s="963"/>
      <c r="H183" s="963"/>
      <c r="I183" s="963"/>
      <c r="J183" s="963"/>
      <c r="K183" s="963"/>
      <c r="L183" s="963"/>
      <c r="M183" s="963"/>
      <c r="N183" s="963"/>
      <c r="O183" s="963"/>
      <c r="P183" s="963"/>
      <c r="Q183" s="963"/>
      <c r="R183" s="962"/>
    </row>
    <row r="184" spans="1:18">
      <c r="B184" s="964"/>
      <c r="E184" s="963"/>
      <c r="F184" s="963"/>
      <c r="G184" s="963"/>
      <c r="H184" s="963"/>
      <c r="I184" s="963"/>
      <c r="J184" s="963"/>
      <c r="K184" s="963"/>
      <c r="L184" s="963"/>
      <c r="M184" s="963"/>
      <c r="N184" s="963"/>
      <c r="O184" s="963"/>
      <c r="P184" s="963"/>
      <c r="Q184" s="963"/>
      <c r="R184" s="962"/>
    </row>
    <row r="185" spans="1:18">
      <c r="A185" s="968" t="s">
        <v>2847</v>
      </c>
      <c r="B185" s="960" t="s">
        <v>2933</v>
      </c>
      <c r="C185" s="956" t="s">
        <v>777</v>
      </c>
      <c r="D185" s="956">
        <v>79</v>
      </c>
      <c r="E185" s="969"/>
      <c r="F185" s="969"/>
      <c r="G185" s="969"/>
      <c r="H185" s="969"/>
      <c r="I185" s="969"/>
      <c r="J185" s="969"/>
      <c r="K185" s="969"/>
      <c r="L185" s="969"/>
      <c r="M185" s="969"/>
      <c r="N185" s="969"/>
      <c r="O185" s="969"/>
      <c r="P185" s="969"/>
      <c r="Q185" s="963"/>
      <c r="R185" s="962"/>
    </row>
    <row r="186" spans="1:18">
      <c r="A186" s="968" t="s">
        <v>2934</v>
      </c>
      <c r="B186" s="901" t="s">
        <v>2514</v>
      </c>
      <c r="C186" s="956" t="s">
        <v>780</v>
      </c>
      <c r="D186" s="956">
        <v>79</v>
      </c>
      <c r="E186" s="963">
        <v>29346851</v>
      </c>
      <c r="F186" s="963">
        <v>31076934</v>
      </c>
      <c r="G186" s="963">
        <v>30225230</v>
      </c>
      <c r="H186" s="963">
        <v>29413222</v>
      </c>
      <c r="I186" s="963">
        <v>27861922</v>
      </c>
      <c r="J186" s="963">
        <v>29822871</v>
      </c>
      <c r="K186" s="963">
        <v>27060192</v>
      </c>
      <c r="L186" s="963">
        <v>26087226</v>
      </c>
      <c r="M186" s="963">
        <v>28179207</v>
      </c>
      <c r="N186" s="963">
        <v>32200088</v>
      </c>
      <c r="O186" s="963">
        <v>33622269</v>
      </c>
      <c r="P186" s="963">
        <v>29817626</v>
      </c>
      <c r="Q186" s="963">
        <f t="shared" si="9"/>
        <v>354713638</v>
      </c>
      <c r="R186" s="962"/>
    </row>
    <row r="187" spans="1:18">
      <c r="A187" s="970">
        <v>4861</v>
      </c>
      <c r="B187" s="901" t="s">
        <v>2915</v>
      </c>
      <c r="C187" s="956" t="s">
        <v>781</v>
      </c>
      <c r="D187" s="956">
        <v>79</v>
      </c>
      <c r="E187" s="963">
        <v>0</v>
      </c>
      <c r="F187" s="963">
        <v>0</v>
      </c>
      <c r="G187" s="963">
        <v>0</v>
      </c>
      <c r="H187" s="963">
        <v>0</v>
      </c>
      <c r="I187" s="963">
        <v>0</v>
      </c>
      <c r="J187" s="963">
        <v>0</v>
      </c>
      <c r="K187" s="963">
        <v>0</v>
      </c>
      <c r="L187" s="963">
        <v>0</v>
      </c>
      <c r="M187" s="963">
        <v>0</v>
      </c>
      <c r="N187" s="963">
        <v>0</v>
      </c>
      <c r="O187" s="963">
        <v>0</v>
      </c>
      <c r="P187" s="963">
        <v>0</v>
      </c>
      <c r="Q187" s="963">
        <f t="shared" si="9"/>
        <v>0</v>
      </c>
      <c r="R187" s="962"/>
    </row>
    <row r="188" spans="1:18">
      <c r="B188" s="901" t="s">
        <v>2916</v>
      </c>
      <c r="C188" s="956" t="s">
        <v>782</v>
      </c>
      <c r="D188" s="956">
        <v>79</v>
      </c>
      <c r="E188" s="963">
        <v>0</v>
      </c>
      <c r="F188" s="963">
        <v>0</v>
      </c>
      <c r="G188" s="963">
        <v>0</v>
      </c>
      <c r="H188" s="963">
        <v>0</v>
      </c>
      <c r="I188" s="963">
        <v>0</v>
      </c>
      <c r="J188" s="963">
        <v>0</v>
      </c>
      <c r="K188" s="963">
        <v>0</v>
      </c>
      <c r="L188" s="963">
        <v>0</v>
      </c>
      <c r="M188" s="963">
        <v>0</v>
      </c>
      <c r="N188" s="963">
        <v>0</v>
      </c>
      <c r="O188" s="963">
        <v>0</v>
      </c>
      <c r="P188" s="963">
        <v>0</v>
      </c>
      <c r="Q188" s="963">
        <f t="shared" si="9"/>
        <v>0</v>
      </c>
      <c r="R188" s="962"/>
    </row>
    <row r="189" spans="1:18">
      <c r="B189" s="901" t="s">
        <v>2917</v>
      </c>
      <c r="C189" s="956" t="s">
        <v>787</v>
      </c>
      <c r="D189" s="956">
        <v>79</v>
      </c>
      <c r="E189" s="963">
        <v>29346851</v>
      </c>
      <c r="F189" s="963">
        <v>31076934</v>
      </c>
      <c r="G189" s="963">
        <v>30225230</v>
      </c>
      <c r="H189" s="963">
        <v>29441177</v>
      </c>
      <c r="I189" s="963">
        <v>27861922</v>
      </c>
      <c r="J189" s="963">
        <v>29822871</v>
      </c>
      <c r="K189" s="963">
        <v>27060192</v>
      </c>
      <c r="L189" s="963">
        <v>26075307</v>
      </c>
      <c r="M189" s="963">
        <v>28179207</v>
      </c>
      <c r="N189" s="963">
        <v>31412664</v>
      </c>
      <c r="O189" s="963">
        <v>33622137</v>
      </c>
      <c r="P189" s="963">
        <v>29790523</v>
      </c>
      <c r="Q189" s="963">
        <f t="shared" si="9"/>
        <v>353915015</v>
      </c>
      <c r="R189" s="962"/>
    </row>
    <row r="190" spans="1:18">
      <c r="B190" s="901" t="s">
        <v>2918</v>
      </c>
      <c r="C190" s="956" t="s">
        <v>788</v>
      </c>
      <c r="D190" s="956">
        <v>79</v>
      </c>
      <c r="E190" s="963">
        <v>31076934</v>
      </c>
      <c r="F190" s="963">
        <v>30225230</v>
      </c>
      <c r="G190" s="963">
        <v>29441177</v>
      </c>
      <c r="H190" s="963">
        <v>27861922</v>
      </c>
      <c r="I190" s="963">
        <v>29822871</v>
      </c>
      <c r="J190" s="963">
        <v>27060192</v>
      </c>
      <c r="K190" s="963">
        <v>26075307</v>
      </c>
      <c r="L190" s="963">
        <v>28179207</v>
      </c>
      <c r="M190" s="963">
        <v>31412664</v>
      </c>
      <c r="N190" s="963">
        <v>33622137</v>
      </c>
      <c r="O190" s="963">
        <v>29790523</v>
      </c>
      <c r="P190" s="963">
        <v>31590271</v>
      </c>
      <c r="Q190" s="963">
        <f t="shared" si="9"/>
        <v>356158435</v>
      </c>
      <c r="R190" s="962"/>
    </row>
    <row r="191" spans="1:18">
      <c r="B191" s="901" t="s">
        <v>2886</v>
      </c>
      <c r="C191" s="956" t="s">
        <v>789</v>
      </c>
      <c r="D191" s="956">
        <v>79</v>
      </c>
      <c r="E191" s="963">
        <v>31076934</v>
      </c>
      <c r="F191" s="963">
        <v>30225230</v>
      </c>
      <c r="G191" s="963">
        <v>29441177</v>
      </c>
      <c r="H191" s="963">
        <v>27833967</v>
      </c>
      <c r="I191" s="963">
        <v>29822871</v>
      </c>
      <c r="J191" s="963">
        <v>27060192</v>
      </c>
      <c r="K191" s="963">
        <v>26075307</v>
      </c>
      <c r="L191" s="963">
        <v>28191126</v>
      </c>
      <c r="M191" s="963">
        <v>31412664</v>
      </c>
      <c r="N191" s="963">
        <v>34409561</v>
      </c>
      <c r="O191" s="963">
        <v>29790656</v>
      </c>
      <c r="P191" s="963">
        <v>31617373</v>
      </c>
      <c r="Q191" s="963">
        <f t="shared" si="9"/>
        <v>356957058</v>
      </c>
      <c r="R191" s="962"/>
    </row>
    <row r="192" spans="1:18">
      <c r="B192" s="964" t="s">
        <v>2673</v>
      </c>
      <c r="E192" s="963"/>
      <c r="F192" s="963"/>
      <c r="G192" s="963"/>
      <c r="H192" s="963"/>
      <c r="I192" s="963"/>
      <c r="J192" s="963"/>
      <c r="K192" s="963"/>
      <c r="L192" s="963"/>
      <c r="M192" s="963"/>
      <c r="N192" s="963"/>
      <c r="O192" s="963"/>
      <c r="P192" s="963"/>
      <c r="Q192" s="963">
        <f t="shared" si="9"/>
        <v>0</v>
      </c>
      <c r="R192" s="962"/>
    </row>
    <row r="193" spans="1:18">
      <c r="B193" s="901" t="s">
        <v>2919</v>
      </c>
      <c r="C193" s="956" t="s">
        <v>780</v>
      </c>
      <c r="D193" s="956">
        <v>123</v>
      </c>
      <c r="E193" s="963">
        <v>1164258.1200000001</v>
      </c>
      <c r="F193" s="963">
        <v>1214333.8799999999</v>
      </c>
      <c r="G193" s="963">
        <v>1204288.18</v>
      </c>
      <c r="H193" s="963">
        <v>1180255.27</v>
      </c>
      <c r="I193" s="963">
        <v>1129778.7</v>
      </c>
      <c r="J193" s="963">
        <v>1129080.8400000001</v>
      </c>
      <c r="K193" s="963">
        <v>1108647.58</v>
      </c>
      <c r="L193" s="963">
        <v>1072997.6499999999</v>
      </c>
      <c r="M193" s="963">
        <v>1103921.6100000001</v>
      </c>
      <c r="N193" s="963">
        <v>1201377.8799999999</v>
      </c>
      <c r="O193" s="963">
        <v>1222339.1399999999</v>
      </c>
      <c r="P193" s="963">
        <v>1151276.54</v>
      </c>
      <c r="Q193" s="963">
        <f t="shared" si="9"/>
        <v>13882555.389999997</v>
      </c>
      <c r="R193" s="962"/>
    </row>
    <row r="194" spans="1:18">
      <c r="B194" s="901" t="s">
        <v>2920</v>
      </c>
      <c r="C194" s="956" t="s">
        <v>781</v>
      </c>
      <c r="D194" s="956">
        <v>123</v>
      </c>
      <c r="E194" s="963">
        <v>0</v>
      </c>
      <c r="F194" s="963">
        <v>0</v>
      </c>
      <c r="G194" s="963">
        <v>0</v>
      </c>
      <c r="H194" s="963">
        <v>0</v>
      </c>
      <c r="I194" s="963">
        <v>0</v>
      </c>
      <c r="J194" s="963">
        <v>0</v>
      </c>
      <c r="K194" s="963">
        <v>0</v>
      </c>
      <c r="L194" s="963">
        <v>0</v>
      </c>
      <c r="M194" s="963">
        <v>0</v>
      </c>
      <c r="N194" s="963">
        <v>0</v>
      </c>
      <c r="O194" s="963">
        <v>0</v>
      </c>
      <c r="P194" s="963">
        <v>0</v>
      </c>
      <c r="Q194" s="963">
        <f t="shared" si="9"/>
        <v>0</v>
      </c>
      <c r="R194" s="962"/>
    </row>
    <row r="195" spans="1:18">
      <c r="B195" s="901" t="s">
        <v>2921</v>
      </c>
      <c r="C195" s="956" t="s">
        <v>782</v>
      </c>
      <c r="D195" s="956">
        <v>123</v>
      </c>
      <c r="E195" s="963">
        <v>0</v>
      </c>
      <c r="F195" s="963">
        <v>0</v>
      </c>
      <c r="G195" s="963">
        <v>0</v>
      </c>
      <c r="H195" s="963">
        <v>0</v>
      </c>
      <c r="I195" s="963">
        <v>0</v>
      </c>
      <c r="J195" s="963">
        <v>0</v>
      </c>
      <c r="K195" s="963">
        <v>0</v>
      </c>
      <c r="L195" s="963">
        <v>0</v>
      </c>
      <c r="M195" s="963">
        <v>0</v>
      </c>
      <c r="N195" s="963">
        <v>0</v>
      </c>
      <c r="O195" s="963">
        <v>0</v>
      </c>
      <c r="P195" s="963">
        <v>0</v>
      </c>
      <c r="Q195" s="963">
        <f t="shared" si="9"/>
        <v>0</v>
      </c>
      <c r="R195" s="962"/>
    </row>
    <row r="196" spans="1:18">
      <c r="B196" s="901" t="s">
        <v>2922</v>
      </c>
      <c r="C196" s="956" t="s">
        <v>783</v>
      </c>
      <c r="D196" s="956">
        <v>123</v>
      </c>
      <c r="E196" s="963">
        <v>0</v>
      </c>
      <c r="F196" s="963">
        <v>0</v>
      </c>
      <c r="G196" s="963">
        <v>0</v>
      </c>
      <c r="H196" s="963">
        <v>0</v>
      </c>
      <c r="I196" s="963">
        <v>0</v>
      </c>
      <c r="J196" s="963">
        <v>0</v>
      </c>
      <c r="K196" s="963">
        <v>0</v>
      </c>
      <c r="L196" s="963">
        <v>0</v>
      </c>
      <c r="M196" s="963">
        <v>0</v>
      </c>
      <c r="N196" s="963">
        <v>0</v>
      </c>
      <c r="O196" s="963">
        <v>0</v>
      </c>
      <c r="P196" s="963">
        <v>0</v>
      </c>
      <c r="Q196" s="963">
        <f t="shared" si="9"/>
        <v>0</v>
      </c>
      <c r="R196" s="962"/>
    </row>
    <row r="197" spans="1:18">
      <c r="B197" s="901" t="s">
        <v>2750</v>
      </c>
      <c r="C197" s="956" t="s">
        <v>784</v>
      </c>
      <c r="D197" s="956">
        <v>123</v>
      </c>
      <c r="E197" s="963">
        <v>-8804.06</v>
      </c>
      <c r="F197" s="963">
        <v>-9323.08</v>
      </c>
      <c r="G197" s="963">
        <v>-9067.57</v>
      </c>
      <c r="H197" s="963">
        <v>-8823.9699999999993</v>
      </c>
      <c r="I197" s="963">
        <v>-8358.58</v>
      </c>
      <c r="J197" s="963">
        <v>-8946.86</v>
      </c>
      <c r="K197" s="963">
        <v>-8118.06</v>
      </c>
      <c r="L197" s="963">
        <v>-7826.17</v>
      </c>
      <c r="M197" s="963">
        <v>-8453.76</v>
      </c>
      <c r="N197" s="963">
        <v>-9660.0300000000007</v>
      </c>
      <c r="O197" s="963">
        <v>-10086.68</v>
      </c>
      <c r="P197" s="963">
        <v>-8647.11</v>
      </c>
      <c r="Q197" s="963">
        <f t="shared" si="9"/>
        <v>-106115.93000000001</v>
      </c>
      <c r="R197" s="962"/>
    </row>
    <row r="198" spans="1:18">
      <c r="B198" s="901" t="s">
        <v>2751</v>
      </c>
      <c r="C198" s="956" t="s">
        <v>785</v>
      </c>
      <c r="D198" s="956">
        <v>123</v>
      </c>
      <c r="E198" s="963">
        <v>0</v>
      </c>
      <c r="F198" s="963">
        <v>0</v>
      </c>
      <c r="G198" s="963">
        <v>0</v>
      </c>
      <c r="H198" s="963">
        <v>0</v>
      </c>
      <c r="I198" s="963">
        <v>0</v>
      </c>
      <c r="J198" s="963">
        <v>0</v>
      </c>
      <c r="K198" s="963">
        <v>0</v>
      </c>
      <c r="L198" s="963">
        <v>0</v>
      </c>
      <c r="M198" s="963">
        <v>0</v>
      </c>
      <c r="N198" s="963">
        <v>0</v>
      </c>
      <c r="O198" s="963">
        <v>0</v>
      </c>
      <c r="P198" s="963">
        <v>0</v>
      </c>
      <c r="Q198" s="963">
        <f t="shared" si="9"/>
        <v>0</v>
      </c>
      <c r="R198" s="962"/>
    </row>
    <row r="199" spans="1:18">
      <c r="B199" s="901" t="s">
        <v>2451</v>
      </c>
      <c r="C199" s="956" t="s">
        <v>786</v>
      </c>
      <c r="D199" s="956">
        <v>123</v>
      </c>
      <c r="E199" s="963">
        <v>0</v>
      </c>
      <c r="F199" s="963">
        <v>0</v>
      </c>
      <c r="G199" s="963">
        <v>0</v>
      </c>
      <c r="H199" s="963">
        <v>-7.76</v>
      </c>
      <c r="I199" s="963">
        <v>7.76</v>
      </c>
      <c r="J199" s="963">
        <v>0</v>
      </c>
      <c r="K199" s="963">
        <v>0</v>
      </c>
      <c r="L199" s="963">
        <v>0</v>
      </c>
      <c r="M199" s="963">
        <v>0</v>
      </c>
      <c r="N199" s="963">
        <v>0</v>
      </c>
      <c r="O199" s="963">
        <v>0</v>
      </c>
      <c r="P199" s="963">
        <v>0</v>
      </c>
      <c r="Q199" s="963">
        <f t="shared" si="9"/>
        <v>0</v>
      </c>
      <c r="R199" s="962"/>
    </row>
    <row r="200" spans="1:18">
      <c r="B200" s="901" t="s">
        <v>2697</v>
      </c>
      <c r="C200" s="956" t="s">
        <v>787</v>
      </c>
      <c r="D200" s="956">
        <v>123</v>
      </c>
      <c r="E200" s="963">
        <v>1155160.6200000001</v>
      </c>
      <c r="F200" s="963">
        <v>1204700.0399999998</v>
      </c>
      <c r="G200" s="963">
        <v>1192516.44</v>
      </c>
      <c r="H200" s="963">
        <v>1172014.7400000002</v>
      </c>
      <c r="I200" s="963">
        <v>1121149.2699999998</v>
      </c>
      <c r="J200" s="963">
        <v>1118474.8699999999</v>
      </c>
      <c r="K200" s="963">
        <v>1100258.8900000001</v>
      </c>
      <c r="L200" s="963">
        <v>1060899.6299999999</v>
      </c>
      <c r="M200" s="963">
        <v>1091246.4099999999</v>
      </c>
      <c r="N200" s="963">
        <v>1135607.5799999998</v>
      </c>
      <c r="O200" s="963">
        <v>1211909.0799999998</v>
      </c>
      <c r="P200" s="963">
        <v>1139950.28</v>
      </c>
      <c r="Q200" s="963">
        <f>-SUM(E200:P200)</f>
        <v>-13703887.85</v>
      </c>
      <c r="R200" s="962"/>
    </row>
    <row r="201" spans="1:18">
      <c r="B201" s="901" t="s">
        <v>2698</v>
      </c>
      <c r="C201" s="956" t="s">
        <v>788</v>
      </c>
      <c r="D201" s="956">
        <v>123</v>
      </c>
      <c r="E201" s="963">
        <v>1204700.0399999998</v>
      </c>
      <c r="F201" s="963">
        <v>1192516.44</v>
      </c>
      <c r="G201" s="963">
        <v>1172014.7400000002</v>
      </c>
      <c r="H201" s="963">
        <v>1121149.2699999998</v>
      </c>
      <c r="I201" s="963">
        <v>1118474.8699999999</v>
      </c>
      <c r="J201" s="963">
        <v>1100258.8900000001</v>
      </c>
      <c r="K201" s="963">
        <v>1060899.6299999999</v>
      </c>
      <c r="L201" s="963">
        <v>1091246.4099999999</v>
      </c>
      <c r="M201" s="963">
        <v>1135607.5799999998</v>
      </c>
      <c r="N201" s="963">
        <v>1211909.0799999998</v>
      </c>
      <c r="O201" s="963">
        <v>1139950.28</v>
      </c>
      <c r="P201" s="963">
        <v>1153795.03</v>
      </c>
      <c r="Q201" s="963">
        <f t="shared" si="9"/>
        <v>13702522.259999998</v>
      </c>
      <c r="R201" s="962"/>
    </row>
    <row r="202" spans="1:18">
      <c r="B202" s="901" t="s">
        <v>2884</v>
      </c>
      <c r="C202" s="956" t="s">
        <v>789</v>
      </c>
      <c r="D202" s="956">
        <v>123</v>
      </c>
      <c r="E202" s="963">
        <v>1204993.4799999997</v>
      </c>
      <c r="F202" s="963">
        <v>1192827.2</v>
      </c>
      <c r="G202" s="963">
        <v>1174718.9100000001</v>
      </c>
      <c r="H202" s="963">
        <v>1120558.0699999996</v>
      </c>
      <c r="I202" s="963">
        <v>1118753.48</v>
      </c>
      <c r="J202" s="963">
        <v>1101918.0000000002</v>
      </c>
      <c r="K202" s="963">
        <v>1061170.2599999998</v>
      </c>
      <c r="L202" s="963">
        <v>1095518.26</v>
      </c>
      <c r="M202" s="963">
        <v>1139829.02</v>
      </c>
      <c r="N202" s="963">
        <v>1268019.3499999999</v>
      </c>
      <c r="O202" s="963">
        <v>1140293.6600000001</v>
      </c>
      <c r="P202" s="963">
        <v>1156474.18</v>
      </c>
      <c r="Q202" s="963">
        <f t="shared" si="9"/>
        <v>13775073.869999997</v>
      </c>
      <c r="R202" s="962"/>
    </row>
    <row r="203" spans="1:18">
      <c r="A203" s="903"/>
      <c r="B203" s="964" t="s">
        <v>2673</v>
      </c>
      <c r="E203" s="963"/>
      <c r="F203" s="963"/>
      <c r="G203" s="963"/>
      <c r="H203" s="963"/>
      <c r="I203" s="963"/>
      <c r="J203" s="963"/>
      <c r="K203" s="963"/>
      <c r="L203" s="963"/>
      <c r="M203" s="963"/>
      <c r="N203" s="963"/>
      <c r="O203" s="963"/>
      <c r="P203" s="963"/>
      <c r="Q203" s="963"/>
      <c r="R203" s="962"/>
    </row>
    <row r="204" spans="1:18">
      <c r="E204" s="971"/>
      <c r="F204" s="963"/>
      <c r="G204" s="963"/>
      <c r="H204" s="963"/>
      <c r="I204" s="963"/>
      <c r="J204" s="963"/>
      <c r="K204" s="963"/>
      <c r="L204" s="963"/>
      <c r="M204" s="963"/>
      <c r="N204" s="971"/>
      <c r="O204" s="963"/>
      <c r="P204" s="963"/>
      <c r="Q204" s="963"/>
      <c r="R204" s="962"/>
    </row>
    <row r="205" spans="1:18">
      <c r="B205" s="960" t="s">
        <v>2935</v>
      </c>
      <c r="C205" s="956" t="s">
        <v>777</v>
      </c>
      <c r="D205" s="956">
        <v>83</v>
      </c>
      <c r="E205" s="960"/>
      <c r="F205" s="963"/>
      <c r="G205" s="963"/>
      <c r="H205" s="963"/>
      <c r="I205" s="963"/>
      <c r="J205" s="963"/>
      <c r="K205" s="963"/>
      <c r="L205" s="963"/>
      <c r="M205" s="963"/>
      <c r="N205" s="960"/>
      <c r="O205" s="963"/>
      <c r="P205" s="963"/>
      <c r="Q205" s="963"/>
      <c r="R205" s="962"/>
    </row>
    <row r="206" spans="1:18">
      <c r="B206" s="901" t="s">
        <v>2514</v>
      </c>
      <c r="C206" s="956" t="s">
        <v>780</v>
      </c>
      <c r="D206" s="956">
        <v>83</v>
      </c>
      <c r="E206" s="901">
        <v>2617891</v>
      </c>
      <c r="F206" s="963">
        <v>3202152</v>
      </c>
      <c r="G206" s="963">
        <v>2316555</v>
      </c>
      <c r="H206" s="963">
        <v>2298407</v>
      </c>
      <c r="I206" s="963">
        <v>2069826</v>
      </c>
      <c r="J206" s="963">
        <v>1973660</v>
      </c>
      <c r="K206" s="963">
        <v>2265713</v>
      </c>
      <c r="L206" s="963">
        <v>2468668</v>
      </c>
      <c r="M206" s="963">
        <v>2310615</v>
      </c>
      <c r="N206" s="901">
        <v>2238144</v>
      </c>
      <c r="O206" s="963">
        <v>2832256</v>
      </c>
      <c r="P206" s="963">
        <v>3143984</v>
      </c>
      <c r="Q206" s="963">
        <f t="shared" si="9"/>
        <v>29737871</v>
      </c>
      <c r="R206" s="962"/>
    </row>
    <row r="207" spans="1:18">
      <c r="B207" s="901" t="s">
        <v>2915</v>
      </c>
      <c r="C207" s="956" t="s">
        <v>781</v>
      </c>
      <c r="D207" s="956">
        <v>83</v>
      </c>
      <c r="E207" s="901">
        <v>0</v>
      </c>
      <c r="F207" s="963">
        <v>0</v>
      </c>
      <c r="G207" s="963">
        <v>0</v>
      </c>
      <c r="H207" s="963">
        <v>0</v>
      </c>
      <c r="I207" s="963">
        <v>0</v>
      </c>
      <c r="J207" s="963">
        <v>0</v>
      </c>
      <c r="K207" s="963">
        <v>0</v>
      </c>
      <c r="L207" s="963">
        <v>0</v>
      </c>
      <c r="M207" s="963">
        <v>0</v>
      </c>
      <c r="N207" s="901">
        <v>0</v>
      </c>
      <c r="O207" s="963">
        <v>0</v>
      </c>
      <c r="P207" s="963">
        <v>0</v>
      </c>
      <c r="Q207" s="963">
        <f t="shared" si="9"/>
        <v>0</v>
      </c>
      <c r="R207" s="962"/>
    </row>
    <row r="208" spans="1:18">
      <c r="B208" s="901" t="s">
        <v>2916</v>
      </c>
      <c r="C208" s="956" t="s">
        <v>782</v>
      </c>
      <c r="D208" s="956">
        <v>83</v>
      </c>
      <c r="E208" s="901">
        <v>0</v>
      </c>
      <c r="F208" s="963">
        <v>0</v>
      </c>
      <c r="G208" s="963">
        <v>0</v>
      </c>
      <c r="H208" s="963">
        <v>0</v>
      </c>
      <c r="I208" s="963">
        <v>0</v>
      </c>
      <c r="J208" s="963">
        <v>0</v>
      </c>
      <c r="K208" s="963">
        <v>0</v>
      </c>
      <c r="L208" s="963">
        <v>0</v>
      </c>
      <c r="M208" s="963">
        <v>0</v>
      </c>
      <c r="N208" s="901">
        <v>0</v>
      </c>
      <c r="O208" s="963">
        <v>0</v>
      </c>
      <c r="P208" s="963">
        <v>0</v>
      </c>
      <c r="Q208" s="963">
        <f t="shared" si="9"/>
        <v>0</v>
      </c>
      <c r="R208" s="962"/>
    </row>
    <row r="209" spans="2:18">
      <c r="B209" s="901" t="s">
        <v>2917</v>
      </c>
      <c r="C209" s="956" t="s">
        <v>787</v>
      </c>
      <c r="D209" s="956">
        <v>83</v>
      </c>
      <c r="E209" s="901">
        <v>2617891</v>
      </c>
      <c r="F209" s="963">
        <v>3202152</v>
      </c>
      <c r="G209" s="963">
        <v>2316555</v>
      </c>
      <c r="H209" s="963">
        <v>2298407</v>
      </c>
      <c r="I209" s="963">
        <v>2069826</v>
      </c>
      <c r="J209" s="963">
        <v>1973660</v>
      </c>
      <c r="K209" s="963">
        <v>2265713</v>
      </c>
      <c r="L209" s="963">
        <v>2468668</v>
      </c>
      <c r="M209" s="963">
        <v>2310615</v>
      </c>
      <c r="N209" s="901">
        <v>2238144</v>
      </c>
      <c r="O209" s="963">
        <v>2832256</v>
      </c>
      <c r="P209" s="963">
        <v>3143984</v>
      </c>
      <c r="Q209" s="963">
        <f t="shared" si="9"/>
        <v>29737871</v>
      </c>
      <c r="R209" s="962"/>
    </row>
    <row r="210" spans="2:18">
      <c r="B210" s="901" t="s">
        <v>2918</v>
      </c>
      <c r="C210" s="956" t="s">
        <v>788</v>
      </c>
      <c r="D210" s="956">
        <v>83</v>
      </c>
      <c r="E210" s="901">
        <v>3202152</v>
      </c>
      <c r="F210" s="963">
        <v>2316555</v>
      </c>
      <c r="G210" s="963">
        <v>2298407</v>
      </c>
      <c r="H210" s="963">
        <v>2069826</v>
      </c>
      <c r="I210" s="963">
        <v>1973660</v>
      </c>
      <c r="J210" s="963">
        <v>2265713</v>
      </c>
      <c r="K210" s="963">
        <v>2468668</v>
      </c>
      <c r="L210" s="963">
        <v>2310615</v>
      </c>
      <c r="M210" s="963">
        <v>2238144</v>
      </c>
      <c r="N210" s="901">
        <v>2832256</v>
      </c>
      <c r="O210" s="963">
        <v>3143984</v>
      </c>
      <c r="P210" s="963">
        <v>4182562</v>
      </c>
      <c r="Q210" s="963">
        <f t="shared" si="9"/>
        <v>31302542</v>
      </c>
      <c r="R210" s="962"/>
    </row>
    <row r="211" spans="2:18">
      <c r="B211" s="901" t="s">
        <v>2886</v>
      </c>
      <c r="C211" s="956" t="s">
        <v>789</v>
      </c>
      <c r="D211" s="956">
        <v>83</v>
      </c>
      <c r="E211" s="901">
        <v>3202152</v>
      </c>
      <c r="F211" s="963">
        <v>2316555</v>
      </c>
      <c r="G211" s="963">
        <v>2298407</v>
      </c>
      <c r="H211" s="963">
        <v>2069826</v>
      </c>
      <c r="I211" s="963">
        <v>1973660</v>
      </c>
      <c r="J211" s="963">
        <v>2265713</v>
      </c>
      <c r="K211" s="963">
        <v>2468668</v>
      </c>
      <c r="L211" s="963">
        <v>2310615</v>
      </c>
      <c r="M211" s="963">
        <v>2238144</v>
      </c>
      <c r="N211" s="901">
        <v>2832256</v>
      </c>
      <c r="O211" s="963">
        <v>3143984</v>
      </c>
      <c r="P211" s="963">
        <v>4182562</v>
      </c>
      <c r="Q211" s="963">
        <f t="shared" si="9"/>
        <v>31302542</v>
      </c>
      <c r="R211" s="962"/>
    </row>
    <row r="212" spans="2:18">
      <c r="B212" s="964" t="s">
        <v>2673</v>
      </c>
      <c r="E212" s="971"/>
      <c r="F212" s="963"/>
      <c r="G212" s="963"/>
      <c r="H212" s="963"/>
      <c r="I212" s="963"/>
      <c r="J212" s="963"/>
      <c r="K212" s="963"/>
      <c r="L212" s="963"/>
      <c r="M212" s="963"/>
      <c r="N212" s="971"/>
      <c r="O212" s="963"/>
      <c r="P212" s="963"/>
      <c r="Q212" s="963">
        <f t="shared" si="9"/>
        <v>0</v>
      </c>
      <c r="R212" s="962"/>
    </row>
    <row r="213" spans="2:18">
      <c r="B213" s="901" t="s">
        <v>2919</v>
      </c>
      <c r="C213" s="956" t="s">
        <v>780</v>
      </c>
      <c r="D213" s="956">
        <v>127</v>
      </c>
      <c r="E213" s="901">
        <v>55636.07</v>
      </c>
      <c r="F213" s="963">
        <v>65308.51</v>
      </c>
      <c r="G213" s="963">
        <v>50714.1</v>
      </c>
      <c r="H213" s="963">
        <v>50388</v>
      </c>
      <c r="I213" s="963">
        <v>46753.73</v>
      </c>
      <c r="J213" s="963">
        <v>45253.22</v>
      </c>
      <c r="K213" s="963">
        <v>49810.21</v>
      </c>
      <c r="L213" s="963">
        <v>53464.14</v>
      </c>
      <c r="M213" s="963">
        <v>50975.199999999997</v>
      </c>
      <c r="N213" s="901">
        <v>49833.97</v>
      </c>
      <c r="O213" s="963">
        <v>59551.97</v>
      </c>
      <c r="P213" s="963">
        <v>65326.559999999998</v>
      </c>
      <c r="Q213" s="963">
        <f t="shared" si="9"/>
        <v>643015.67999999993</v>
      </c>
      <c r="R213" s="962"/>
    </row>
    <row r="214" spans="2:18">
      <c r="B214" s="901" t="s">
        <v>2920</v>
      </c>
      <c r="C214" s="956" t="s">
        <v>781</v>
      </c>
      <c r="D214" s="956">
        <v>127</v>
      </c>
      <c r="E214" s="901">
        <v>0</v>
      </c>
      <c r="F214" s="963">
        <v>0</v>
      </c>
      <c r="G214" s="963">
        <v>0</v>
      </c>
      <c r="H214" s="963">
        <v>0</v>
      </c>
      <c r="I214" s="963">
        <v>0</v>
      </c>
      <c r="J214" s="963">
        <v>0</v>
      </c>
      <c r="K214" s="963">
        <v>0</v>
      </c>
      <c r="L214" s="963">
        <v>0</v>
      </c>
      <c r="M214" s="963">
        <v>0</v>
      </c>
      <c r="N214" s="901">
        <v>0</v>
      </c>
      <c r="O214" s="963">
        <v>0</v>
      </c>
      <c r="P214" s="963">
        <v>0</v>
      </c>
      <c r="Q214" s="963">
        <f t="shared" si="9"/>
        <v>0</v>
      </c>
      <c r="R214" s="962"/>
    </row>
    <row r="215" spans="2:18">
      <c r="B215" s="901" t="s">
        <v>2921</v>
      </c>
      <c r="C215" s="956" t="s">
        <v>782</v>
      </c>
      <c r="D215" s="956">
        <v>127</v>
      </c>
      <c r="E215" s="901">
        <v>0</v>
      </c>
      <c r="F215" s="963">
        <v>0</v>
      </c>
      <c r="G215" s="963">
        <v>0</v>
      </c>
      <c r="H215" s="963">
        <v>0</v>
      </c>
      <c r="I215" s="963">
        <v>0</v>
      </c>
      <c r="J215" s="963">
        <v>0</v>
      </c>
      <c r="K215" s="963">
        <v>0</v>
      </c>
      <c r="L215" s="963">
        <v>0</v>
      </c>
      <c r="M215" s="963">
        <v>0</v>
      </c>
      <c r="N215" s="901">
        <v>0</v>
      </c>
      <c r="O215" s="963">
        <v>0</v>
      </c>
      <c r="P215" s="963">
        <v>0</v>
      </c>
      <c r="Q215" s="963">
        <f t="shared" si="9"/>
        <v>0</v>
      </c>
      <c r="R215" s="962"/>
    </row>
    <row r="216" spans="2:18">
      <c r="B216" s="901" t="s">
        <v>2922</v>
      </c>
      <c r="C216" s="956" t="s">
        <v>783</v>
      </c>
      <c r="D216" s="956">
        <v>127</v>
      </c>
      <c r="E216" s="901">
        <v>0</v>
      </c>
      <c r="F216" s="963">
        <v>0</v>
      </c>
      <c r="G216" s="963">
        <v>0</v>
      </c>
      <c r="H216" s="963">
        <v>0</v>
      </c>
      <c r="I216" s="963">
        <v>0</v>
      </c>
      <c r="J216" s="963">
        <v>0</v>
      </c>
      <c r="K216" s="963">
        <v>0</v>
      </c>
      <c r="L216" s="963">
        <v>0</v>
      </c>
      <c r="M216" s="963">
        <v>0</v>
      </c>
      <c r="N216" s="901">
        <v>0</v>
      </c>
      <c r="O216" s="963">
        <v>0</v>
      </c>
      <c r="P216" s="963">
        <v>0</v>
      </c>
      <c r="Q216" s="963">
        <f t="shared" si="9"/>
        <v>0</v>
      </c>
      <c r="R216" s="962"/>
    </row>
    <row r="217" spans="2:18">
      <c r="B217" s="901" t="s">
        <v>2750</v>
      </c>
      <c r="C217" s="956" t="s">
        <v>784</v>
      </c>
      <c r="D217" s="956">
        <v>127</v>
      </c>
      <c r="E217" s="901">
        <v>0</v>
      </c>
      <c r="F217" s="963">
        <v>0</v>
      </c>
      <c r="G217" s="963">
        <v>0</v>
      </c>
      <c r="H217" s="963">
        <v>0</v>
      </c>
      <c r="I217" s="963">
        <v>0</v>
      </c>
      <c r="J217" s="963">
        <v>0</v>
      </c>
      <c r="K217" s="963">
        <v>0</v>
      </c>
      <c r="L217" s="963">
        <v>0</v>
      </c>
      <c r="M217" s="963">
        <v>0</v>
      </c>
      <c r="N217" s="901">
        <v>0</v>
      </c>
      <c r="O217" s="963">
        <v>0</v>
      </c>
      <c r="P217" s="963">
        <v>0</v>
      </c>
      <c r="Q217" s="963">
        <f t="shared" si="9"/>
        <v>0</v>
      </c>
      <c r="R217" s="962"/>
    </row>
    <row r="218" spans="2:18">
      <c r="B218" s="901" t="s">
        <v>2751</v>
      </c>
      <c r="C218" s="956" t="s">
        <v>785</v>
      </c>
      <c r="D218" s="956">
        <v>127</v>
      </c>
      <c r="E218" s="901">
        <v>0</v>
      </c>
      <c r="F218" s="963">
        <v>0</v>
      </c>
      <c r="G218" s="963">
        <v>0</v>
      </c>
      <c r="H218" s="963">
        <v>0</v>
      </c>
      <c r="I218" s="963">
        <v>0</v>
      </c>
      <c r="J218" s="963">
        <v>0</v>
      </c>
      <c r="K218" s="963">
        <v>0</v>
      </c>
      <c r="L218" s="963">
        <v>0</v>
      </c>
      <c r="M218" s="963">
        <v>0</v>
      </c>
      <c r="N218" s="901">
        <v>0</v>
      </c>
      <c r="O218" s="963">
        <v>0</v>
      </c>
      <c r="P218" s="963">
        <v>0</v>
      </c>
      <c r="Q218" s="963">
        <f t="shared" si="9"/>
        <v>0</v>
      </c>
      <c r="R218" s="962"/>
    </row>
    <row r="219" spans="2:18">
      <c r="B219" s="901" t="s">
        <v>2451</v>
      </c>
      <c r="C219" s="956" t="s">
        <v>786</v>
      </c>
      <c r="D219" s="956">
        <v>127</v>
      </c>
      <c r="E219" s="901">
        <v>0</v>
      </c>
      <c r="F219" s="963">
        <v>0</v>
      </c>
      <c r="G219" s="963">
        <v>0</v>
      </c>
      <c r="H219" s="963">
        <v>0</v>
      </c>
      <c r="I219" s="963">
        <v>0</v>
      </c>
      <c r="J219" s="963">
        <v>0</v>
      </c>
      <c r="K219" s="963">
        <v>0</v>
      </c>
      <c r="L219" s="963">
        <v>0</v>
      </c>
      <c r="M219" s="963">
        <v>0</v>
      </c>
      <c r="N219" s="901">
        <v>0</v>
      </c>
      <c r="O219" s="963">
        <v>0</v>
      </c>
      <c r="P219" s="963">
        <v>0</v>
      </c>
      <c r="Q219" s="963">
        <f t="shared" si="9"/>
        <v>0</v>
      </c>
      <c r="R219" s="962"/>
    </row>
    <row r="220" spans="2:18">
      <c r="B220" s="901" t="s">
        <v>2697</v>
      </c>
      <c r="C220" s="956" t="s">
        <v>787</v>
      </c>
      <c r="D220" s="956">
        <v>127</v>
      </c>
      <c r="E220" s="901">
        <v>55636.07</v>
      </c>
      <c r="F220" s="901">
        <v>65308.51</v>
      </c>
      <c r="G220" s="901">
        <v>50714.1</v>
      </c>
      <c r="H220" s="901">
        <v>50388</v>
      </c>
      <c r="I220" s="901">
        <v>46753.73</v>
      </c>
      <c r="J220" s="901">
        <v>45253.22</v>
      </c>
      <c r="K220" s="901">
        <v>49810.21</v>
      </c>
      <c r="L220" s="901">
        <v>53464.14</v>
      </c>
      <c r="M220" s="901">
        <v>50975.199999999997</v>
      </c>
      <c r="N220" s="901">
        <v>49833.97</v>
      </c>
      <c r="O220" s="901">
        <v>59551.97</v>
      </c>
      <c r="P220" s="901">
        <v>65326.559999999998</v>
      </c>
      <c r="Q220" s="963">
        <f>-SUM(E220:P220)</f>
        <v>-643015.67999999993</v>
      </c>
      <c r="R220" s="962"/>
    </row>
    <row r="221" spans="2:18">
      <c r="B221" s="901" t="s">
        <v>2698</v>
      </c>
      <c r="C221" s="956" t="s">
        <v>788</v>
      </c>
      <c r="D221" s="956">
        <v>127</v>
      </c>
      <c r="E221" s="901">
        <v>65308.51</v>
      </c>
      <c r="F221" s="901">
        <v>50714.1</v>
      </c>
      <c r="G221" s="901">
        <v>50388</v>
      </c>
      <c r="H221" s="901">
        <v>46753.73</v>
      </c>
      <c r="I221" s="901">
        <v>45253.22</v>
      </c>
      <c r="J221" s="901">
        <v>49810.21</v>
      </c>
      <c r="K221" s="901">
        <v>53464.14</v>
      </c>
      <c r="L221" s="901">
        <v>50975.199999999997</v>
      </c>
      <c r="M221" s="901">
        <v>49833.97</v>
      </c>
      <c r="N221" s="901">
        <v>59551.97</v>
      </c>
      <c r="O221" s="901">
        <v>65326.559999999998</v>
      </c>
      <c r="P221" s="901">
        <v>85416.41</v>
      </c>
      <c r="Q221" s="963">
        <f t="shared" si="9"/>
        <v>672796.02000000014</v>
      </c>
      <c r="R221" s="962"/>
    </row>
    <row r="222" spans="2:18">
      <c r="B222" s="901" t="s">
        <v>2884</v>
      </c>
      <c r="C222" s="956" t="s">
        <v>789</v>
      </c>
      <c r="D222" s="956">
        <v>127</v>
      </c>
      <c r="E222" s="901">
        <v>65308.51</v>
      </c>
      <c r="F222" s="901">
        <v>50714.1</v>
      </c>
      <c r="G222" s="901">
        <v>50388</v>
      </c>
      <c r="H222" s="901">
        <v>46753.73</v>
      </c>
      <c r="I222" s="901">
        <v>45253.22</v>
      </c>
      <c r="J222" s="901">
        <v>49810.21</v>
      </c>
      <c r="K222" s="901">
        <v>53464.14</v>
      </c>
      <c r="L222" s="901">
        <v>50975.199999999997</v>
      </c>
      <c r="M222" s="901">
        <v>49833.97</v>
      </c>
      <c r="N222" s="901">
        <v>59551.97</v>
      </c>
      <c r="O222" s="901">
        <v>65326.559999999998</v>
      </c>
      <c r="P222" s="901">
        <v>85416.41</v>
      </c>
      <c r="Q222" s="963">
        <f t="shared" si="9"/>
        <v>672796.02000000014</v>
      </c>
      <c r="R222" s="962"/>
    </row>
    <row r="223" spans="2:18">
      <c r="B223" s="964" t="s">
        <v>2673</v>
      </c>
      <c r="E223" s="971"/>
      <c r="N223" s="971"/>
      <c r="Q223" s="963"/>
      <c r="R223" s="962"/>
    </row>
    <row r="224" spans="2:18">
      <c r="Q224" s="963"/>
      <c r="R224" s="962"/>
    </row>
    <row r="225" spans="1:18">
      <c r="A225" s="903"/>
      <c r="B225" s="960" t="s">
        <v>2936</v>
      </c>
      <c r="C225" s="956" t="s">
        <v>777</v>
      </c>
      <c r="D225" s="956">
        <v>84</v>
      </c>
      <c r="E225" s="960"/>
      <c r="N225" s="960"/>
      <c r="Q225" s="963"/>
      <c r="R225" s="962"/>
    </row>
    <row r="226" spans="1:18">
      <c r="B226" s="901" t="s">
        <v>2514</v>
      </c>
      <c r="C226" s="956" t="s">
        <v>780</v>
      </c>
      <c r="D226" s="956">
        <v>84</v>
      </c>
      <c r="E226" s="901">
        <v>938576</v>
      </c>
      <c r="F226" s="901">
        <v>2041529</v>
      </c>
      <c r="G226" s="901">
        <v>2359414</v>
      </c>
      <c r="H226" s="901">
        <v>2520690</v>
      </c>
      <c r="I226" s="901">
        <v>2845634</v>
      </c>
      <c r="J226" s="901">
        <v>2219500</v>
      </c>
      <c r="K226" s="901">
        <v>2090677</v>
      </c>
      <c r="L226" s="901">
        <v>2697591</v>
      </c>
      <c r="M226" s="901">
        <v>2677115</v>
      </c>
      <c r="N226" s="901">
        <v>2457018</v>
      </c>
      <c r="O226" s="901">
        <v>2779753</v>
      </c>
      <c r="P226" s="901">
        <v>2719510</v>
      </c>
      <c r="Q226" s="963">
        <f t="shared" si="9"/>
        <v>28347007</v>
      </c>
      <c r="R226" s="962"/>
    </row>
    <row r="227" spans="1:18">
      <c r="B227" s="901" t="s">
        <v>2915</v>
      </c>
      <c r="C227" s="956" t="s">
        <v>781</v>
      </c>
      <c r="D227" s="956">
        <v>84</v>
      </c>
      <c r="E227" s="901">
        <v>0</v>
      </c>
      <c r="F227" s="901">
        <v>0</v>
      </c>
      <c r="G227" s="901">
        <v>0</v>
      </c>
      <c r="H227" s="901">
        <v>0</v>
      </c>
      <c r="I227" s="901">
        <v>0</v>
      </c>
      <c r="J227" s="901">
        <v>0</v>
      </c>
      <c r="K227" s="901">
        <v>0</v>
      </c>
      <c r="L227" s="901">
        <v>0</v>
      </c>
      <c r="M227" s="901">
        <v>0</v>
      </c>
      <c r="N227" s="901">
        <v>0</v>
      </c>
      <c r="O227" s="901">
        <v>0</v>
      </c>
      <c r="P227" s="901">
        <v>0</v>
      </c>
      <c r="Q227" s="963">
        <f t="shared" si="9"/>
        <v>0</v>
      </c>
      <c r="R227" s="962"/>
    </row>
    <row r="228" spans="1:18">
      <c r="B228" s="901" t="s">
        <v>2916</v>
      </c>
      <c r="C228" s="956" t="s">
        <v>782</v>
      </c>
      <c r="D228" s="956">
        <v>84</v>
      </c>
      <c r="E228" s="901">
        <v>0</v>
      </c>
      <c r="F228" s="901">
        <v>0</v>
      </c>
      <c r="G228" s="901">
        <v>0</v>
      </c>
      <c r="H228" s="901">
        <v>0</v>
      </c>
      <c r="I228" s="901">
        <v>0</v>
      </c>
      <c r="J228" s="901">
        <v>0</v>
      </c>
      <c r="K228" s="901">
        <v>0</v>
      </c>
      <c r="L228" s="901">
        <v>0</v>
      </c>
      <c r="M228" s="901">
        <v>0</v>
      </c>
      <c r="N228" s="901">
        <v>0</v>
      </c>
      <c r="O228" s="901">
        <v>0</v>
      </c>
      <c r="P228" s="901">
        <v>0</v>
      </c>
      <c r="Q228" s="963">
        <f t="shared" si="9"/>
        <v>0</v>
      </c>
      <c r="R228" s="962"/>
    </row>
    <row r="229" spans="1:18">
      <c r="B229" s="901" t="s">
        <v>2917</v>
      </c>
      <c r="C229" s="956" t="s">
        <v>787</v>
      </c>
      <c r="D229" s="956">
        <v>84</v>
      </c>
      <c r="E229" s="901">
        <v>938576</v>
      </c>
      <c r="F229" s="901">
        <v>2041529</v>
      </c>
      <c r="G229" s="901">
        <v>2359414</v>
      </c>
      <c r="H229" s="901">
        <v>2520690</v>
      </c>
      <c r="I229" s="901">
        <v>2845634</v>
      </c>
      <c r="J229" s="901">
        <v>2219500</v>
      </c>
      <c r="K229" s="901">
        <v>2090677</v>
      </c>
      <c r="L229" s="901">
        <v>2697591</v>
      </c>
      <c r="M229" s="901">
        <v>2677115</v>
      </c>
      <c r="N229" s="901">
        <v>2457018</v>
      </c>
      <c r="O229" s="901">
        <v>2779753</v>
      </c>
      <c r="P229" s="901">
        <v>2719510</v>
      </c>
      <c r="Q229" s="963">
        <f t="shared" si="9"/>
        <v>28347007</v>
      </c>
      <c r="R229" s="962"/>
    </row>
    <row r="230" spans="1:18">
      <c r="B230" s="901" t="s">
        <v>2918</v>
      </c>
      <c r="C230" s="956" t="s">
        <v>788</v>
      </c>
      <c r="D230" s="956">
        <v>84</v>
      </c>
      <c r="E230" s="901">
        <v>2041529</v>
      </c>
      <c r="F230" s="901">
        <v>2359414</v>
      </c>
      <c r="G230" s="901">
        <v>2520690</v>
      </c>
      <c r="H230" s="901">
        <v>2845634</v>
      </c>
      <c r="I230" s="901">
        <v>2219500</v>
      </c>
      <c r="J230" s="901">
        <v>2090677</v>
      </c>
      <c r="K230" s="901">
        <v>2697591</v>
      </c>
      <c r="L230" s="901">
        <v>2677115</v>
      </c>
      <c r="M230" s="901">
        <v>2457018</v>
      </c>
      <c r="N230" s="901">
        <v>2779753</v>
      </c>
      <c r="O230" s="901">
        <v>2719510</v>
      </c>
      <c r="P230" s="901">
        <v>2894369</v>
      </c>
      <c r="Q230" s="963">
        <f t="shared" si="9"/>
        <v>30302800</v>
      </c>
      <c r="R230" s="962"/>
    </row>
    <row r="231" spans="1:18">
      <c r="B231" s="901" t="s">
        <v>2886</v>
      </c>
      <c r="C231" s="956" t="s">
        <v>789</v>
      </c>
      <c r="D231" s="956">
        <v>84</v>
      </c>
      <c r="E231" s="901">
        <v>2041529</v>
      </c>
      <c r="F231" s="901">
        <v>2359414</v>
      </c>
      <c r="G231" s="901">
        <v>2520690</v>
      </c>
      <c r="H231" s="901">
        <v>2845634</v>
      </c>
      <c r="I231" s="901">
        <v>2219500</v>
      </c>
      <c r="J231" s="901">
        <v>2090677</v>
      </c>
      <c r="K231" s="901">
        <v>2697591</v>
      </c>
      <c r="L231" s="901">
        <v>2677115</v>
      </c>
      <c r="M231" s="901">
        <v>2457018</v>
      </c>
      <c r="N231" s="901">
        <v>2779753</v>
      </c>
      <c r="O231" s="901">
        <v>2719510</v>
      </c>
      <c r="P231" s="901">
        <v>2894369</v>
      </c>
      <c r="Q231" s="963">
        <f t="shared" si="9"/>
        <v>30302800</v>
      </c>
      <c r="R231" s="962"/>
    </row>
    <row r="232" spans="1:18">
      <c r="B232" s="964" t="s">
        <v>2673</v>
      </c>
      <c r="E232" s="971"/>
      <c r="N232" s="971"/>
      <c r="Q232" s="963">
        <f t="shared" si="9"/>
        <v>0</v>
      </c>
      <c r="R232" s="962"/>
    </row>
    <row r="233" spans="1:18">
      <c r="B233" s="901" t="s">
        <v>2919</v>
      </c>
      <c r="C233" s="956" t="s">
        <v>780</v>
      </c>
      <c r="D233" s="956">
        <v>128</v>
      </c>
      <c r="E233" s="901">
        <v>19185.240000000002</v>
      </c>
      <c r="F233" s="901">
        <v>38509.06</v>
      </c>
      <c r="G233" s="901">
        <v>44078.43</v>
      </c>
      <c r="H233" s="901">
        <v>46903.99</v>
      </c>
      <c r="I233" s="901">
        <v>52597.03</v>
      </c>
      <c r="J233" s="901">
        <v>41627.129999999997</v>
      </c>
      <c r="K233" s="901">
        <v>39370.129999999997</v>
      </c>
      <c r="L233" s="901">
        <v>50003.32</v>
      </c>
      <c r="M233" s="901">
        <v>49644.58</v>
      </c>
      <c r="N233" s="901">
        <v>45788.46</v>
      </c>
      <c r="O233" s="901">
        <v>50534.76</v>
      </c>
      <c r="P233" s="901">
        <v>49498.98</v>
      </c>
      <c r="Q233" s="963">
        <f t="shared" si="9"/>
        <v>527741.1100000001</v>
      </c>
      <c r="R233" s="962"/>
    </row>
    <row r="234" spans="1:18">
      <c r="B234" s="901" t="s">
        <v>2920</v>
      </c>
      <c r="C234" s="956" t="s">
        <v>781</v>
      </c>
      <c r="D234" s="956">
        <v>128</v>
      </c>
      <c r="E234" s="901">
        <v>0</v>
      </c>
      <c r="F234" s="901">
        <v>0</v>
      </c>
      <c r="G234" s="901">
        <v>0</v>
      </c>
      <c r="H234" s="901">
        <v>0</v>
      </c>
      <c r="I234" s="901">
        <v>0</v>
      </c>
      <c r="J234" s="901">
        <v>0</v>
      </c>
      <c r="K234" s="901">
        <v>0</v>
      </c>
      <c r="L234" s="901">
        <v>0</v>
      </c>
      <c r="M234" s="901">
        <v>0</v>
      </c>
      <c r="N234" s="901">
        <v>0</v>
      </c>
      <c r="O234" s="901">
        <v>0</v>
      </c>
      <c r="P234" s="901">
        <v>0</v>
      </c>
      <c r="Q234" s="963">
        <f t="shared" si="9"/>
        <v>0</v>
      </c>
      <c r="R234" s="962"/>
    </row>
    <row r="235" spans="1:18">
      <c r="B235" s="901" t="s">
        <v>2921</v>
      </c>
      <c r="C235" s="956" t="s">
        <v>782</v>
      </c>
      <c r="D235" s="956">
        <v>128</v>
      </c>
      <c r="E235" s="901">
        <v>0</v>
      </c>
      <c r="F235" s="901">
        <v>0</v>
      </c>
      <c r="G235" s="901">
        <v>0</v>
      </c>
      <c r="H235" s="901">
        <v>0</v>
      </c>
      <c r="I235" s="901">
        <v>0</v>
      </c>
      <c r="J235" s="901">
        <v>0</v>
      </c>
      <c r="K235" s="901">
        <v>0</v>
      </c>
      <c r="L235" s="901">
        <v>0</v>
      </c>
      <c r="M235" s="901">
        <v>0</v>
      </c>
      <c r="N235" s="901">
        <v>0</v>
      </c>
      <c r="O235" s="901">
        <v>0</v>
      </c>
      <c r="P235" s="901">
        <v>0</v>
      </c>
      <c r="Q235" s="963">
        <f t="shared" si="9"/>
        <v>0</v>
      </c>
      <c r="R235" s="962"/>
    </row>
    <row r="236" spans="1:18">
      <c r="B236" s="901" t="s">
        <v>2922</v>
      </c>
      <c r="C236" s="956" t="s">
        <v>783</v>
      </c>
      <c r="D236" s="956">
        <v>128</v>
      </c>
      <c r="E236" s="901">
        <v>0</v>
      </c>
      <c r="F236" s="901">
        <v>0</v>
      </c>
      <c r="G236" s="901">
        <v>0</v>
      </c>
      <c r="H236" s="901">
        <v>0</v>
      </c>
      <c r="I236" s="901">
        <v>0</v>
      </c>
      <c r="J236" s="901">
        <v>0</v>
      </c>
      <c r="K236" s="901">
        <v>0</v>
      </c>
      <c r="L236" s="901">
        <v>0</v>
      </c>
      <c r="M236" s="901">
        <v>0</v>
      </c>
      <c r="N236" s="901">
        <v>0</v>
      </c>
      <c r="O236" s="901">
        <v>0</v>
      </c>
      <c r="P236" s="901">
        <v>0</v>
      </c>
      <c r="Q236" s="963">
        <f t="shared" si="9"/>
        <v>0</v>
      </c>
      <c r="R236" s="962"/>
    </row>
    <row r="237" spans="1:18">
      <c r="B237" s="901" t="s">
        <v>2750</v>
      </c>
      <c r="C237" s="956" t="s">
        <v>784</v>
      </c>
      <c r="D237" s="956">
        <v>128</v>
      </c>
      <c r="E237" s="901">
        <v>0</v>
      </c>
      <c r="F237" s="901">
        <v>0</v>
      </c>
      <c r="G237" s="901">
        <v>0</v>
      </c>
      <c r="H237" s="901">
        <v>0</v>
      </c>
      <c r="I237" s="901">
        <v>0</v>
      </c>
      <c r="J237" s="901">
        <v>0</v>
      </c>
      <c r="K237" s="901">
        <v>0</v>
      </c>
      <c r="L237" s="901">
        <v>0</v>
      </c>
      <c r="M237" s="901">
        <v>0</v>
      </c>
      <c r="N237" s="901">
        <v>0</v>
      </c>
      <c r="O237" s="901">
        <v>0</v>
      </c>
      <c r="P237" s="901">
        <v>0</v>
      </c>
      <c r="Q237" s="963">
        <f t="shared" si="9"/>
        <v>0</v>
      </c>
      <c r="R237" s="962"/>
    </row>
    <row r="238" spans="1:18">
      <c r="B238" s="901" t="s">
        <v>2751</v>
      </c>
      <c r="C238" s="956" t="s">
        <v>785</v>
      </c>
      <c r="D238" s="956">
        <v>128</v>
      </c>
      <c r="E238" s="901">
        <v>0</v>
      </c>
      <c r="F238" s="901">
        <v>0</v>
      </c>
      <c r="G238" s="901">
        <v>0</v>
      </c>
      <c r="H238" s="901">
        <v>0</v>
      </c>
      <c r="I238" s="901">
        <v>0</v>
      </c>
      <c r="J238" s="901">
        <v>0</v>
      </c>
      <c r="K238" s="901">
        <v>0</v>
      </c>
      <c r="L238" s="901">
        <v>0</v>
      </c>
      <c r="M238" s="901">
        <v>0</v>
      </c>
      <c r="N238" s="901">
        <v>0</v>
      </c>
      <c r="O238" s="901">
        <v>0</v>
      </c>
      <c r="P238" s="901">
        <v>0</v>
      </c>
      <c r="Q238" s="963">
        <f t="shared" si="9"/>
        <v>0</v>
      </c>
      <c r="R238" s="962"/>
    </row>
    <row r="239" spans="1:18">
      <c r="B239" s="901" t="s">
        <v>2451</v>
      </c>
      <c r="C239" s="956" t="s">
        <v>786</v>
      </c>
      <c r="D239" s="956">
        <v>128</v>
      </c>
      <c r="E239" s="901">
        <v>0</v>
      </c>
      <c r="F239" s="901">
        <v>0</v>
      </c>
      <c r="G239" s="901">
        <v>0</v>
      </c>
      <c r="H239" s="901">
        <v>0</v>
      </c>
      <c r="I239" s="901">
        <v>0</v>
      </c>
      <c r="J239" s="901">
        <v>0</v>
      </c>
      <c r="K239" s="901">
        <v>0</v>
      </c>
      <c r="L239" s="901">
        <v>0</v>
      </c>
      <c r="M239" s="901">
        <v>0</v>
      </c>
      <c r="N239" s="901">
        <v>0</v>
      </c>
      <c r="O239" s="901">
        <v>0</v>
      </c>
      <c r="P239" s="901">
        <v>0</v>
      </c>
      <c r="Q239" s="963">
        <f t="shared" ref="Q239:Q302" si="10">SUM(E239:P239)</f>
        <v>0</v>
      </c>
      <c r="R239" s="962"/>
    </row>
    <row r="240" spans="1:18">
      <c r="B240" s="901" t="s">
        <v>2697</v>
      </c>
      <c r="C240" s="956" t="s">
        <v>787</v>
      </c>
      <c r="D240" s="956">
        <v>128</v>
      </c>
      <c r="E240" s="901">
        <v>19185.240000000002</v>
      </c>
      <c r="F240" s="901">
        <v>38509.06</v>
      </c>
      <c r="G240" s="901">
        <v>44078.43</v>
      </c>
      <c r="H240" s="901">
        <v>46903.99</v>
      </c>
      <c r="I240" s="901">
        <v>52597.03</v>
      </c>
      <c r="J240" s="901">
        <v>41627.129999999997</v>
      </c>
      <c r="K240" s="901">
        <v>39370.129999999997</v>
      </c>
      <c r="L240" s="901">
        <v>50003.32</v>
      </c>
      <c r="M240" s="901">
        <v>49644.58</v>
      </c>
      <c r="N240" s="901">
        <v>45788.46</v>
      </c>
      <c r="O240" s="901">
        <v>50534.76</v>
      </c>
      <c r="P240" s="901">
        <v>49498.98</v>
      </c>
      <c r="Q240" s="963">
        <f>-SUM(E240:P240)</f>
        <v>-527741.1100000001</v>
      </c>
      <c r="R240" s="962"/>
    </row>
    <row r="241" spans="2:18">
      <c r="B241" s="901" t="s">
        <v>2698</v>
      </c>
      <c r="C241" s="956" t="s">
        <v>788</v>
      </c>
      <c r="D241" s="956">
        <v>128</v>
      </c>
      <c r="E241" s="901">
        <v>38509.06</v>
      </c>
      <c r="F241" s="901">
        <v>44078.43</v>
      </c>
      <c r="G241" s="901">
        <v>46903.99</v>
      </c>
      <c r="H241" s="901">
        <v>52597.03</v>
      </c>
      <c r="I241" s="901">
        <v>41627.129999999997</v>
      </c>
      <c r="J241" s="901">
        <v>39370.129999999997</v>
      </c>
      <c r="K241" s="901">
        <v>50003.32</v>
      </c>
      <c r="L241" s="901">
        <v>49644.58</v>
      </c>
      <c r="M241" s="901">
        <v>45788.46</v>
      </c>
      <c r="N241" s="901">
        <v>50534.76</v>
      </c>
      <c r="O241" s="901">
        <v>49498.98</v>
      </c>
      <c r="P241" s="901">
        <v>52505.4</v>
      </c>
      <c r="Q241" s="963">
        <f t="shared" si="10"/>
        <v>561061.27</v>
      </c>
      <c r="R241" s="962"/>
    </row>
    <row r="242" spans="2:18">
      <c r="B242" s="901" t="s">
        <v>2884</v>
      </c>
      <c r="C242" s="956" t="s">
        <v>789</v>
      </c>
      <c r="D242" s="956">
        <v>128</v>
      </c>
      <c r="E242" s="901">
        <v>38509.06</v>
      </c>
      <c r="F242" s="901">
        <v>44078.43</v>
      </c>
      <c r="G242" s="901">
        <v>46903.99</v>
      </c>
      <c r="H242" s="901">
        <v>52597.03</v>
      </c>
      <c r="I242" s="901">
        <v>41627.129999999997</v>
      </c>
      <c r="J242" s="901">
        <v>39370.129999999997</v>
      </c>
      <c r="K242" s="901">
        <v>50003.32</v>
      </c>
      <c r="L242" s="901">
        <v>49644.58</v>
      </c>
      <c r="M242" s="901">
        <v>45788.46</v>
      </c>
      <c r="N242" s="901">
        <v>50534.76</v>
      </c>
      <c r="O242" s="901">
        <v>49498.98</v>
      </c>
      <c r="P242" s="901">
        <v>52505.4</v>
      </c>
      <c r="Q242" s="963">
        <f t="shared" si="10"/>
        <v>561061.27</v>
      </c>
      <c r="R242" s="962"/>
    </row>
    <row r="243" spans="2:18">
      <c r="B243" s="964" t="s">
        <v>2673</v>
      </c>
      <c r="E243" s="971"/>
      <c r="N243" s="971"/>
      <c r="Q243" s="963"/>
      <c r="R243" s="962"/>
    </row>
    <row r="244" spans="2:18">
      <c r="E244" s="971"/>
      <c r="N244" s="971"/>
      <c r="Q244" s="963"/>
      <c r="R244" s="962"/>
    </row>
    <row r="245" spans="2:18">
      <c r="B245" s="960" t="s">
        <v>2937</v>
      </c>
      <c r="C245" s="956" t="s">
        <v>777</v>
      </c>
      <c r="D245" s="956">
        <v>85</v>
      </c>
      <c r="F245" s="961"/>
      <c r="G245" s="961"/>
      <c r="H245" s="961"/>
      <c r="I245" s="961"/>
      <c r="J245" s="961"/>
      <c r="K245" s="961"/>
      <c r="L245" s="961"/>
      <c r="M245" s="961"/>
      <c r="O245" s="961"/>
      <c r="P245" s="961"/>
      <c r="Q245" s="963"/>
      <c r="R245" s="962"/>
    </row>
    <row r="246" spans="2:18">
      <c r="B246" s="901" t="s">
        <v>2514</v>
      </c>
      <c r="C246" s="956" t="s">
        <v>780</v>
      </c>
      <c r="D246" s="956">
        <v>85</v>
      </c>
      <c r="E246" s="901">
        <v>765472</v>
      </c>
      <c r="F246" s="963">
        <v>835418</v>
      </c>
      <c r="G246" s="963">
        <v>735036</v>
      </c>
      <c r="H246" s="963">
        <v>848257</v>
      </c>
      <c r="I246" s="963">
        <v>769998</v>
      </c>
      <c r="J246" s="963">
        <v>453427</v>
      </c>
      <c r="K246" s="963">
        <v>759078</v>
      </c>
      <c r="L246" s="963">
        <v>656415</v>
      </c>
      <c r="M246" s="963">
        <v>629970</v>
      </c>
      <c r="N246" s="901">
        <v>700843</v>
      </c>
      <c r="O246" s="963">
        <v>787046</v>
      </c>
      <c r="P246" s="963">
        <v>758864</v>
      </c>
      <c r="Q246" s="963">
        <f t="shared" si="10"/>
        <v>8699824</v>
      </c>
      <c r="R246" s="962"/>
    </row>
    <row r="247" spans="2:18">
      <c r="B247" s="901" t="s">
        <v>2915</v>
      </c>
      <c r="C247" s="956" t="s">
        <v>781</v>
      </c>
      <c r="D247" s="956">
        <v>85</v>
      </c>
      <c r="E247" s="901">
        <v>0</v>
      </c>
      <c r="F247" s="963">
        <v>0</v>
      </c>
      <c r="G247" s="963">
        <v>0</v>
      </c>
      <c r="H247" s="963">
        <v>0</v>
      </c>
      <c r="I247" s="963">
        <v>0</v>
      </c>
      <c r="J247" s="963">
        <v>0</v>
      </c>
      <c r="K247" s="963">
        <v>0</v>
      </c>
      <c r="L247" s="963">
        <v>0</v>
      </c>
      <c r="M247" s="963">
        <v>0</v>
      </c>
      <c r="N247" s="901">
        <v>0</v>
      </c>
      <c r="O247" s="963">
        <v>0</v>
      </c>
      <c r="P247" s="963">
        <v>0</v>
      </c>
      <c r="Q247" s="963">
        <f t="shared" si="10"/>
        <v>0</v>
      </c>
      <c r="R247" s="962"/>
    </row>
    <row r="248" spans="2:18">
      <c r="B248" s="901" t="s">
        <v>2916</v>
      </c>
      <c r="C248" s="956" t="s">
        <v>782</v>
      </c>
      <c r="D248" s="956">
        <v>85</v>
      </c>
      <c r="E248" s="901">
        <v>0</v>
      </c>
      <c r="F248" s="963">
        <v>0</v>
      </c>
      <c r="G248" s="963">
        <v>0</v>
      </c>
      <c r="H248" s="963">
        <v>0</v>
      </c>
      <c r="I248" s="963">
        <v>0</v>
      </c>
      <c r="J248" s="963">
        <v>0</v>
      </c>
      <c r="K248" s="963">
        <v>0</v>
      </c>
      <c r="L248" s="963">
        <v>0</v>
      </c>
      <c r="M248" s="963">
        <v>0</v>
      </c>
      <c r="N248" s="901">
        <v>0</v>
      </c>
      <c r="O248" s="963">
        <v>0</v>
      </c>
      <c r="P248" s="963">
        <v>0</v>
      </c>
      <c r="Q248" s="963">
        <f t="shared" si="10"/>
        <v>0</v>
      </c>
      <c r="R248" s="962"/>
    </row>
    <row r="249" spans="2:18">
      <c r="B249" s="901" t="s">
        <v>2917</v>
      </c>
      <c r="C249" s="956" t="s">
        <v>787</v>
      </c>
      <c r="D249" s="956">
        <v>85</v>
      </c>
      <c r="E249" s="901">
        <v>765472</v>
      </c>
      <c r="F249" s="963">
        <v>835418</v>
      </c>
      <c r="G249" s="963">
        <v>735036</v>
      </c>
      <c r="H249" s="963">
        <v>848257</v>
      </c>
      <c r="I249" s="963">
        <v>769998</v>
      </c>
      <c r="J249" s="963">
        <v>453427</v>
      </c>
      <c r="K249" s="963">
        <v>759078</v>
      </c>
      <c r="L249" s="963">
        <v>656415</v>
      </c>
      <c r="M249" s="963">
        <v>629970</v>
      </c>
      <c r="N249" s="901">
        <v>700843</v>
      </c>
      <c r="O249" s="963">
        <v>787046</v>
      </c>
      <c r="P249" s="963">
        <v>758864</v>
      </c>
      <c r="Q249" s="963">
        <f t="shared" si="10"/>
        <v>8699824</v>
      </c>
      <c r="R249" s="962"/>
    </row>
    <row r="250" spans="2:18">
      <c r="B250" s="901" t="s">
        <v>2918</v>
      </c>
      <c r="C250" s="956" t="s">
        <v>788</v>
      </c>
      <c r="D250" s="956">
        <v>85</v>
      </c>
      <c r="E250" s="901">
        <v>835418</v>
      </c>
      <c r="F250" s="963">
        <v>735036</v>
      </c>
      <c r="G250" s="963">
        <v>848257</v>
      </c>
      <c r="H250" s="963">
        <v>769998</v>
      </c>
      <c r="I250" s="963">
        <v>453427</v>
      </c>
      <c r="J250" s="963">
        <v>759078</v>
      </c>
      <c r="K250" s="963">
        <v>656415</v>
      </c>
      <c r="L250" s="963">
        <v>629970</v>
      </c>
      <c r="M250" s="963">
        <v>700843</v>
      </c>
      <c r="N250" s="901">
        <v>787046</v>
      </c>
      <c r="O250" s="963">
        <v>758864</v>
      </c>
      <c r="P250" s="963">
        <v>777031</v>
      </c>
      <c r="Q250" s="963">
        <f t="shared" si="10"/>
        <v>8711383</v>
      </c>
      <c r="R250" s="962"/>
    </row>
    <row r="251" spans="2:18">
      <c r="B251" s="901" t="s">
        <v>2886</v>
      </c>
      <c r="C251" s="956" t="s">
        <v>789</v>
      </c>
      <c r="D251" s="956">
        <v>85</v>
      </c>
      <c r="E251" s="901">
        <v>835418</v>
      </c>
      <c r="F251" s="963">
        <v>735036</v>
      </c>
      <c r="G251" s="963">
        <v>848257</v>
      </c>
      <c r="H251" s="963">
        <v>769998</v>
      </c>
      <c r="I251" s="963">
        <v>453427</v>
      </c>
      <c r="J251" s="963">
        <v>759078</v>
      </c>
      <c r="K251" s="963">
        <v>656415</v>
      </c>
      <c r="L251" s="963">
        <v>629970</v>
      </c>
      <c r="M251" s="963">
        <v>700843</v>
      </c>
      <c r="N251" s="901">
        <v>787046</v>
      </c>
      <c r="O251" s="963">
        <v>758864</v>
      </c>
      <c r="P251" s="963">
        <v>777031</v>
      </c>
      <c r="Q251" s="963">
        <f t="shared" si="10"/>
        <v>8711383</v>
      </c>
      <c r="R251" s="962"/>
    </row>
    <row r="252" spans="2:18">
      <c r="B252" s="964" t="s">
        <v>2673</v>
      </c>
      <c r="F252" s="963"/>
      <c r="G252" s="963"/>
      <c r="H252" s="963"/>
      <c r="I252" s="963"/>
      <c r="J252" s="963"/>
      <c r="K252" s="963"/>
      <c r="L252" s="963"/>
      <c r="M252" s="963"/>
      <c r="O252" s="963"/>
      <c r="P252" s="963"/>
      <c r="Q252" s="963">
        <f t="shared" si="10"/>
        <v>0</v>
      </c>
      <c r="R252" s="962"/>
    </row>
    <row r="253" spans="2:18">
      <c r="B253" s="901" t="s">
        <v>2919</v>
      </c>
      <c r="C253" s="956" t="s">
        <v>780</v>
      </c>
      <c r="D253" s="956">
        <v>129</v>
      </c>
      <c r="E253" s="901">
        <v>12588.28</v>
      </c>
      <c r="F253" s="963">
        <v>13464.21</v>
      </c>
      <c r="G253" s="963">
        <v>12207.13</v>
      </c>
      <c r="H253" s="963">
        <v>13624.98</v>
      </c>
      <c r="I253" s="963">
        <v>12644.95</v>
      </c>
      <c r="J253" s="963">
        <v>8680.59</v>
      </c>
      <c r="K253" s="963">
        <v>12508.2</v>
      </c>
      <c r="L253" s="963">
        <v>11222.57</v>
      </c>
      <c r="M253" s="963">
        <v>10891.41</v>
      </c>
      <c r="N253" s="901">
        <v>11778.94</v>
      </c>
      <c r="O253" s="963">
        <v>13010.91</v>
      </c>
      <c r="P253" s="963">
        <v>12652.54</v>
      </c>
      <c r="Q253" s="963">
        <f t="shared" si="10"/>
        <v>145274.71</v>
      </c>
      <c r="R253" s="962"/>
    </row>
    <row r="254" spans="2:18">
      <c r="B254" s="901" t="s">
        <v>2920</v>
      </c>
      <c r="C254" s="956" t="s">
        <v>781</v>
      </c>
      <c r="D254" s="956">
        <v>129</v>
      </c>
      <c r="E254" s="901">
        <v>0</v>
      </c>
      <c r="F254" s="963">
        <v>0</v>
      </c>
      <c r="G254" s="963">
        <v>0</v>
      </c>
      <c r="H254" s="963">
        <v>0</v>
      </c>
      <c r="I254" s="963">
        <v>0</v>
      </c>
      <c r="J254" s="963">
        <v>0</v>
      </c>
      <c r="K254" s="963">
        <v>0</v>
      </c>
      <c r="L254" s="963">
        <v>0</v>
      </c>
      <c r="M254" s="963">
        <v>0</v>
      </c>
      <c r="N254" s="901">
        <v>0</v>
      </c>
      <c r="O254" s="963">
        <v>0</v>
      </c>
      <c r="P254" s="963">
        <v>0</v>
      </c>
      <c r="Q254" s="963">
        <f t="shared" si="10"/>
        <v>0</v>
      </c>
      <c r="R254" s="962"/>
    </row>
    <row r="255" spans="2:18">
      <c r="B255" s="901" t="s">
        <v>2921</v>
      </c>
      <c r="C255" s="956" t="s">
        <v>782</v>
      </c>
      <c r="D255" s="956">
        <v>129</v>
      </c>
      <c r="E255" s="901">
        <v>0</v>
      </c>
      <c r="F255" s="963">
        <v>0</v>
      </c>
      <c r="G255" s="963">
        <v>0</v>
      </c>
      <c r="H255" s="963">
        <v>0</v>
      </c>
      <c r="I255" s="963">
        <v>0</v>
      </c>
      <c r="J255" s="963">
        <v>0</v>
      </c>
      <c r="K255" s="963">
        <v>0</v>
      </c>
      <c r="L255" s="963">
        <v>0</v>
      </c>
      <c r="M255" s="963">
        <v>0</v>
      </c>
      <c r="N255" s="901">
        <v>0</v>
      </c>
      <c r="O255" s="963">
        <v>0</v>
      </c>
      <c r="P255" s="963">
        <v>0</v>
      </c>
      <c r="Q255" s="963">
        <f t="shared" si="10"/>
        <v>0</v>
      </c>
      <c r="R255" s="962"/>
    </row>
    <row r="256" spans="2:18">
      <c r="B256" s="901" t="s">
        <v>2922</v>
      </c>
      <c r="C256" s="956" t="s">
        <v>783</v>
      </c>
      <c r="D256" s="956">
        <v>129</v>
      </c>
      <c r="E256" s="901">
        <v>0</v>
      </c>
      <c r="F256" s="963">
        <v>0</v>
      </c>
      <c r="G256" s="963">
        <v>0</v>
      </c>
      <c r="H256" s="963">
        <v>0</v>
      </c>
      <c r="I256" s="963">
        <v>0</v>
      </c>
      <c r="J256" s="963">
        <v>0</v>
      </c>
      <c r="K256" s="963">
        <v>0</v>
      </c>
      <c r="L256" s="963">
        <v>0</v>
      </c>
      <c r="M256" s="963">
        <v>0</v>
      </c>
      <c r="N256" s="901">
        <v>0</v>
      </c>
      <c r="O256" s="963">
        <v>0</v>
      </c>
      <c r="P256" s="963">
        <v>0</v>
      </c>
      <c r="Q256" s="963">
        <f t="shared" si="10"/>
        <v>0</v>
      </c>
      <c r="R256" s="962"/>
    </row>
    <row r="257" spans="2:18">
      <c r="B257" s="901" t="s">
        <v>2750</v>
      </c>
      <c r="C257" s="956" t="s">
        <v>784</v>
      </c>
      <c r="D257" s="956">
        <v>129</v>
      </c>
      <c r="E257" s="901">
        <v>0</v>
      </c>
      <c r="F257" s="963">
        <v>0</v>
      </c>
      <c r="G257" s="963">
        <v>0</v>
      </c>
      <c r="H257" s="963">
        <v>0</v>
      </c>
      <c r="I257" s="963">
        <v>0</v>
      </c>
      <c r="J257" s="963">
        <v>0</v>
      </c>
      <c r="K257" s="963">
        <v>0</v>
      </c>
      <c r="L257" s="963">
        <v>0</v>
      </c>
      <c r="M257" s="963">
        <v>0</v>
      </c>
      <c r="N257" s="901">
        <v>0</v>
      </c>
      <c r="O257" s="963">
        <v>0</v>
      </c>
      <c r="P257" s="963">
        <v>0</v>
      </c>
      <c r="Q257" s="963">
        <f t="shared" si="10"/>
        <v>0</v>
      </c>
      <c r="R257" s="962"/>
    </row>
    <row r="258" spans="2:18">
      <c r="B258" s="901" t="s">
        <v>2751</v>
      </c>
      <c r="C258" s="956" t="s">
        <v>785</v>
      </c>
      <c r="D258" s="956">
        <v>129</v>
      </c>
      <c r="E258" s="901">
        <v>0</v>
      </c>
      <c r="F258" s="963">
        <v>0</v>
      </c>
      <c r="G258" s="963">
        <v>0</v>
      </c>
      <c r="H258" s="963">
        <v>0</v>
      </c>
      <c r="I258" s="963">
        <v>0</v>
      </c>
      <c r="J258" s="963">
        <v>0</v>
      </c>
      <c r="K258" s="963">
        <v>0</v>
      </c>
      <c r="L258" s="963">
        <v>0</v>
      </c>
      <c r="M258" s="963">
        <v>0</v>
      </c>
      <c r="N258" s="901">
        <v>0</v>
      </c>
      <c r="O258" s="963">
        <v>0</v>
      </c>
      <c r="P258" s="963">
        <v>0</v>
      </c>
      <c r="Q258" s="963">
        <f t="shared" si="10"/>
        <v>0</v>
      </c>
      <c r="R258" s="962"/>
    </row>
    <row r="259" spans="2:18">
      <c r="B259" s="901" t="s">
        <v>2451</v>
      </c>
      <c r="C259" s="956" t="s">
        <v>786</v>
      </c>
      <c r="D259" s="956">
        <v>129</v>
      </c>
      <c r="E259" s="901">
        <v>0</v>
      </c>
      <c r="F259" s="963">
        <v>0</v>
      </c>
      <c r="G259" s="963">
        <v>0</v>
      </c>
      <c r="H259" s="963">
        <v>0</v>
      </c>
      <c r="I259" s="963">
        <v>0</v>
      </c>
      <c r="J259" s="963">
        <v>0</v>
      </c>
      <c r="K259" s="963">
        <v>0</v>
      </c>
      <c r="L259" s="963">
        <v>0</v>
      </c>
      <c r="M259" s="963">
        <v>0</v>
      </c>
      <c r="N259" s="901">
        <v>0</v>
      </c>
      <c r="O259" s="963">
        <v>0</v>
      </c>
      <c r="P259" s="963">
        <v>0</v>
      </c>
      <c r="Q259" s="963">
        <f t="shared" si="10"/>
        <v>0</v>
      </c>
      <c r="R259" s="962"/>
    </row>
    <row r="260" spans="2:18">
      <c r="B260" s="901" t="s">
        <v>2697</v>
      </c>
      <c r="C260" s="956" t="s">
        <v>787</v>
      </c>
      <c r="D260" s="956">
        <v>129</v>
      </c>
      <c r="E260" s="901">
        <v>12588.28</v>
      </c>
      <c r="F260" s="963">
        <v>13464.21</v>
      </c>
      <c r="G260" s="963">
        <v>12207.13</v>
      </c>
      <c r="H260" s="963">
        <v>13624.98</v>
      </c>
      <c r="I260" s="963">
        <v>12644.95</v>
      </c>
      <c r="J260" s="963">
        <v>8680.59</v>
      </c>
      <c r="K260" s="963">
        <v>12508.2</v>
      </c>
      <c r="L260" s="963">
        <v>11222.57</v>
      </c>
      <c r="M260" s="963">
        <v>10891.41</v>
      </c>
      <c r="N260" s="901">
        <v>11778.94</v>
      </c>
      <c r="O260" s="963">
        <v>13010.91</v>
      </c>
      <c r="P260" s="963">
        <v>12652.54</v>
      </c>
      <c r="Q260" s="963">
        <f>-SUM(E260:P260)</f>
        <v>-145274.71</v>
      </c>
      <c r="R260" s="962"/>
    </row>
    <row r="261" spans="2:18">
      <c r="B261" s="901" t="s">
        <v>2698</v>
      </c>
      <c r="C261" s="956" t="s">
        <v>788</v>
      </c>
      <c r="D261" s="956">
        <v>129</v>
      </c>
      <c r="E261" s="901">
        <v>13464.21</v>
      </c>
      <c r="F261" s="963">
        <v>12207.13</v>
      </c>
      <c r="G261" s="963">
        <v>13624.98</v>
      </c>
      <c r="H261" s="963">
        <v>12644.95</v>
      </c>
      <c r="I261" s="963">
        <v>8680.59</v>
      </c>
      <c r="J261" s="963">
        <v>12508.2</v>
      </c>
      <c r="K261" s="963">
        <v>11222.57</v>
      </c>
      <c r="L261" s="963">
        <v>10891.41</v>
      </c>
      <c r="M261" s="963">
        <v>11778.94</v>
      </c>
      <c r="N261" s="901">
        <v>13010.91</v>
      </c>
      <c r="O261" s="963">
        <v>12652.54</v>
      </c>
      <c r="P261" s="963">
        <v>12883.55</v>
      </c>
      <c r="Q261" s="963">
        <f t="shared" si="10"/>
        <v>145569.97999999998</v>
      </c>
      <c r="R261" s="962"/>
    </row>
    <row r="262" spans="2:18">
      <c r="B262" s="901" t="s">
        <v>2884</v>
      </c>
      <c r="C262" s="956" t="s">
        <v>789</v>
      </c>
      <c r="D262" s="956">
        <v>129</v>
      </c>
      <c r="E262" s="901">
        <v>13464.21</v>
      </c>
      <c r="F262" s="963">
        <v>12207.13</v>
      </c>
      <c r="G262" s="963">
        <v>13624.98</v>
      </c>
      <c r="H262" s="963">
        <v>12644.95</v>
      </c>
      <c r="I262" s="963">
        <v>8680.59</v>
      </c>
      <c r="J262" s="963">
        <v>12508.2</v>
      </c>
      <c r="K262" s="963">
        <v>11222.57</v>
      </c>
      <c r="L262" s="963">
        <v>10891.41</v>
      </c>
      <c r="M262" s="963">
        <v>11778.94</v>
      </c>
      <c r="N262" s="901">
        <v>13010.91</v>
      </c>
      <c r="O262" s="963">
        <v>12652.54</v>
      </c>
      <c r="P262" s="963">
        <v>12883.55</v>
      </c>
      <c r="Q262" s="963">
        <f t="shared" si="10"/>
        <v>145569.97999999998</v>
      </c>
      <c r="R262" s="962"/>
    </row>
    <row r="263" spans="2:18">
      <c r="B263" s="964" t="s">
        <v>2673</v>
      </c>
      <c r="F263" s="963"/>
      <c r="G263" s="963"/>
      <c r="H263" s="963"/>
      <c r="I263" s="963"/>
      <c r="J263" s="963"/>
      <c r="K263" s="963"/>
      <c r="L263" s="963"/>
      <c r="M263" s="963"/>
      <c r="O263" s="963"/>
      <c r="P263" s="963"/>
      <c r="Q263" s="963"/>
      <c r="R263" s="962"/>
    </row>
    <row r="264" spans="2:18">
      <c r="F264" s="963"/>
      <c r="G264" s="963"/>
      <c r="H264" s="963"/>
      <c r="I264" s="963"/>
      <c r="J264" s="963"/>
      <c r="K264" s="963"/>
      <c r="L264" s="963"/>
      <c r="M264" s="963"/>
      <c r="O264" s="963"/>
      <c r="P264" s="963"/>
      <c r="Q264" s="963"/>
      <c r="R264" s="962"/>
    </row>
    <row r="265" spans="2:18">
      <c r="B265" s="960" t="s">
        <v>2938</v>
      </c>
      <c r="C265" s="956" t="s">
        <v>777</v>
      </c>
      <c r="D265" s="956">
        <v>86</v>
      </c>
      <c r="F265" s="963"/>
      <c r="G265" s="963"/>
      <c r="H265" s="963"/>
      <c r="I265" s="963"/>
      <c r="J265" s="963"/>
      <c r="K265" s="963"/>
      <c r="L265" s="963"/>
      <c r="M265" s="963"/>
      <c r="O265" s="963"/>
      <c r="P265" s="963"/>
      <c r="Q265" s="963"/>
      <c r="R265" s="962"/>
    </row>
    <row r="266" spans="2:18">
      <c r="B266" s="901" t="s">
        <v>2514</v>
      </c>
      <c r="C266" s="956" t="s">
        <v>780</v>
      </c>
      <c r="D266" s="956">
        <v>86</v>
      </c>
      <c r="E266" s="901">
        <v>502419</v>
      </c>
      <c r="F266" s="963">
        <v>564041</v>
      </c>
      <c r="G266" s="963">
        <v>538901</v>
      </c>
      <c r="H266" s="963">
        <v>538257</v>
      </c>
      <c r="I266" s="963">
        <v>397319</v>
      </c>
      <c r="J266" s="963">
        <v>390685</v>
      </c>
      <c r="K266" s="963">
        <v>327788</v>
      </c>
      <c r="L266" s="963">
        <v>339569</v>
      </c>
      <c r="M266" s="963">
        <v>278437</v>
      </c>
      <c r="N266" s="901">
        <v>318250</v>
      </c>
      <c r="O266" s="963">
        <v>348739</v>
      </c>
      <c r="P266" s="963">
        <v>325444</v>
      </c>
      <c r="Q266" s="963">
        <f t="shared" si="10"/>
        <v>4869849</v>
      </c>
      <c r="R266" s="962"/>
    </row>
    <row r="267" spans="2:18">
      <c r="B267" s="901" t="s">
        <v>2915</v>
      </c>
      <c r="C267" s="956" t="s">
        <v>781</v>
      </c>
      <c r="D267" s="956">
        <v>86</v>
      </c>
      <c r="E267" s="972">
        <v>0</v>
      </c>
      <c r="F267" s="972">
        <v>0</v>
      </c>
      <c r="G267" s="972">
        <v>0</v>
      </c>
      <c r="H267" s="972">
        <v>0</v>
      </c>
      <c r="I267" s="972">
        <v>0</v>
      </c>
      <c r="J267" s="972">
        <v>0</v>
      </c>
      <c r="K267" s="972">
        <v>0</v>
      </c>
      <c r="L267" s="972">
        <v>0</v>
      </c>
      <c r="M267" s="972">
        <v>0</v>
      </c>
      <c r="N267" s="972">
        <v>0</v>
      </c>
      <c r="O267" s="972">
        <v>0</v>
      </c>
      <c r="P267" s="972">
        <v>0</v>
      </c>
      <c r="Q267" s="963">
        <f t="shared" si="10"/>
        <v>0</v>
      </c>
      <c r="R267" s="962"/>
    </row>
    <row r="268" spans="2:18">
      <c r="B268" s="901" t="s">
        <v>2916</v>
      </c>
      <c r="C268" s="956" t="s">
        <v>782</v>
      </c>
      <c r="D268" s="956">
        <v>86</v>
      </c>
      <c r="E268" s="972">
        <v>0</v>
      </c>
      <c r="F268" s="972">
        <v>0</v>
      </c>
      <c r="G268" s="972">
        <v>0</v>
      </c>
      <c r="H268" s="972">
        <v>0</v>
      </c>
      <c r="I268" s="972">
        <v>0</v>
      </c>
      <c r="J268" s="972">
        <v>0</v>
      </c>
      <c r="K268" s="972">
        <v>0</v>
      </c>
      <c r="L268" s="972">
        <v>0</v>
      </c>
      <c r="M268" s="972">
        <v>0</v>
      </c>
      <c r="N268" s="972">
        <v>0</v>
      </c>
      <c r="O268" s="972">
        <v>0</v>
      </c>
      <c r="P268" s="972">
        <v>0</v>
      </c>
      <c r="Q268" s="963">
        <f t="shared" si="10"/>
        <v>0</v>
      </c>
      <c r="R268" s="962"/>
    </row>
    <row r="269" spans="2:18">
      <c r="B269" s="901" t="s">
        <v>2917</v>
      </c>
      <c r="C269" s="956" t="s">
        <v>787</v>
      </c>
      <c r="D269" s="956">
        <v>86</v>
      </c>
      <c r="E269" s="901">
        <v>502419</v>
      </c>
      <c r="F269" s="963">
        <v>564041</v>
      </c>
      <c r="G269" s="963">
        <v>538901</v>
      </c>
      <c r="H269" s="963">
        <v>538257</v>
      </c>
      <c r="I269" s="963">
        <v>397319</v>
      </c>
      <c r="J269" s="963">
        <v>390685</v>
      </c>
      <c r="K269" s="963">
        <v>327788</v>
      </c>
      <c r="L269" s="963">
        <v>339569</v>
      </c>
      <c r="M269" s="963">
        <v>278437</v>
      </c>
      <c r="N269" s="901">
        <v>318250</v>
      </c>
      <c r="O269" s="963">
        <v>348739</v>
      </c>
      <c r="P269" s="963">
        <v>325444</v>
      </c>
      <c r="Q269" s="963">
        <f t="shared" si="10"/>
        <v>4869849</v>
      </c>
      <c r="R269" s="962"/>
    </row>
    <row r="270" spans="2:18">
      <c r="B270" s="901" t="s">
        <v>2918</v>
      </c>
      <c r="C270" s="956" t="s">
        <v>788</v>
      </c>
      <c r="D270" s="956">
        <v>86</v>
      </c>
      <c r="E270" s="901">
        <v>564041</v>
      </c>
      <c r="F270" s="963">
        <v>538901</v>
      </c>
      <c r="G270" s="963">
        <v>538257</v>
      </c>
      <c r="H270" s="963">
        <v>397319</v>
      </c>
      <c r="I270" s="963">
        <v>390685</v>
      </c>
      <c r="J270" s="963">
        <v>327788</v>
      </c>
      <c r="K270" s="963">
        <v>339569</v>
      </c>
      <c r="L270" s="963">
        <v>278437</v>
      </c>
      <c r="M270" s="963">
        <v>318250</v>
      </c>
      <c r="N270" s="901">
        <v>348739</v>
      </c>
      <c r="O270" s="963">
        <v>325444</v>
      </c>
      <c r="P270" s="963">
        <v>492333</v>
      </c>
      <c r="Q270" s="963">
        <f t="shared" si="10"/>
        <v>4859763</v>
      </c>
      <c r="R270" s="962"/>
    </row>
    <row r="271" spans="2:18">
      <c r="B271" s="901" t="s">
        <v>2886</v>
      </c>
      <c r="C271" s="956" t="s">
        <v>789</v>
      </c>
      <c r="D271" s="956">
        <v>86</v>
      </c>
      <c r="E271" s="901">
        <v>564041</v>
      </c>
      <c r="F271" s="963">
        <v>538901</v>
      </c>
      <c r="G271" s="963">
        <v>538257</v>
      </c>
      <c r="H271" s="963">
        <v>397319</v>
      </c>
      <c r="I271" s="963">
        <v>390685</v>
      </c>
      <c r="J271" s="963">
        <v>327788</v>
      </c>
      <c r="K271" s="963">
        <v>339569</v>
      </c>
      <c r="L271" s="963">
        <v>278437</v>
      </c>
      <c r="M271" s="963">
        <v>318250</v>
      </c>
      <c r="N271" s="901">
        <v>348739</v>
      </c>
      <c r="O271" s="963">
        <v>325444</v>
      </c>
      <c r="P271" s="963">
        <v>492333</v>
      </c>
      <c r="Q271" s="963">
        <f t="shared" si="10"/>
        <v>4859763</v>
      </c>
      <c r="R271" s="962"/>
    </row>
    <row r="272" spans="2:18">
      <c r="B272" s="964" t="s">
        <v>2673</v>
      </c>
      <c r="F272" s="963"/>
      <c r="G272" s="963"/>
      <c r="H272" s="963"/>
      <c r="I272" s="963"/>
      <c r="J272" s="963"/>
      <c r="K272" s="963"/>
      <c r="L272" s="963"/>
      <c r="M272" s="963"/>
      <c r="O272" s="963"/>
      <c r="P272" s="963"/>
      <c r="Q272" s="963">
        <f t="shared" si="10"/>
        <v>0</v>
      </c>
      <c r="R272" s="962"/>
    </row>
    <row r="273" spans="2:18">
      <c r="B273" s="901" t="s">
        <v>2919</v>
      </c>
      <c r="C273" s="956" t="s">
        <v>780</v>
      </c>
      <c r="D273" s="956">
        <v>130</v>
      </c>
      <c r="E273" s="901">
        <v>14287.21</v>
      </c>
      <c r="F273" s="963">
        <v>15453.54</v>
      </c>
      <c r="G273" s="963">
        <v>14977.7</v>
      </c>
      <c r="H273" s="963">
        <v>14965.52</v>
      </c>
      <c r="I273" s="963">
        <v>12297.93</v>
      </c>
      <c r="J273" s="963">
        <v>12172.36</v>
      </c>
      <c r="K273" s="963">
        <v>10981.89</v>
      </c>
      <c r="L273" s="963">
        <v>11204.87</v>
      </c>
      <c r="M273" s="963">
        <v>10047.799999999999</v>
      </c>
      <c r="N273" s="901">
        <v>10801.36</v>
      </c>
      <c r="O273" s="963">
        <v>11481.73</v>
      </c>
      <c r="P273" s="963">
        <v>11033.91</v>
      </c>
      <c r="Q273" s="963">
        <f t="shared" si="10"/>
        <v>149705.82</v>
      </c>
      <c r="R273" s="962"/>
    </row>
    <row r="274" spans="2:18">
      <c r="B274" s="901" t="s">
        <v>2920</v>
      </c>
      <c r="C274" s="956" t="s">
        <v>781</v>
      </c>
      <c r="D274" s="956">
        <v>130</v>
      </c>
      <c r="E274" s="901">
        <v>0</v>
      </c>
      <c r="F274" s="963">
        <v>0</v>
      </c>
      <c r="G274" s="963">
        <v>0</v>
      </c>
      <c r="H274" s="963">
        <v>0</v>
      </c>
      <c r="I274" s="963">
        <v>0</v>
      </c>
      <c r="J274" s="963">
        <v>0</v>
      </c>
      <c r="K274" s="963">
        <v>0</v>
      </c>
      <c r="L274" s="963">
        <v>0</v>
      </c>
      <c r="M274" s="963">
        <v>0</v>
      </c>
      <c r="N274" s="901">
        <v>0</v>
      </c>
      <c r="O274" s="963">
        <v>0</v>
      </c>
      <c r="P274" s="963">
        <v>0</v>
      </c>
      <c r="Q274" s="963">
        <f t="shared" si="10"/>
        <v>0</v>
      </c>
      <c r="R274" s="962"/>
    </row>
    <row r="275" spans="2:18">
      <c r="B275" s="901" t="s">
        <v>2921</v>
      </c>
      <c r="C275" s="956" t="s">
        <v>782</v>
      </c>
      <c r="D275" s="956">
        <v>130</v>
      </c>
      <c r="E275" s="901">
        <v>0</v>
      </c>
      <c r="F275" s="963">
        <v>0</v>
      </c>
      <c r="G275" s="963">
        <v>0</v>
      </c>
      <c r="H275" s="963">
        <v>0</v>
      </c>
      <c r="I275" s="963">
        <v>0</v>
      </c>
      <c r="J275" s="963">
        <v>0</v>
      </c>
      <c r="K275" s="963">
        <v>0</v>
      </c>
      <c r="L275" s="963">
        <v>0</v>
      </c>
      <c r="M275" s="963">
        <v>0</v>
      </c>
      <c r="N275" s="901">
        <v>0</v>
      </c>
      <c r="O275" s="963">
        <v>0</v>
      </c>
      <c r="P275" s="963">
        <v>0</v>
      </c>
      <c r="Q275" s="963">
        <f t="shared" si="10"/>
        <v>0</v>
      </c>
      <c r="R275" s="962"/>
    </row>
    <row r="276" spans="2:18">
      <c r="B276" s="901" t="s">
        <v>2922</v>
      </c>
      <c r="C276" s="956" t="s">
        <v>783</v>
      </c>
      <c r="D276" s="956">
        <v>130</v>
      </c>
      <c r="E276" s="901">
        <v>0</v>
      </c>
      <c r="F276" s="963">
        <v>0</v>
      </c>
      <c r="G276" s="963">
        <v>0</v>
      </c>
      <c r="H276" s="963">
        <v>0</v>
      </c>
      <c r="I276" s="963">
        <v>0</v>
      </c>
      <c r="J276" s="963">
        <v>0</v>
      </c>
      <c r="K276" s="963">
        <v>0</v>
      </c>
      <c r="L276" s="963">
        <v>0</v>
      </c>
      <c r="M276" s="963">
        <v>0</v>
      </c>
      <c r="N276" s="901">
        <v>0</v>
      </c>
      <c r="O276" s="963">
        <v>0</v>
      </c>
      <c r="P276" s="963">
        <v>0</v>
      </c>
      <c r="Q276" s="963">
        <f t="shared" si="10"/>
        <v>0</v>
      </c>
      <c r="R276" s="962"/>
    </row>
    <row r="277" spans="2:18">
      <c r="B277" s="901" t="s">
        <v>2750</v>
      </c>
      <c r="C277" s="956" t="s">
        <v>784</v>
      </c>
      <c r="D277" s="956">
        <v>130</v>
      </c>
      <c r="E277" s="901">
        <v>0</v>
      </c>
      <c r="F277" s="963">
        <v>0</v>
      </c>
      <c r="G277" s="963">
        <v>0</v>
      </c>
      <c r="H277" s="963">
        <v>0</v>
      </c>
      <c r="I277" s="963">
        <v>0</v>
      </c>
      <c r="J277" s="963">
        <v>0</v>
      </c>
      <c r="K277" s="963">
        <v>0</v>
      </c>
      <c r="L277" s="963">
        <v>0</v>
      </c>
      <c r="M277" s="963">
        <v>0</v>
      </c>
      <c r="N277" s="901">
        <v>0</v>
      </c>
      <c r="O277" s="963">
        <v>0</v>
      </c>
      <c r="P277" s="963">
        <v>0</v>
      </c>
      <c r="Q277" s="963">
        <f t="shared" si="10"/>
        <v>0</v>
      </c>
      <c r="R277" s="962"/>
    </row>
    <row r="278" spans="2:18">
      <c r="B278" s="901" t="s">
        <v>2751</v>
      </c>
      <c r="C278" s="956" t="s">
        <v>785</v>
      </c>
      <c r="D278" s="956">
        <v>130</v>
      </c>
      <c r="E278" s="901">
        <v>0</v>
      </c>
      <c r="F278" s="963">
        <v>0</v>
      </c>
      <c r="G278" s="963">
        <v>0</v>
      </c>
      <c r="H278" s="963">
        <v>0</v>
      </c>
      <c r="I278" s="963">
        <v>0</v>
      </c>
      <c r="J278" s="963">
        <v>0</v>
      </c>
      <c r="K278" s="963">
        <v>0</v>
      </c>
      <c r="L278" s="963">
        <v>0</v>
      </c>
      <c r="M278" s="963">
        <v>0</v>
      </c>
      <c r="N278" s="901">
        <v>0</v>
      </c>
      <c r="O278" s="963">
        <v>0</v>
      </c>
      <c r="P278" s="963">
        <v>0</v>
      </c>
      <c r="Q278" s="963">
        <f t="shared" si="10"/>
        <v>0</v>
      </c>
      <c r="R278" s="962"/>
    </row>
    <row r="279" spans="2:18">
      <c r="B279" s="901" t="s">
        <v>2451</v>
      </c>
      <c r="C279" s="956" t="s">
        <v>786</v>
      </c>
      <c r="D279" s="956">
        <v>130</v>
      </c>
      <c r="E279" s="901">
        <v>0</v>
      </c>
      <c r="F279" s="963">
        <v>0</v>
      </c>
      <c r="G279" s="963">
        <v>0</v>
      </c>
      <c r="H279" s="963">
        <v>0</v>
      </c>
      <c r="I279" s="963">
        <v>0</v>
      </c>
      <c r="J279" s="963">
        <v>0</v>
      </c>
      <c r="K279" s="963">
        <v>0</v>
      </c>
      <c r="L279" s="963">
        <v>0</v>
      </c>
      <c r="M279" s="963">
        <v>0</v>
      </c>
      <c r="N279" s="901">
        <v>0</v>
      </c>
      <c r="O279" s="963">
        <v>0</v>
      </c>
      <c r="P279" s="963">
        <v>0</v>
      </c>
      <c r="Q279" s="963">
        <f t="shared" si="10"/>
        <v>0</v>
      </c>
      <c r="R279" s="962"/>
    </row>
    <row r="280" spans="2:18">
      <c r="B280" s="901" t="s">
        <v>2697</v>
      </c>
      <c r="C280" s="956" t="s">
        <v>787</v>
      </c>
      <c r="D280" s="956">
        <v>130</v>
      </c>
      <c r="E280" s="901">
        <v>14287.21</v>
      </c>
      <c r="F280" s="963">
        <v>15453.54</v>
      </c>
      <c r="G280" s="963">
        <v>14977.7</v>
      </c>
      <c r="H280" s="963">
        <v>14965.52</v>
      </c>
      <c r="I280" s="963">
        <v>12297.93</v>
      </c>
      <c r="J280" s="963">
        <v>12172.36</v>
      </c>
      <c r="K280" s="963">
        <v>10981.89</v>
      </c>
      <c r="L280" s="963">
        <v>11204.87</v>
      </c>
      <c r="M280" s="963">
        <v>10047.799999999999</v>
      </c>
      <c r="N280" s="901">
        <v>10801.36</v>
      </c>
      <c r="O280" s="963">
        <v>11481.73</v>
      </c>
      <c r="P280" s="963">
        <v>11033.91</v>
      </c>
      <c r="Q280" s="963">
        <f>-SUM(E280:P280)</f>
        <v>-149705.82</v>
      </c>
      <c r="R280" s="962"/>
    </row>
    <row r="281" spans="2:18">
      <c r="B281" s="901" t="s">
        <v>2698</v>
      </c>
      <c r="C281" s="956" t="s">
        <v>788</v>
      </c>
      <c r="D281" s="956">
        <v>130</v>
      </c>
      <c r="E281" s="901">
        <v>15453.54</v>
      </c>
      <c r="F281" s="963">
        <v>14977.7</v>
      </c>
      <c r="G281" s="963">
        <v>14965.52</v>
      </c>
      <c r="H281" s="963">
        <v>12297.93</v>
      </c>
      <c r="I281" s="963">
        <v>12172.36</v>
      </c>
      <c r="J281" s="963">
        <v>10981.89</v>
      </c>
      <c r="K281" s="963">
        <v>11204.87</v>
      </c>
      <c r="L281" s="963">
        <v>10047.799999999999</v>
      </c>
      <c r="M281" s="963">
        <v>10801.36</v>
      </c>
      <c r="N281" s="901">
        <v>11481.73</v>
      </c>
      <c r="O281" s="963">
        <v>11033.91</v>
      </c>
      <c r="P281" s="963">
        <v>14242.1</v>
      </c>
      <c r="Q281" s="963">
        <f t="shared" si="10"/>
        <v>149660.71</v>
      </c>
      <c r="R281" s="962"/>
    </row>
    <row r="282" spans="2:18">
      <c r="B282" s="901" t="s">
        <v>2884</v>
      </c>
      <c r="C282" s="956" t="s">
        <v>789</v>
      </c>
      <c r="D282" s="956">
        <v>130</v>
      </c>
      <c r="E282" s="901">
        <v>15453.54</v>
      </c>
      <c r="F282" s="963">
        <v>14977.7</v>
      </c>
      <c r="G282" s="963">
        <v>14965.52</v>
      </c>
      <c r="H282" s="963">
        <v>12297.93</v>
      </c>
      <c r="I282" s="963">
        <v>12172.36</v>
      </c>
      <c r="J282" s="963">
        <v>10981.89</v>
      </c>
      <c r="K282" s="963">
        <v>11204.87</v>
      </c>
      <c r="L282" s="963">
        <v>10047.799999999999</v>
      </c>
      <c r="M282" s="963">
        <v>10801.36</v>
      </c>
      <c r="N282" s="901">
        <v>11481.73</v>
      </c>
      <c r="O282" s="963">
        <v>11033.91</v>
      </c>
      <c r="P282" s="963">
        <v>14242.1</v>
      </c>
      <c r="Q282" s="963">
        <f t="shared" si="10"/>
        <v>149660.71</v>
      </c>
      <c r="R282" s="962"/>
    </row>
    <row r="283" spans="2:18">
      <c r="B283" s="964" t="s">
        <v>2673</v>
      </c>
      <c r="F283" s="963"/>
      <c r="G283" s="963"/>
      <c r="H283" s="963"/>
      <c r="I283" s="963"/>
      <c r="J283" s="963"/>
      <c r="K283" s="963"/>
      <c r="L283" s="963"/>
      <c r="M283" s="963"/>
      <c r="O283" s="963"/>
      <c r="P283" s="963"/>
      <c r="Q283" s="963"/>
      <c r="R283" s="962"/>
    </row>
    <row r="284" spans="2:18">
      <c r="F284" s="963"/>
      <c r="G284" s="963"/>
      <c r="H284" s="963"/>
      <c r="I284" s="963"/>
      <c r="J284" s="963"/>
      <c r="K284" s="963"/>
      <c r="L284" s="963"/>
      <c r="M284" s="963"/>
      <c r="O284" s="963"/>
      <c r="P284" s="963"/>
      <c r="Q284" s="963"/>
      <c r="R284" s="962"/>
    </row>
    <row r="285" spans="2:18">
      <c r="B285" s="960" t="s">
        <v>2939</v>
      </c>
      <c r="C285" s="956" t="s">
        <v>777</v>
      </c>
      <c r="D285" s="956">
        <v>87</v>
      </c>
      <c r="F285" s="963"/>
      <c r="G285" s="963"/>
      <c r="H285" s="963"/>
      <c r="I285" s="963"/>
      <c r="J285" s="963"/>
      <c r="K285" s="963"/>
      <c r="L285" s="963"/>
      <c r="M285" s="963"/>
      <c r="O285" s="963"/>
      <c r="P285" s="963"/>
      <c r="Q285" s="963"/>
      <c r="R285" s="962"/>
    </row>
    <row r="286" spans="2:18">
      <c r="B286" s="901" t="s">
        <v>2514</v>
      </c>
      <c r="C286" s="956" t="s">
        <v>780</v>
      </c>
      <c r="D286" s="956">
        <v>87</v>
      </c>
      <c r="E286" s="901">
        <v>1192617</v>
      </c>
      <c r="F286" s="963">
        <v>1220699</v>
      </c>
      <c r="G286" s="963">
        <v>1078245</v>
      </c>
      <c r="H286" s="963">
        <v>1154609</v>
      </c>
      <c r="I286" s="963">
        <v>1061450</v>
      </c>
      <c r="J286" s="963">
        <v>1024594</v>
      </c>
      <c r="K286" s="963">
        <v>937176</v>
      </c>
      <c r="L286" s="963">
        <v>959617</v>
      </c>
      <c r="M286" s="963">
        <v>979527</v>
      </c>
      <c r="N286" s="901">
        <v>880129</v>
      </c>
      <c r="O286" s="963">
        <v>985783</v>
      </c>
      <c r="P286" s="963">
        <v>994562</v>
      </c>
      <c r="Q286" s="963">
        <f t="shared" si="10"/>
        <v>12469008</v>
      </c>
      <c r="R286" s="962"/>
    </row>
    <row r="287" spans="2:18">
      <c r="B287" s="901" t="s">
        <v>2915</v>
      </c>
      <c r="C287" s="956" t="s">
        <v>781</v>
      </c>
      <c r="D287" s="956">
        <v>87</v>
      </c>
      <c r="E287" s="901">
        <v>0</v>
      </c>
      <c r="F287" s="963">
        <v>0</v>
      </c>
      <c r="G287" s="963">
        <v>0</v>
      </c>
      <c r="H287" s="963">
        <v>0</v>
      </c>
      <c r="I287" s="963">
        <v>0</v>
      </c>
      <c r="J287" s="963">
        <v>0</v>
      </c>
      <c r="K287" s="963">
        <v>0</v>
      </c>
      <c r="L287" s="963">
        <v>0</v>
      </c>
      <c r="M287" s="963">
        <v>0</v>
      </c>
      <c r="N287" s="901">
        <v>0</v>
      </c>
      <c r="O287" s="963">
        <v>0</v>
      </c>
      <c r="P287" s="963">
        <v>0</v>
      </c>
      <c r="Q287" s="963">
        <f t="shared" si="10"/>
        <v>0</v>
      </c>
      <c r="R287" s="962"/>
    </row>
    <row r="288" spans="2:18">
      <c r="B288" s="901" t="s">
        <v>2916</v>
      </c>
      <c r="C288" s="956" t="s">
        <v>782</v>
      </c>
      <c r="D288" s="956">
        <v>87</v>
      </c>
      <c r="E288" s="901">
        <v>0</v>
      </c>
      <c r="F288" s="963">
        <v>0</v>
      </c>
      <c r="G288" s="963">
        <v>0</v>
      </c>
      <c r="H288" s="963">
        <v>0</v>
      </c>
      <c r="I288" s="963">
        <v>0</v>
      </c>
      <c r="J288" s="963">
        <v>0</v>
      </c>
      <c r="K288" s="963">
        <v>0</v>
      </c>
      <c r="L288" s="963">
        <v>0</v>
      </c>
      <c r="M288" s="963">
        <v>0</v>
      </c>
      <c r="N288" s="901">
        <v>0</v>
      </c>
      <c r="O288" s="963">
        <v>0</v>
      </c>
      <c r="P288" s="963">
        <v>0</v>
      </c>
      <c r="Q288" s="963">
        <f t="shared" si="10"/>
        <v>0</v>
      </c>
      <c r="R288" s="962"/>
    </row>
    <row r="289" spans="2:18">
      <c r="B289" s="901" t="s">
        <v>2917</v>
      </c>
      <c r="C289" s="956" t="s">
        <v>787</v>
      </c>
      <c r="D289" s="956">
        <v>87</v>
      </c>
      <c r="E289" s="901">
        <v>1192617</v>
      </c>
      <c r="F289" s="963">
        <v>1220699</v>
      </c>
      <c r="G289" s="963">
        <v>1078245</v>
      </c>
      <c r="H289" s="963">
        <v>1154609</v>
      </c>
      <c r="I289" s="963">
        <v>1061450</v>
      </c>
      <c r="J289" s="963">
        <v>1024594</v>
      </c>
      <c r="K289" s="963">
        <v>937176</v>
      </c>
      <c r="L289" s="963">
        <v>959617</v>
      </c>
      <c r="M289" s="963">
        <v>979527</v>
      </c>
      <c r="N289" s="901">
        <v>880129</v>
      </c>
      <c r="O289" s="963">
        <v>985783</v>
      </c>
      <c r="P289" s="963">
        <v>994562</v>
      </c>
      <c r="Q289" s="963">
        <f t="shared" si="10"/>
        <v>12469008</v>
      </c>
      <c r="R289" s="962"/>
    </row>
    <row r="290" spans="2:18">
      <c r="B290" s="901" t="s">
        <v>2918</v>
      </c>
      <c r="C290" s="956" t="s">
        <v>788</v>
      </c>
      <c r="D290" s="956">
        <v>87</v>
      </c>
      <c r="E290" s="901">
        <v>1220699</v>
      </c>
      <c r="F290" s="901">
        <v>1078245</v>
      </c>
      <c r="G290" s="901">
        <v>1154609</v>
      </c>
      <c r="H290" s="901">
        <v>1061450</v>
      </c>
      <c r="I290" s="901">
        <v>1024594</v>
      </c>
      <c r="J290" s="901">
        <v>937176</v>
      </c>
      <c r="K290" s="901">
        <v>959617</v>
      </c>
      <c r="L290" s="901">
        <v>979527</v>
      </c>
      <c r="M290" s="901">
        <v>880129</v>
      </c>
      <c r="N290" s="901">
        <v>985783</v>
      </c>
      <c r="O290" s="901">
        <v>994562</v>
      </c>
      <c r="P290" s="901">
        <v>1120091</v>
      </c>
      <c r="Q290" s="963">
        <f t="shared" si="10"/>
        <v>12396482</v>
      </c>
      <c r="R290" s="962"/>
    </row>
    <row r="291" spans="2:18">
      <c r="B291" s="901" t="s">
        <v>2886</v>
      </c>
      <c r="C291" s="956" t="s">
        <v>789</v>
      </c>
      <c r="D291" s="956">
        <v>87</v>
      </c>
      <c r="E291" s="901">
        <v>1220699</v>
      </c>
      <c r="F291" s="961">
        <v>1078245</v>
      </c>
      <c r="G291" s="961">
        <v>1154609</v>
      </c>
      <c r="H291" s="961">
        <v>1061450</v>
      </c>
      <c r="I291" s="961">
        <v>1024594</v>
      </c>
      <c r="J291" s="961">
        <v>937176</v>
      </c>
      <c r="K291" s="961">
        <v>959617</v>
      </c>
      <c r="L291" s="961">
        <v>979527</v>
      </c>
      <c r="M291" s="961">
        <v>880129</v>
      </c>
      <c r="N291" s="901">
        <v>985783</v>
      </c>
      <c r="O291" s="961">
        <v>994562</v>
      </c>
      <c r="P291" s="961">
        <v>1120091</v>
      </c>
      <c r="Q291" s="963">
        <f t="shared" si="10"/>
        <v>12396482</v>
      </c>
      <c r="R291" s="962"/>
    </row>
    <row r="292" spans="2:18">
      <c r="B292" s="964" t="s">
        <v>2673</v>
      </c>
      <c r="F292" s="963"/>
      <c r="G292" s="963"/>
      <c r="H292" s="963"/>
      <c r="I292" s="963"/>
      <c r="J292" s="963"/>
      <c r="K292" s="963"/>
      <c r="L292" s="963"/>
      <c r="M292" s="963"/>
      <c r="O292" s="963"/>
      <c r="P292" s="963"/>
      <c r="Q292" s="963">
        <f t="shared" si="10"/>
        <v>0</v>
      </c>
      <c r="R292" s="962"/>
    </row>
    <row r="293" spans="2:18">
      <c r="B293" s="901" t="s">
        <v>2919</v>
      </c>
      <c r="C293" s="956" t="s">
        <v>780</v>
      </c>
      <c r="D293" s="956">
        <v>131</v>
      </c>
      <c r="E293" s="901">
        <v>21676.04</v>
      </c>
      <c r="F293" s="963">
        <v>22005.7</v>
      </c>
      <c r="G293" s="963">
        <v>20333.400000000001</v>
      </c>
      <c r="H293" s="963">
        <v>21229.85</v>
      </c>
      <c r="I293" s="963">
        <v>20136.25</v>
      </c>
      <c r="J293" s="963">
        <v>19703.59</v>
      </c>
      <c r="K293" s="963">
        <v>18677.37</v>
      </c>
      <c r="L293" s="963">
        <v>18940.810000000001</v>
      </c>
      <c r="M293" s="963">
        <v>19174.53</v>
      </c>
      <c r="N293" s="901">
        <v>18007.68</v>
      </c>
      <c r="O293" s="963">
        <v>19426.59</v>
      </c>
      <c r="P293" s="963">
        <v>19531.23</v>
      </c>
      <c r="Q293" s="963">
        <f t="shared" si="10"/>
        <v>238843.04</v>
      </c>
      <c r="R293" s="962"/>
    </row>
    <row r="294" spans="2:18">
      <c r="B294" s="901" t="s">
        <v>2920</v>
      </c>
      <c r="C294" s="956" t="s">
        <v>781</v>
      </c>
      <c r="D294" s="956">
        <v>131</v>
      </c>
      <c r="E294" s="901">
        <v>0</v>
      </c>
      <c r="F294" s="963">
        <v>0</v>
      </c>
      <c r="G294" s="963">
        <v>0</v>
      </c>
      <c r="H294" s="963">
        <v>0</v>
      </c>
      <c r="I294" s="963">
        <v>0</v>
      </c>
      <c r="J294" s="963">
        <v>0</v>
      </c>
      <c r="K294" s="963">
        <v>0</v>
      </c>
      <c r="L294" s="963">
        <v>0</v>
      </c>
      <c r="M294" s="963">
        <v>0</v>
      </c>
      <c r="N294" s="901">
        <v>0</v>
      </c>
      <c r="O294" s="963">
        <v>0</v>
      </c>
      <c r="P294" s="963">
        <v>0</v>
      </c>
      <c r="Q294" s="963">
        <f t="shared" si="10"/>
        <v>0</v>
      </c>
      <c r="R294" s="962"/>
    </row>
    <row r="295" spans="2:18">
      <c r="B295" s="901" t="s">
        <v>2921</v>
      </c>
      <c r="C295" s="956" t="s">
        <v>782</v>
      </c>
      <c r="D295" s="956">
        <v>131</v>
      </c>
      <c r="E295" s="901">
        <v>0</v>
      </c>
      <c r="F295" s="963">
        <v>0</v>
      </c>
      <c r="G295" s="963">
        <v>0</v>
      </c>
      <c r="H295" s="963">
        <v>0</v>
      </c>
      <c r="I295" s="963">
        <v>0</v>
      </c>
      <c r="J295" s="963">
        <v>0</v>
      </c>
      <c r="K295" s="963">
        <v>0</v>
      </c>
      <c r="L295" s="963">
        <v>0</v>
      </c>
      <c r="M295" s="963">
        <v>0</v>
      </c>
      <c r="N295" s="901">
        <v>0</v>
      </c>
      <c r="O295" s="963">
        <v>0</v>
      </c>
      <c r="P295" s="963">
        <v>0</v>
      </c>
      <c r="Q295" s="963">
        <f t="shared" si="10"/>
        <v>0</v>
      </c>
      <c r="R295" s="962"/>
    </row>
    <row r="296" spans="2:18">
      <c r="B296" s="901" t="s">
        <v>2922</v>
      </c>
      <c r="C296" s="956" t="s">
        <v>783</v>
      </c>
      <c r="D296" s="956">
        <v>131</v>
      </c>
      <c r="E296" s="901">
        <v>0</v>
      </c>
      <c r="F296" s="963">
        <v>0</v>
      </c>
      <c r="G296" s="963">
        <v>0</v>
      </c>
      <c r="H296" s="963">
        <v>0</v>
      </c>
      <c r="I296" s="963">
        <v>0</v>
      </c>
      <c r="J296" s="963">
        <v>0</v>
      </c>
      <c r="K296" s="963">
        <v>0</v>
      </c>
      <c r="L296" s="963">
        <v>0</v>
      </c>
      <c r="M296" s="963">
        <v>0</v>
      </c>
      <c r="N296" s="901">
        <v>0</v>
      </c>
      <c r="O296" s="963">
        <v>0</v>
      </c>
      <c r="P296" s="963">
        <v>0</v>
      </c>
      <c r="Q296" s="963">
        <f t="shared" si="10"/>
        <v>0</v>
      </c>
      <c r="R296" s="962"/>
    </row>
    <row r="297" spans="2:18">
      <c r="B297" s="901" t="s">
        <v>2750</v>
      </c>
      <c r="C297" s="956" t="s">
        <v>784</v>
      </c>
      <c r="D297" s="956">
        <v>131</v>
      </c>
      <c r="E297" s="901">
        <v>0</v>
      </c>
      <c r="F297" s="963">
        <v>0</v>
      </c>
      <c r="G297" s="963">
        <v>0</v>
      </c>
      <c r="H297" s="963">
        <v>0</v>
      </c>
      <c r="I297" s="963">
        <v>0</v>
      </c>
      <c r="J297" s="963">
        <v>0</v>
      </c>
      <c r="K297" s="963">
        <v>0</v>
      </c>
      <c r="L297" s="963">
        <v>0</v>
      </c>
      <c r="M297" s="963">
        <v>0</v>
      </c>
      <c r="N297" s="901">
        <v>0</v>
      </c>
      <c r="O297" s="963">
        <v>0</v>
      </c>
      <c r="P297" s="963">
        <v>0</v>
      </c>
      <c r="Q297" s="963">
        <f t="shared" si="10"/>
        <v>0</v>
      </c>
      <c r="R297" s="962"/>
    </row>
    <row r="298" spans="2:18">
      <c r="B298" s="901" t="s">
        <v>2751</v>
      </c>
      <c r="C298" s="956" t="s">
        <v>785</v>
      </c>
      <c r="D298" s="956">
        <v>131</v>
      </c>
      <c r="E298" s="901">
        <v>0</v>
      </c>
      <c r="F298" s="963">
        <v>0</v>
      </c>
      <c r="G298" s="963">
        <v>0</v>
      </c>
      <c r="H298" s="963">
        <v>0</v>
      </c>
      <c r="I298" s="963">
        <v>0</v>
      </c>
      <c r="J298" s="963">
        <v>0</v>
      </c>
      <c r="K298" s="963">
        <v>0</v>
      </c>
      <c r="L298" s="963">
        <v>0</v>
      </c>
      <c r="M298" s="963">
        <v>0</v>
      </c>
      <c r="N298" s="901">
        <v>0</v>
      </c>
      <c r="O298" s="963">
        <v>0</v>
      </c>
      <c r="P298" s="963">
        <v>0</v>
      </c>
      <c r="Q298" s="963">
        <f t="shared" si="10"/>
        <v>0</v>
      </c>
      <c r="R298" s="962"/>
    </row>
    <row r="299" spans="2:18">
      <c r="B299" s="901" t="s">
        <v>2451</v>
      </c>
      <c r="C299" s="956" t="s">
        <v>786</v>
      </c>
      <c r="D299" s="956">
        <v>131</v>
      </c>
      <c r="E299" s="901">
        <v>0</v>
      </c>
      <c r="F299" s="963">
        <v>0</v>
      </c>
      <c r="G299" s="963">
        <v>0</v>
      </c>
      <c r="H299" s="963">
        <v>0</v>
      </c>
      <c r="I299" s="963">
        <v>0</v>
      </c>
      <c r="J299" s="963">
        <v>0</v>
      </c>
      <c r="K299" s="963">
        <v>0</v>
      </c>
      <c r="L299" s="963">
        <v>0</v>
      </c>
      <c r="M299" s="963">
        <v>0</v>
      </c>
      <c r="N299" s="901">
        <v>0</v>
      </c>
      <c r="O299" s="963">
        <v>0</v>
      </c>
      <c r="P299" s="963">
        <v>0</v>
      </c>
      <c r="Q299" s="963">
        <f t="shared" si="10"/>
        <v>0</v>
      </c>
      <c r="R299" s="962"/>
    </row>
    <row r="300" spans="2:18">
      <c r="B300" s="901" t="s">
        <v>2697</v>
      </c>
      <c r="C300" s="956" t="s">
        <v>787</v>
      </c>
      <c r="D300" s="956">
        <v>131</v>
      </c>
      <c r="E300" s="901">
        <v>21676.04</v>
      </c>
      <c r="F300" s="963">
        <v>22005.7</v>
      </c>
      <c r="G300" s="963">
        <v>20333.400000000001</v>
      </c>
      <c r="H300" s="963">
        <v>21229.85</v>
      </c>
      <c r="I300" s="963">
        <v>20136.25</v>
      </c>
      <c r="J300" s="963">
        <v>19703.59</v>
      </c>
      <c r="K300" s="963">
        <v>18677.37</v>
      </c>
      <c r="L300" s="963">
        <v>18940.810000000001</v>
      </c>
      <c r="M300" s="963">
        <v>19174.53</v>
      </c>
      <c r="N300" s="901">
        <v>18007.68</v>
      </c>
      <c r="O300" s="963">
        <v>19426.59</v>
      </c>
      <c r="P300" s="963">
        <v>19531.23</v>
      </c>
      <c r="Q300" s="963">
        <f>-SUM(E300:P300)</f>
        <v>-238843.04</v>
      </c>
      <c r="R300" s="962"/>
    </row>
    <row r="301" spans="2:18">
      <c r="B301" s="901" t="s">
        <v>2698</v>
      </c>
      <c r="C301" s="956" t="s">
        <v>788</v>
      </c>
      <c r="D301" s="956">
        <v>131</v>
      </c>
      <c r="E301" s="901">
        <v>22005.7</v>
      </c>
      <c r="F301" s="963">
        <v>20333.400000000001</v>
      </c>
      <c r="G301" s="963">
        <v>21229.85</v>
      </c>
      <c r="H301" s="963">
        <v>20136.25</v>
      </c>
      <c r="I301" s="963">
        <v>19703.59</v>
      </c>
      <c r="J301" s="963">
        <v>18677.37</v>
      </c>
      <c r="K301" s="963">
        <v>18940.810000000001</v>
      </c>
      <c r="L301" s="963">
        <v>19174.53</v>
      </c>
      <c r="M301" s="963">
        <v>18007.68</v>
      </c>
      <c r="N301" s="901">
        <v>19426.59</v>
      </c>
      <c r="O301" s="963">
        <v>19531.23</v>
      </c>
      <c r="P301" s="963">
        <v>21027.59</v>
      </c>
      <c r="Q301" s="963">
        <f t="shared" si="10"/>
        <v>238194.59</v>
      </c>
      <c r="R301" s="962"/>
    </row>
    <row r="302" spans="2:18">
      <c r="B302" s="901" t="s">
        <v>2884</v>
      </c>
      <c r="C302" s="956" t="s">
        <v>789</v>
      </c>
      <c r="D302" s="956">
        <v>131</v>
      </c>
      <c r="E302" s="901">
        <v>22005.7</v>
      </c>
      <c r="F302" s="963">
        <v>20333.400000000001</v>
      </c>
      <c r="G302" s="963">
        <v>21229.85</v>
      </c>
      <c r="H302" s="963">
        <v>20136.25</v>
      </c>
      <c r="I302" s="963">
        <v>19703.59</v>
      </c>
      <c r="J302" s="963">
        <v>18677.37</v>
      </c>
      <c r="K302" s="963">
        <v>18940.810000000001</v>
      </c>
      <c r="L302" s="963">
        <v>19174.53</v>
      </c>
      <c r="M302" s="963">
        <v>18007.68</v>
      </c>
      <c r="N302" s="901">
        <v>19426.59</v>
      </c>
      <c r="O302" s="963">
        <v>19531.23</v>
      </c>
      <c r="P302" s="963">
        <v>21027.59</v>
      </c>
      <c r="Q302" s="963">
        <f t="shared" si="10"/>
        <v>238194.59</v>
      </c>
      <c r="R302" s="962"/>
    </row>
    <row r="303" spans="2:18">
      <c r="B303" s="964" t="s">
        <v>2673</v>
      </c>
      <c r="F303" s="963"/>
      <c r="G303" s="963"/>
      <c r="H303" s="963"/>
      <c r="I303" s="963"/>
      <c r="J303" s="963"/>
      <c r="K303" s="963"/>
      <c r="L303" s="963"/>
      <c r="M303" s="963"/>
      <c r="O303" s="963"/>
      <c r="P303" s="963"/>
      <c r="Q303" s="963"/>
      <c r="R303" s="962"/>
    </row>
    <row r="304" spans="2:18">
      <c r="F304" s="963"/>
      <c r="G304" s="963"/>
      <c r="H304" s="963"/>
      <c r="I304" s="963"/>
      <c r="J304" s="963"/>
      <c r="K304" s="963"/>
      <c r="L304" s="963"/>
      <c r="M304" s="963"/>
      <c r="O304" s="963"/>
      <c r="P304" s="963"/>
      <c r="Q304" s="963"/>
      <c r="R304" s="962"/>
    </row>
    <row r="305" spans="1:18">
      <c r="A305" s="968" t="s">
        <v>2847</v>
      </c>
      <c r="B305" s="960" t="s">
        <v>2933</v>
      </c>
      <c r="C305" s="956" t="s">
        <v>777</v>
      </c>
      <c r="D305" s="956">
        <v>89</v>
      </c>
      <c r="F305" s="963"/>
      <c r="G305" s="963"/>
      <c r="H305" s="963"/>
      <c r="I305" s="963"/>
      <c r="J305" s="963"/>
      <c r="K305" s="963"/>
      <c r="L305" s="963"/>
      <c r="M305" s="963"/>
      <c r="O305" s="963"/>
      <c r="P305" s="963"/>
      <c r="Q305" s="963"/>
      <c r="R305" s="962"/>
    </row>
    <row r="306" spans="1:18">
      <c r="A306" s="968" t="s">
        <v>2940</v>
      </c>
      <c r="B306" s="901" t="s">
        <v>2514</v>
      </c>
      <c r="C306" s="956" t="s">
        <v>780</v>
      </c>
      <c r="D306" s="956">
        <v>89</v>
      </c>
      <c r="E306" s="901">
        <v>14382579</v>
      </c>
      <c r="F306" s="963">
        <v>14944499</v>
      </c>
      <c r="G306" s="963">
        <v>7408861</v>
      </c>
      <c r="H306" s="963">
        <v>9817659</v>
      </c>
      <c r="I306" s="963">
        <v>7594206</v>
      </c>
      <c r="J306" s="963">
        <v>5340649</v>
      </c>
      <c r="K306" s="963">
        <v>7824546</v>
      </c>
      <c r="L306" s="963">
        <v>14501183</v>
      </c>
      <c r="M306" s="963">
        <v>16164686</v>
      </c>
      <c r="N306" s="901">
        <v>15653555</v>
      </c>
      <c r="O306" s="963">
        <v>11066763</v>
      </c>
      <c r="P306" s="963">
        <v>12699045</v>
      </c>
      <c r="Q306" s="963">
        <f t="shared" ref="Q306:Q369" si="11">SUM(E306:P306)</f>
        <v>137398231</v>
      </c>
      <c r="R306" s="962"/>
    </row>
    <row r="307" spans="1:18">
      <c r="A307" s="970">
        <v>4863</v>
      </c>
      <c r="B307" s="901" t="s">
        <v>2915</v>
      </c>
      <c r="C307" s="956" t="s">
        <v>781</v>
      </c>
      <c r="D307" s="956">
        <v>89</v>
      </c>
      <c r="E307" s="901">
        <v>0</v>
      </c>
      <c r="F307" s="963">
        <v>0</v>
      </c>
      <c r="G307" s="963">
        <v>0</v>
      </c>
      <c r="H307" s="963">
        <v>0</v>
      </c>
      <c r="I307" s="963">
        <v>0</v>
      </c>
      <c r="J307" s="963">
        <v>0</v>
      </c>
      <c r="K307" s="963">
        <v>0</v>
      </c>
      <c r="L307" s="963">
        <v>0</v>
      </c>
      <c r="M307" s="963">
        <v>0</v>
      </c>
      <c r="N307" s="901">
        <v>0</v>
      </c>
      <c r="O307" s="963">
        <v>0</v>
      </c>
      <c r="P307" s="963">
        <v>0</v>
      </c>
      <c r="Q307" s="963">
        <f t="shared" si="11"/>
        <v>0</v>
      </c>
      <c r="R307" s="962"/>
    </row>
    <row r="308" spans="1:18">
      <c r="B308" s="901" t="s">
        <v>2916</v>
      </c>
      <c r="C308" s="956" t="s">
        <v>782</v>
      </c>
      <c r="D308" s="956">
        <v>89</v>
      </c>
      <c r="E308" s="901">
        <v>0</v>
      </c>
      <c r="F308" s="963">
        <v>0</v>
      </c>
      <c r="G308" s="963">
        <v>0</v>
      </c>
      <c r="H308" s="963">
        <v>0</v>
      </c>
      <c r="I308" s="963">
        <v>0</v>
      </c>
      <c r="J308" s="963">
        <v>0</v>
      </c>
      <c r="K308" s="963">
        <v>0</v>
      </c>
      <c r="L308" s="963">
        <v>0</v>
      </c>
      <c r="M308" s="963">
        <v>0</v>
      </c>
      <c r="N308" s="901">
        <v>0</v>
      </c>
      <c r="O308" s="963">
        <v>0</v>
      </c>
      <c r="P308" s="963">
        <v>0</v>
      </c>
      <c r="Q308" s="963">
        <f t="shared" si="11"/>
        <v>0</v>
      </c>
      <c r="R308" s="962"/>
    </row>
    <row r="309" spans="1:18">
      <c r="B309" s="901" t="s">
        <v>2917</v>
      </c>
      <c r="C309" s="956" t="s">
        <v>787</v>
      </c>
      <c r="D309" s="956">
        <v>89</v>
      </c>
      <c r="E309" s="901">
        <v>14382579</v>
      </c>
      <c r="F309" s="963">
        <v>14944499</v>
      </c>
      <c r="G309" s="963">
        <v>7408861</v>
      </c>
      <c r="H309" s="963">
        <v>9817659</v>
      </c>
      <c r="I309" s="963">
        <v>7594206</v>
      </c>
      <c r="J309" s="963">
        <v>5340649</v>
      </c>
      <c r="K309" s="963">
        <v>7824546</v>
      </c>
      <c r="L309" s="963">
        <v>14501183</v>
      </c>
      <c r="M309" s="963">
        <v>16164686</v>
      </c>
      <c r="N309" s="901">
        <v>15653966</v>
      </c>
      <c r="O309" s="963">
        <v>11066763</v>
      </c>
      <c r="P309" s="963">
        <v>12699045</v>
      </c>
      <c r="Q309" s="963">
        <f t="shared" si="11"/>
        <v>137398642</v>
      </c>
      <c r="R309" s="962"/>
    </row>
    <row r="310" spans="1:18">
      <c r="B310" s="901" t="s">
        <v>2918</v>
      </c>
      <c r="C310" s="956" t="s">
        <v>788</v>
      </c>
      <c r="D310" s="956">
        <v>89</v>
      </c>
      <c r="E310" s="901">
        <v>14944499</v>
      </c>
      <c r="F310" s="963">
        <v>7408861</v>
      </c>
      <c r="G310" s="963">
        <v>9817659</v>
      </c>
      <c r="H310" s="963">
        <v>7594206</v>
      </c>
      <c r="I310" s="963">
        <v>5340649</v>
      </c>
      <c r="J310" s="963">
        <v>7824546</v>
      </c>
      <c r="K310" s="963">
        <v>14501183</v>
      </c>
      <c r="L310" s="963">
        <v>16164686</v>
      </c>
      <c r="M310" s="963">
        <v>15653966</v>
      </c>
      <c r="N310" s="901">
        <v>11066763</v>
      </c>
      <c r="O310" s="963">
        <v>12699045</v>
      </c>
      <c r="P310" s="963">
        <v>14173947</v>
      </c>
      <c r="Q310" s="963">
        <f t="shared" si="11"/>
        <v>137190010</v>
      </c>
      <c r="R310" s="962"/>
    </row>
    <row r="311" spans="1:18">
      <c r="B311" s="901" t="s">
        <v>2886</v>
      </c>
      <c r="C311" s="956" t="s">
        <v>789</v>
      </c>
      <c r="D311" s="956">
        <v>89</v>
      </c>
      <c r="E311" s="901">
        <v>14944499</v>
      </c>
      <c r="F311" s="963">
        <v>7408861</v>
      </c>
      <c r="G311" s="963">
        <v>9817659</v>
      </c>
      <c r="H311" s="963">
        <v>7594206</v>
      </c>
      <c r="I311" s="963">
        <v>5340649</v>
      </c>
      <c r="J311" s="963">
        <v>7824546</v>
      </c>
      <c r="K311" s="963">
        <v>14501183</v>
      </c>
      <c r="L311" s="963">
        <v>16164686</v>
      </c>
      <c r="M311" s="963">
        <v>15653966</v>
      </c>
      <c r="N311" s="901">
        <v>11066352</v>
      </c>
      <c r="O311" s="963">
        <v>12699046</v>
      </c>
      <c r="P311" s="963">
        <v>14173946</v>
      </c>
      <c r="Q311" s="963">
        <f t="shared" si="11"/>
        <v>137189599</v>
      </c>
      <c r="R311" s="962"/>
    </row>
    <row r="312" spans="1:18">
      <c r="B312" s="964" t="s">
        <v>2673</v>
      </c>
      <c r="F312" s="963"/>
      <c r="G312" s="963"/>
      <c r="H312" s="963"/>
      <c r="I312" s="963"/>
      <c r="J312" s="963"/>
      <c r="K312" s="963"/>
      <c r="L312" s="963"/>
      <c r="M312" s="963"/>
      <c r="O312" s="963"/>
      <c r="P312" s="963"/>
      <c r="Q312" s="963">
        <f t="shared" si="11"/>
        <v>0</v>
      </c>
      <c r="R312" s="962"/>
    </row>
    <row r="313" spans="1:18">
      <c r="B313" s="901" t="s">
        <v>2919</v>
      </c>
      <c r="C313" s="956" t="s">
        <v>780</v>
      </c>
      <c r="D313" s="956">
        <v>133</v>
      </c>
      <c r="E313" s="973">
        <v>217611.31</v>
      </c>
      <c r="F313" s="973">
        <v>221458.63</v>
      </c>
      <c r="G313" s="973">
        <v>169864.04</v>
      </c>
      <c r="H313" s="973">
        <v>186356.45</v>
      </c>
      <c r="I313" s="973">
        <v>171133.04</v>
      </c>
      <c r="J313" s="973">
        <v>155703.51</v>
      </c>
      <c r="K313" s="973">
        <v>172710.13</v>
      </c>
      <c r="L313" s="973">
        <v>218423.36</v>
      </c>
      <c r="M313" s="973">
        <v>229812.94</v>
      </c>
      <c r="N313" s="973">
        <v>226313.36</v>
      </c>
      <c r="O313" s="973">
        <v>194908.77</v>
      </c>
      <c r="P313" s="973">
        <v>212548.4</v>
      </c>
      <c r="Q313" s="963">
        <f t="shared" si="11"/>
        <v>2376843.9399999995</v>
      </c>
      <c r="R313" s="962"/>
    </row>
    <row r="314" spans="1:18">
      <c r="B314" s="901" t="s">
        <v>2920</v>
      </c>
      <c r="C314" s="956" t="s">
        <v>781</v>
      </c>
      <c r="D314" s="956">
        <v>133</v>
      </c>
      <c r="E314" s="973">
        <v>0</v>
      </c>
      <c r="F314" s="973">
        <v>0</v>
      </c>
      <c r="G314" s="973">
        <v>0</v>
      </c>
      <c r="H314" s="973">
        <v>0</v>
      </c>
      <c r="I314" s="973">
        <v>0</v>
      </c>
      <c r="J314" s="973">
        <v>0</v>
      </c>
      <c r="K314" s="973">
        <v>0</v>
      </c>
      <c r="L314" s="973">
        <v>0</v>
      </c>
      <c r="M314" s="973">
        <v>0</v>
      </c>
      <c r="N314" s="973">
        <v>0</v>
      </c>
      <c r="O314" s="973">
        <v>0</v>
      </c>
      <c r="P314" s="973">
        <v>0</v>
      </c>
      <c r="Q314" s="963">
        <f t="shared" si="11"/>
        <v>0</v>
      </c>
      <c r="R314" s="962"/>
    </row>
    <row r="315" spans="1:18">
      <c r="B315" s="901" t="s">
        <v>2921</v>
      </c>
      <c r="C315" s="956" t="s">
        <v>782</v>
      </c>
      <c r="D315" s="956">
        <v>133</v>
      </c>
      <c r="E315" s="973">
        <v>0</v>
      </c>
      <c r="F315" s="973">
        <v>0</v>
      </c>
      <c r="G315" s="973">
        <v>0</v>
      </c>
      <c r="H315" s="973">
        <v>0</v>
      </c>
      <c r="I315" s="973">
        <v>0</v>
      </c>
      <c r="J315" s="973">
        <v>0</v>
      </c>
      <c r="K315" s="973">
        <v>0</v>
      </c>
      <c r="L315" s="973">
        <v>0</v>
      </c>
      <c r="M315" s="973">
        <v>0</v>
      </c>
      <c r="N315" s="973">
        <v>0</v>
      </c>
      <c r="O315" s="973">
        <v>0</v>
      </c>
      <c r="P315" s="973">
        <v>0</v>
      </c>
      <c r="Q315" s="963">
        <f t="shared" si="11"/>
        <v>0</v>
      </c>
    </row>
    <row r="316" spans="1:18">
      <c r="B316" s="901" t="s">
        <v>2922</v>
      </c>
      <c r="C316" s="956" t="s">
        <v>783</v>
      </c>
      <c r="D316" s="956">
        <v>133</v>
      </c>
      <c r="E316" s="973">
        <v>0</v>
      </c>
      <c r="F316" s="973">
        <v>0</v>
      </c>
      <c r="G316" s="973">
        <v>0</v>
      </c>
      <c r="H316" s="973">
        <v>0</v>
      </c>
      <c r="I316" s="973">
        <v>0</v>
      </c>
      <c r="J316" s="973">
        <v>0</v>
      </c>
      <c r="K316" s="973">
        <v>0</v>
      </c>
      <c r="L316" s="973">
        <v>0</v>
      </c>
      <c r="M316" s="973">
        <v>0</v>
      </c>
      <c r="N316" s="973">
        <v>0</v>
      </c>
      <c r="O316" s="973">
        <v>0</v>
      </c>
      <c r="P316" s="973">
        <v>0</v>
      </c>
      <c r="Q316" s="963">
        <f t="shared" si="11"/>
        <v>0</v>
      </c>
    </row>
    <row r="317" spans="1:18">
      <c r="B317" s="901" t="s">
        <v>2750</v>
      </c>
      <c r="C317" s="956" t="s">
        <v>784</v>
      </c>
      <c r="D317" s="956">
        <v>133</v>
      </c>
      <c r="E317" s="973">
        <v>-5667.21</v>
      </c>
      <c r="F317" s="973">
        <v>-5741.6</v>
      </c>
      <c r="G317" s="973">
        <v>-4045.28</v>
      </c>
      <c r="H317" s="973">
        <v>-3871.74</v>
      </c>
      <c r="I317" s="973">
        <v>-3050.87</v>
      </c>
      <c r="J317" s="973">
        <v>-1787</v>
      </c>
      <c r="K317" s="973">
        <v>-4714.28</v>
      </c>
      <c r="L317" s="973">
        <v>-10102.36</v>
      </c>
      <c r="M317" s="973">
        <v>-12381.28</v>
      </c>
      <c r="N317" s="973">
        <v>-10505.69</v>
      </c>
      <c r="O317" s="973">
        <v>-3789.39</v>
      </c>
      <c r="P317" s="973">
        <v>-5471.23</v>
      </c>
      <c r="Q317" s="963">
        <f t="shared" si="11"/>
        <v>-71127.929999999993</v>
      </c>
    </row>
    <row r="318" spans="1:18">
      <c r="B318" s="901" t="s">
        <v>2751</v>
      </c>
      <c r="C318" s="956" t="s">
        <v>785</v>
      </c>
      <c r="D318" s="956">
        <v>133</v>
      </c>
      <c r="E318" s="973">
        <v>0</v>
      </c>
      <c r="F318" s="973">
        <v>0</v>
      </c>
      <c r="G318" s="973">
        <v>0</v>
      </c>
      <c r="H318" s="973">
        <v>0</v>
      </c>
      <c r="I318" s="973">
        <v>0</v>
      </c>
      <c r="J318" s="973">
        <v>0</v>
      </c>
      <c r="K318" s="973">
        <v>0</v>
      </c>
      <c r="L318" s="973">
        <v>0</v>
      </c>
      <c r="M318" s="973">
        <v>0</v>
      </c>
      <c r="N318" s="973">
        <v>0</v>
      </c>
      <c r="O318" s="973">
        <v>0</v>
      </c>
      <c r="P318" s="973">
        <v>0</v>
      </c>
      <c r="Q318" s="963">
        <f t="shared" si="11"/>
        <v>0</v>
      </c>
    </row>
    <row r="319" spans="1:18">
      <c r="B319" s="901" t="s">
        <v>2451</v>
      </c>
      <c r="C319" s="956" t="s">
        <v>786</v>
      </c>
      <c r="D319" s="956">
        <v>133</v>
      </c>
      <c r="E319" s="973">
        <v>0</v>
      </c>
      <c r="F319" s="973">
        <v>0</v>
      </c>
      <c r="G319" s="973">
        <v>0</v>
      </c>
      <c r="H319" s="973">
        <v>0</v>
      </c>
      <c r="I319" s="973">
        <v>0</v>
      </c>
      <c r="J319" s="973">
        <v>0</v>
      </c>
      <c r="K319" s="973">
        <v>0</v>
      </c>
      <c r="L319" s="973">
        <v>0</v>
      </c>
      <c r="M319" s="973">
        <v>0</v>
      </c>
      <c r="N319" s="973">
        <v>0</v>
      </c>
      <c r="O319" s="973">
        <v>0</v>
      </c>
      <c r="P319" s="973">
        <v>0</v>
      </c>
      <c r="Q319" s="963">
        <f t="shared" si="11"/>
        <v>0</v>
      </c>
    </row>
    <row r="320" spans="1:18">
      <c r="B320" s="901" t="s">
        <v>2697</v>
      </c>
      <c r="C320" s="956" t="s">
        <v>787</v>
      </c>
      <c r="D320" s="956">
        <v>133</v>
      </c>
      <c r="E320" s="973">
        <v>213152.71</v>
      </c>
      <c r="F320" s="973">
        <v>216825.84</v>
      </c>
      <c r="G320" s="973">
        <v>167567.29</v>
      </c>
      <c r="H320" s="973">
        <v>183312.98</v>
      </c>
      <c r="I320" s="973">
        <v>168778.84</v>
      </c>
      <c r="J320" s="973">
        <v>154047.91</v>
      </c>
      <c r="K320" s="973">
        <v>170284.52000000002</v>
      </c>
      <c r="L320" s="973">
        <v>213927.99</v>
      </c>
      <c r="M320" s="973">
        <v>224801.89</v>
      </c>
      <c r="N320" s="973">
        <v>221483.91</v>
      </c>
      <c r="O320" s="973">
        <v>191478.06999999998</v>
      </c>
      <c r="P320" s="973">
        <v>208738.69</v>
      </c>
      <c r="Q320" s="963">
        <f>-SUM(E320:P320)</f>
        <v>-2334400.6399999997</v>
      </c>
    </row>
    <row r="321" spans="2:17">
      <c r="B321" s="901" t="s">
        <v>2698</v>
      </c>
      <c r="C321" s="956" t="s">
        <v>788</v>
      </c>
      <c r="D321" s="956">
        <v>133</v>
      </c>
      <c r="E321" s="973">
        <v>216825.84</v>
      </c>
      <c r="F321" s="973">
        <v>167567.29</v>
      </c>
      <c r="G321" s="973">
        <v>183312.98</v>
      </c>
      <c r="H321" s="973">
        <v>168778.84</v>
      </c>
      <c r="I321" s="973">
        <v>154047.91</v>
      </c>
      <c r="J321" s="973">
        <v>170284.52000000002</v>
      </c>
      <c r="K321" s="973">
        <v>213927.99</v>
      </c>
      <c r="L321" s="973">
        <v>224801.89</v>
      </c>
      <c r="M321" s="973">
        <v>221483.91</v>
      </c>
      <c r="N321" s="973">
        <v>191478.06999999998</v>
      </c>
      <c r="O321" s="973">
        <v>208738.69</v>
      </c>
      <c r="P321" s="973">
        <v>219145.22</v>
      </c>
      <c r="Q321" s="963">
        <f t="shared" si="11"/>
        <v>2340393.15</v>
      </c>
    </row>
    <row r="322" spans="2:17">
      <c r="B322" s="901" t="s">
        <v>2884</v>
      </c>
      <c r="C322" s="956" t="s">
        <v>789</v>
      </c>
      <c r="D322" s="956">
        <v>133</v>
      </c>
      <c r="E322" s="973">
        <v>215617.23</v>
      </c>
      <c r="F322" s="973">
        <v>166458.48000000001</v>
      </c>
      <c r="G322" s="973">
        <v>181564.45</v>
      </c>
      <c r="H322" s="973">
        <v>167950.57</v>
      </c>
      <c r="I322" s="973">
        <v>153351.24000000002</v>
      </c>
      <c r="J322" s="973">
        <v>170153.12000000002</v>
      </c>
      <c r="K322" s="973">
        <v>211639.31999999998</v>
      </c>
      <c r="L322" s="973">
        <v>219194.90000000002</v>
      </c>
      <c r="M322" s="973">
        <v>214113.68</v>
      </c>
      <c r="N322" s="973">
        <v>185801.82999999996</v>
      </c>
      <c r="O322" s="973">
        <v>208380</v>
      </c>
      <c r="P322" s="973">
        <v>217483.69999999998</v>
      </c>
      <c r="Q322" s="963">
        <f t="shared" si="11"/>
        <v>2311708.52</v>
      </c>
    </row>
    <row r="323" spans="2:17">
      <c r="B323" s="964" t="s">
        <v>2673</v>
      </c>
      <c r="E323" s="973"/>
      <c r="F323" s="973"/>
      <c r="G323" s="973"/>
      <c r="H323" s="973"/>
      <c r="I323" s="973"/>
      <c r="J323" s="973"/>
      <c r="K323" s="973"/>
      <c r="L323" s="973"/>
      <c r="M323" s="973"/>
      <c r="N323" s="973"/>
      <c r="O323" s="973"/>
      <c r="P323" s="973"/>
      <c r="Q323" s="963"/>
    </row>
    <row r="324" spans="2:17">
      <c r="E324" s="973"/>
      <c r="F324" s="973"/>
      <c r="G324" s="973"/>
      <c r="H324" s="973"/>
      <c r="I324" s="973"/>
      <c r="J324" s="973"/>
      <c r="K324" s="973"/>
      <c r="L324" s="973"/>
      <c r="M324" s="973"/>
      <c r="N324" s="973"/>
      <c r="O324" s="973"/>
      <c r="P324" s="973"/>
      <c r="Q324" s="963"/>
    </row>
    <row r="325" spans="2:17">
      <c r="B325" s="960" t="s">
        <v>2941</v>
      </c>
      <c r="C325" s="956" t="s">
        <v>777</v>
      </c>
      <c r="D325" s="956">
        <v>90</v>
      </c>
      <c r="E325" s="974"/>
      <c r="F325" s="974"/>
      <c r="G325" s="974"/>
      <c r="H325" s="974"/>
      <c r="I325" s="974"/>
      <c r="J325" s="974"/>
      <c r="K325" s="974"/>
      <c r="L325" s="974"/>
      <c r="M325" s="974"/>
      <c r="N325" s="974"/>
      <c r="O325" s="974"/>
      <c r="P325" s="974"/>
      <c r="Q325" s="963"/>
    </row>
    <row r="326" spans="2:17">
      <c r="B326" s="901" t="s">
        <v>2514</v>
      </c>
      <c r="C326" s="956" t="s">
        <v>780</v>
      </c>
      <c r="D326" s="956">
        <v>90</v>
      </c>
      <c r="E326" s="973">
        <v>4450625</v>
      </c>
      <c r="F326" s="973">
        <v>4088088</v>
      </c>
      <c r="G326" s="973">
        <v>5846716</v>
      </c>
      <c r="H326" s="973">
        <v>3088142</v>
      </c>
      <c r="I326" s="973">
        <v>2551096</v>
      </c>
      <c r="J326" s="973">
        <v>381981</v>
      </c>
      <c r="K326" s="973">
        <v>6776820</v>
      </c>
      <c r="L326" s="973">
        <v>14122838</v>
      </c>
      <c r="M326" s="973">
        <v>15605297</v>
      </c>
      <c r="N326" s="973">
        <v>14512835</v>
      </c>
      <c r="O326" s="973">
        <v>667138</v>
      </c>
      <c r="P326" s="973">
        <v>5956005</v>
      </c>
      <c r="Q326" s="963">
        <f t="shared" si="11"/>
        <v>78047581</v>
      </c>
    </row>
    <row r="327" spans="2:17">
      <c r="B327" s="901" t="s">
        <v>2915</v>
      </c>
      <c r="C327" s="956" t="s">
        <v>781</v>
      </c>
      <c r="D327" s="956">
        <v>90</v>
      </c>
      <c r="E327" s="973">
        <v>0</v>
      </c>
      <c r="F327" s="973">
        <v>0</v>
      </c>
      <c r="G327" s="973">
        <v>0</v>
      </c>
      <c r="H327" s="973">
        <v>0</v>
      </c>
      <c r="I327" s="973">
        <v>0</v>
      </c>
      <c r="J327" s="973">
        <v>0</v>
      </c>
      <c r="K327" s="973">
        <v>0</v>
      </c>
      <c r="L327" s="973">
        <v>0</v>
      </c>
      <c r="M327" s="973">
        <v>0</v>
      </c>
      <c r="N327" s="973">
        <v>0</v>
      </c>
      <c r="O327" s="973">
        <v>0</v>
      </c>
      <c r="P327" s="973">
        <v>0</v>
      </c>
      <c r="Q327" s="963">
        <f t="shared" si="11"/>
        <v>0</v>
      </c>
    </row>
    <row r="328" spans="2:17">
      <c r="B328" s="901" t="s">
        <v>2916</v>
      </c>
      <c r="C328" s="956" t="s">
        <v>782</v>
      </c>
      <c r="D328" s="956">
        <v>90</v>
      </c>
      <c r="E328" s="973">
        <v>0</v>
      </c>
      <c r="F328" s="973">
        <v>0</v>
      </c>
      <c r="G328" s="973">
        <v>0</v>
      </c>
      <c r="H328" s="973">
        <v>0</v>
      </c>
      <c r="I328" s="973">
        <v>0</v>
      </c>
      <c r="J328" s="973">
        <v>0</v>
      </c>
      <c r="K328" s="973">
        <v>0</v>
      </c>
      <c r="L328" s="973">
        <v>0</v>
      </c>
      <c r="M328" s="973">
        <v>0</v>
      </c>
      <c r="N328" s="973">
        <v>0</v>
      </c>
      <c r="O328" s="973">
        <v>0</v>
      </c>
      <c r="P328" s="973">
        <v>0</v>
      </c>
      <c r="Q328" s="963">
        <f t="shared" si="11"/>
        <v>0</v>
      </c>
    </row>
    <row r="329" spans="2:17">
      <c r="B329" s="901" t="s">
        <v>2917</v>
      </c>
      <c r="C329" s="956" t="s">
        <v>787</v>
      </c>
      <c r="D329" s="956">
        <v>90</v>
      </c>
      <c r="E329" s="973">
        <v>4450625</v>
      </c>
      <c r="F329" s="973">
        <v>4088088</v>
      </c>
      <c r="G329" s="973">
        <v>5846716</v>
      </c>
      <c r="H329" s="973">
        <v>3088142</v>
      </c>
      <c r="I329" s="973">
        <v>2551096</v>
      </c>
      <c r="J329" s="973">
        <v>381981</v>
      </c>
      <c r="K329" s="973">
        <v>6776820</v>
      </c>
      <c r="L329" s="973">
        <v>14122838</v>
      </c>
      <c r="M329" s="973">
        <v>15605297</v>
      </c>
      <c r="N329" s="973">
        <v>14512835</v>
      </c>
      <c r="O329" s="973">
        <v>667138</v>
      </c>
      <c r="P329" s="973">
        <v>5956005</v>
      </c>
      <c r="Q329" s="963">
        <f t="shared" si="11"/>
        <v>78047581</v>
      </c>
    </row>
    <row r="330" spans="2:17">
      <c r="B330" s="901" t="s">
        <v>2918</v>
      </c>
      <c r="C330" s="956" t="s">
        <v>788</v>
      </c>
      <c r="D330" s="956">
        <v>90</v>
      </c>
      <c r="E330" s="973">
        <v>4088088</v>
      </c>
      <c r="F330" s="973">
        <v>5846716</v>
      </c>
      <c r="G330" s="973">
        <v>3088142</v>
      </c>
      <c r="H330" s="973">
        <v>2551096</v>
      </c>
      <c r="I330" s="973">
        <v>381981</v>
      </c>
      <c r="J330" s="973">
        <v>6776820</v>
      </c>
      <c r="K330" s="973">
        <v>14122838</v>
      </c>
      <c r="L330" s="973">
        <v>15605297</v>
      </c>
      <c r="M330" s="973">
        <v>14512835</v>
      </c>
      <c r="N330" s="973">
        <v>667138</v>
      </c>
      <c r="O330" s="973">
        <v>5956005</v>
      </c>
      <c r="P330" s="973">
        <v>13886984</v>
      </c>
      <c r="Q330" s="963">
        <f t="shared" si="11"/>
        <v>87483940</v>
      </c>
    </row>
    <row r="331" spans="2:17">
      <c r="B331" s="901" t="s">
        <v>2886</v>
      </c>
      <c r="C331" s="956" t="s">
        <v>789</v>
      </c>
      <c r="D331" s="956">
        <v>90</v>
      </c>
      <c r="E331" s="973">
        <v>4088088</v>
      </c>
      <c r="F331" s="973">
        <v>5846716</v>
      </c>
      <c r="G331" s="973">
        <v>3088142</v>
      </c>
      <c r="H331" s="973">
        <v>2551096</v>
      </c>
      <c r="I331" s="973">
        <v>381981</v>
      </c>
      <c r="J331" s="973">
        <v>6776820</v>
      </c>
      <c r="K331" s="973">
        <v>14122838</v>
      </c>
      <c r="L331" s="973">
        <v>15605297</v>
      </c>
      <c r="M331" s="973">
        <v>14512835</v>
      </c>
      <c r="N331" s="973">
        <v>667138</v>
      </c>
      <c r="O331" s="973">
        <v>5956005</v>
      </c>
      <c r="P331" s="973">
        <v>13886984</v>
      </c>
      <c r="Q331" s="963">
        <f t="shared" si="11"/>
        <v>87483940</v>
      </c>
    </row>
    <row r="332" spans="2:17">
      <c r="B332" s="964" t="s">
        <v>2673</v>
      </c>
      <c r="E332" s="973"/>
      <c r="F332" s="973"/>
      <c r="G332" s="973"/>
      <c r="H332" s="973"/>
      <c r="I332" s="973"/>
      <c r="J332" s="973"/>
      <c r="K332" s="973"/>
      <c r="L332" s="973"/>
      <c r="M332" s="973"/>
      <c r="N332" s="973"/>
      <c r="O332" s="973"/>
      <c r="P332" s="973"/>
      <c r="Q332" s="963">
        <f t="shared" si="11"/>
        <v>0</v>
      </c>
    </row>
    <row r="333" spans="2:17">
      <c r="B333" s="901" t="s">
        <v>2919</v>
      </c>
      <c r="C333" s="956" t="s">
        <v>780</v>
      </c>
      <c r="D333" s="956">
        <v>134</v>
      </c>
      <c r="E333" s="973">
        <v>148897.04999999999</v>
      </c>
      <c r="F333" s="973">
        <v>146414.85</v>
      </c>
      <c r="G333" s="973">
        <v>158455.72</v>
      </c>
      <c r="H333" s="973">
        <v>139568.47</v>
      </c>
      <c r="I333" s="973">
        <v>135891.46</v>
      </c>
      <c r="J333" s="973">
        <v>120275.94</v>
      </c>
      <c r="K333" s="973">
        <v>164823.92000000001</v>
      </c>
      <c r="L333" s="973">
        <v>215120.25</v>
      </c>
      <c r="M333" s="973">
        <v>225270.26</v>
      </c>
      <c r="N333" s="973">
        <v>217790.45</v>
      </c>
      <c r="O333" s="973">
        <v>122992.49</v>
      </c>
      <c r="P333" s="973">
        <v>162235.62</v>
      </c>
      <c r="Q333" s="963">
        <f t="shared" si="11"/>
        <v>1957736.48</v>
      </c>
    </row>
    <row r="334" spans="2:17">
      <c r="B334" s="901" t="s">
        <v>2920</v>
      </c>
      <c r="C334" s="956" t="s">
        <v>781</v>
      </c>
      <c r="D334" s="956">
        <v>134</v>
      </c>
      <c r="E334" s="973">
        <v>0</v>
      </c>
      <c r="F334" s="973">
        <v>0</v>
      </c>
      <c r="G334" s="973">
        <v>0</v>
      </c>
      <c r="H334" s="973">
        <v>0</v>
      </c>
      <c r="I334" s="973">
        <v>0</v>
      </c>
      <c r="J334" s="973">
        <v>0</v>
      </c>
      <c r="K334" s="973">
        <v>0</v>
      </c>
      <c r="L334" s="973">
        <v>0</v>
      </c>
      <c r="M334" s="973">
        <v>0</v>
      </c>
      <c r="N334" s="973">
        <v>0</v>
      </c>
      <c r="O334" s="973">
        <v>0</v>
      </c>
      <c r="P334" s="973">
        <v>0</v>
      </c>
      <c r="Q334" s="963">
        <f t="shared" si="11"/>
        <v>0</v>
      </c>
    </row>
    <row r="335" spans="2:17">
      <c r="B335" s="901" t="s">
        <v>2921</v>
      </c>
      <c r="C335" s="956" t="s">
        <v>782</v>
      </c>
      <c r="D335" s="956">
        <v>134</v>
      </c>
      <c r="E335" s="973">
        <v>0</v>
      </c>
      <c r="F335" s="973">
        <v>0</v>
      </c>
      <c r="G335" s="973">
        <v>0</v>
      </c>
      <c r="H335" s="973">
        <v>0</v>
      </c>
      <c r="I335" s="973">
        <v>0</v>
      </c>
      <c r="J335" s="973">
        <v>0</v>
      </c>
      <c r="K335" s="973">
        <v>0</v>
      </c>
      <c r="L335" s="973">
        <v>0</v>
      </c>
      <c r="M335" s="973">
        <v>0</v>
      </c>
      <c r="N335" s="973">
        <v>0</v>
      </c>
      <c r="O335" s="973">
        <v>0</v>
      </c>
      <c r="P335" s="973">
        <v>0</v>
      </c>
      <c r="Q335" s="963">
        <f t="shared" si="11"/>
        <v>0</v>
      </c>
    </row>
    <row r="336" spans="2:17">
      <c r="B336" s="901" t="s">
        <v>2922</v>
      </c>
      <c r="C336" s="956" t="s">
        <v>783</v>
      </c>
      <c r="D336" s="956">
        <v>134</v>
      </c>
      <c r="E336" s="973">
        <v>0</v>
      </c>
      <c r="F336" s="973">
        <v>0</v>
      </c>
      <c r="G336" s="973">
        <v>0</v>
      </c>
      <c r="H336" s="973">
        <v>0</v>
      </c>
      <c r="I336" s="973">
        <v>0</v>
      </c>
      <c r="J336" s="973">
        <v>0</v>
      </c>
      <c r="K336" s="973">
        <v>0</v>
      </c>
      <c r="L336" s="973">
        <v>0</v>
      </c>
      <c r="M336" s="973">
        <v>0</v>
      </c>
      <c r="N336" s="973">
        <v>0</v>
      </c>
      <c r="O336" s="973">
        <v>0</v>
      </c>
      <c r="P336" s="973">
        <v>0</v>
      </c>
      <c r="Q336" s="963">
        <f t="shared" si="11"/>
        <v>0</v>
      </c>
    </row>
    <row r="337" spans="2:17">
      <c r="B337" s="901" t="s">
        <v>2750</v>
      </c>
      <c r="C337" s="956" t="s">
        <v>784</v>
      </c>
      <c r="D337" s="956">
        <v>134</v>
      </c>
      <c r="E337" s="973">
        <v>0</v>
      </c>
      <c r="F337" s="973">
        <v>0</v>
      </c>
      <c r="G337" s="973">
        <v>0</v>
      </c>
      <c r="H337" s="973">
        <v>0</v>
      </c>
      <c r="I337" s="973">
        <v>0</v>
      </c>
      <c r="J337" s="973">
        <v>0</v>
      </c>
      <c r="K337" s="973">
        <v>0</v>
      </c>
      <c r="L337" s="973">
        <v>0</v>
      </c>
      <c r="M337" s="973">
        <v>0</v>
      </c>
      <c r="N337" s="973">
        <v>0</v>
      </c>
      <c r="O337" s="973">
        <v>0</v>
      </c>
      <c r="P337" s="973">
        <v>0</v>
      </c>
      <c r="Q337" s="963">
        <f t="shared" si="11"/>
        <v>0</v>
      </c>
    </row>
    <row r="338" spans="2:17">
      <c r="B338" s="901" t="s">
        <v>2751</v>
      </c>
      <c r="C338" s="956" t="s">
        <v>785</v>
      </c>
      <c r="D338" s="956">
        <v>134</v>
      </c>
      <c r="E338" s="973">
        <v>0</v>
      </c>
      <c r="F338" s="973">
        <v>0</v>
      </c>
      <c r="G338" s="973">
        <v>0</v>
      </c>
      <c r="H338" s="973">
        <v>0</v>
      </c>
      <c r="I338" s="973">
        <v>0</v>
      </c>
      <c r="J338" s="973">
        <v>0</v>
      </c>
      <c r="K338" s="973">
        <v>0</v>
      </c>
      <c r="L338" s="973">
        <v>0</v>
      </c>
      <c r="M338" s="973">
        <v>0</v>
      </c>
      <c r="N338" s="973">
        <v>0</v>
      </c>
      <c r="O338" s="973">
        <v>0</v>
      </c>
      <c r="P338" s="973">
        <v>0</v>
      </c>
      <c r="Q338" s="963">
        <f t="shared" si="11"/>
        <v>0</v>
      </c>
    </row>
    <row r="339" spans="2:17">
      <c r="B339" s="901" t="s">
        <v>2451</v>
      </c>
      <c r="C339" s="956" t="s">
        <v>786</v>
      </c>
      <c r="D339" s="956">
        <v>134</v>
      </c>
      <c r="E339" s="973">
        <v>0</v>
      </c>
      <c r="F339" s="973">
        <v>0</v>
      </c>
      <c r="G339" s="973">
        <v>0</v>
      </c>
      <c r="H339" s="973">
        <v>0</v>
      </c>
      <c r="I339" s="973">
        <v>0</v>
      </c>
      <c r="J339" s="973">
        <v>0</v>
      </c>
      <c r="K339" s="973">
        <v>0</v>
      </c>
      <c r="L339" s="973">
        <v>0</v>
      </c>
      <c r="M339" s="973">
        <v>0</v>
      </c>
      <c r="N339" s="973">
        <v>0</v>
      </c>
      <c r="O339" s="973">
        <v>0</v>
      </c>
      <c r="P339" s="973">
        <v>0</v>
      </c>
      <c r="Q339" s="963">
        <f t="shared" si="11"/>
        <v>0</v>
      </c>
    </row>
    <row r="340" spans="2:17">
      <c r="B340" s="901" t="s">
        <v>2697</v>
      </c>
      <c r="C340" s="956" t="s">
        <v>787</v>
      </c>
      <c r="D340" s="956">
        <v>134</v>
      </c>
      <c r="E340" s="973">
        <v>147517.35999999999</v>
      </c>
      <c r="F340" s="973">
        <v>145147.54</v>
      </c>
      <c r="G340" s="973">
        <v>156643.24</v>
      </c>
      <c r="H340" s="973">
        <v>138611.15</v>
      </c>
      <c r="I340" s="973">
        <v>135100.62</v>
      </c>
      <c r="J340" s="973">
        <v>120157.53</v>
      </c>
      <c r="K340" s="973">
        <v>162723.11000000002</v>
      </c>
      <c r="L340" s="973">
        <v>210742.17</v>
      </c>
      <c r="M340" s="973">
        <v>220432.62</v>
      </c>
      <c r="N340" s="973">
        <v>213291.47</v>
      </c>
      <c r="O340" s="973">
        <v>122785.68000000001</v>
      </c>
      <c r="P340" s="973">
        <v>160448.82</v>
      </c>
      <c r="Q340" s="963">
        <f>-SUM(E340:P340)</f>
        <v>-1933601.3099999998</v>
      </c>
    </row>
    <row r="341" spans="2:17">
      <c r="B341" s="901" t="s">
        <v>2698</v>
      </c>
      <c r="C341" s="956" t="s">
        <v>788</v>
      </c>
      <c r="D341" s="956">
        <v>134</v>
      </c>
      <c r="E341" s="973">
        <v>145147.54</v>
      </c>
      <c r="F341" s="973">
        <v>156643.24</v>
      </c>
      <c r="G341" s="973">
        <v>138611.15</v>
      </c>
      <c r="H341" s="973">
        <v>135100.62</v>
      </c>
      <c r="I341" s="973">
        <v>120157.53</v>
      </c>
      <c r="J341" s="973">
        <v>162723.11000000002</v>
      </c>
      <c r="K341" s="973">
        <v>210742.17</v>
      </c>
      <c r="L341" s="973">
        <v>220432.62</v>
      </c>
      <c r="M341" s="973">
        <v>213291.47</v>
      </c>
      <c r="N341" s="973">
        <v>122785.68000000001</v>
      </c>
      <c r="O341" s="973">
        <v>160448.82</v>
      </c>
      <c r="P341" s="973">
        <v>216407.78</v>
      </c>
      <c r="Q341" s="963">
        <f t="shared" si="11"/>
        <v>2002491.73</v>
      </c>
    </row>
    <row r="342" spans="2:17">
      <c r="B342" s="901" t="s">
        <v>2884</v>
      </c>
      <c r="C342" s="956" t="s">
        <v>789</v>
      </c>
      <c r="D342" s="956">
        <v>134</v>
      </c>
      <c r="E342" s="973">
        <v>146527.23000000001</v>
      </c>
      <c r="F342" s="973">
        <v>157910.54999999999</v>
      </c>
      <c r="G342" s="973">
        <v>140423.63</v>
      </c>
      <c r="H342" s="973">
        <v>136057.94</v>
      </c>
      <c r="I342" s="973">
        <v>120948.37</v>
      </c>
      <c r="J342" s="973">
        <v>162841.52000000002</v>
      </c>
      <c r="K342" s="973">
        <v>212842.98</v>
      </c>
      <c r="L342" s="973">
        <v>224810.69999999998</v>
      </c>
      <c r="M342" s="973">
        <v>218129.11000000002</v>
      </c>
      <c r="N342" s="973">
        <v>127284.66000000002</v>
      </c>
      <c r="O342" s="973">
        <v>160655.63</v>
      </c>
      <c r="P342" s="973">
        <v>218194.58</v>
      </c>
      <c r="Q342" s="963">
        <f t="shared" si="11"/>
        <v>2026626.9000000004</v>
      </c>
    </row>
    <row r="343" spans="2:17">
      <c r="B343" s="964" t="s">
        <v>2673</v>
      </c>
      <c r="E343" s="973"/>
      <c r="F343" s="973"/>
      <c r="G343" s="973"/>
      <c r="H343" s="973"/>
      <c r="I343" s="973"/>
      <c r="J343" s="973"/>
      <c r="K343" s="973"/>
      <c r="L343" s="973"/>
      <c r="M343" s="973"/>
      <c r="N343" s="973"/>
      <c r="O343" s="973"/>
      <c r="P343" s="973"/>
      <c r="Q343" s="963"/>
    </row>
    <row r="344" spans="2:17">
      <c r="E344" s="973"/>
      <c r="F344" s="973"/>
      <c r="G344" s="973"/>
      <c r="H344" s="973"/>
      <c r="I344" s="973"/>
      <c r="J344" s="973"/>
      <c r="K344" s="973"/>
      <c r="L344" s="973"/>
      <c r="M344" s="973"/>
      <c r="N344" s="973"/>
      <c r="O344" s="973"/>
      <c r="P344" s="973"/>
      <c r="Q344" s="963"/>
    </row>
    <row r="345" spans="2:17">
      <c r="B345" s="960" t="s">
        <v>2942</v>
      </c>
      <c r="C345" s="956" t="s">
        <v>777</v>
      </c>
      <c r="D345" s="956">
        <v>91</v>
      </c>
      <c r="E345" s="974"/>
      <c r="F345" s="974"/>
      <c r="G345" s="974"/>
      <c r="H345" s="974"/>
      <c r="I345" s="974"/>
      <c r="J345" s="974"/>
      <c r="K345" s="974"/>
      <c r="L345" s="974"/>
      <c r="M345" s="974"/>
      <c r="N345" s="974"/>
      <c r="O345" s="974"/>
      <c r="P345" s="974"/>
      <c r="Q345" s="963"/>
    </row>
    <row r="346" spans="2:17">
      <c r="B346" s="901" t="s">
        <v>2514</v>
      </c>
      <c r="C346" s="956" t="s">
        <v>780</v>
      </c>
      <c r="D346" s="956">
        <v>91</v>
      </c>
      <c r="E346" s="973">
        <v>57483</v>
      </c>
      <c r="F346" s="973">
        <v>106086</v>
      </c>
      <c r="G346" s="973">
        <v>228696</v>
      </c>
      <c r="H346" s="973">
        <v>0</v>
      </c>
      <c r="I346" s="973">
        <v>24270</v>
      </c>
      <c r="J346" s="973">
        <v>234043</v>
      </c>
      <c r="K346" s="973">
        <v>1112893</v>
      </c>
      <c r="L346" s="973">
        <v>5050508</v>
      </c>
      <c r="M346" s="973">
        <v>9500954</v>
      </c>
      <c r="N346" s="973">
        <v>4852567</v>
      </c>
      <c r="O346" s="973">
        <v>897404</v>
      </c>
      <c r="P346" s="973">
        <v>211269</v>
      </c>
      <c r="Q346" s="963">
        <f t="shared" si="11"/>
        <v>22276173</v>
      </c>
    </row>
    <row r="347" spans="2:17">
      <c r="B347" s="901" t="s">
        <v>2915</v>
      </c>
      <c r="C347" s="956" t="s">
        <v>781</v>
      </c>
      <c r="D347" s="956">
        <v>91</v>
      </c>
      <c r="E347" s="973">
        <v>0</v>
      </c>
      <c r="F347" s="973">
        <v>0</v>
      </c>
      <c r="G347" s="973">
        <v>0</v>
      </c>
      <c r="H347" s="973">
        <v>0</v>
      </c>
      <c r="I347" s="973">
        <v>0</v>
      </c>
      <c r="J347" s="973">
        <v>0</v>
      </c>
      <c r="K347" s="973">
        <v>0</v>
      </c>
      <c r="L347" s="973">
        <v>0</v>
      </c>
      <c r="M347" s="973">
        <v>0</v>
      </c>
      <c r="N347" s="973">
        <v>0</v>
      </c>
      <c r="O347" s="973">
        <v>0</v>
      </c>
      <c r="P347" s="973">
        <v>0</v>
      </c>
      <c r="Q347" s="963">
        <f t="shared" si="11"/>
        <v>0</v>
      </c>
    </row>
    <row r="348" spans="2:17">
      <c r="B348" s="901" t="s">
        <v>2916</v>
      </c>
      <c r="C348" s="956" t="s">
        <v>782</v>
      </c>
      <c r="D348" s="956">
        <v>91</v>
      </c>
      <c r="E348" s="973">
        <v>0</v>
      </c>
      <c r="F348" s="973">
        <v>0</v>
      </c>
      <c r="G348" s="973">
        <v>0</v>
      </c>
      <c r="H348" s="973">
        <v>0</v>
      </c>
      <c r="I348" s="973">
        <v>0</v>
      </c>
      <c r="J348" s="973">
        <v>0</v>
      </c>
      <c r="K348" s="973">
        <v>0</v>
      </c>
      <c r="L348" s="973">
        <v>0</v>
      </c>
      <c r="M348" s="973">
        <v>0</v>
      </c>
      <c r="N348" s="973">
        <v>0</v>
      </c>
      <c r="O348" s="973">
        <v>0</v>
      </c>
      <c r="P348" s="973">
        <v>0</v>
      </c>
      <c r="Q348" s="963">
        <f t="shared" si="11"/>
        <v>0</v>
      </c>
    </row>
    <row r="349" spans="2:17">
      <c r="B349" s="901" t="s">
        <v>2917</v>
      </c>
      <c r="C349" s="956" t="s">
        <v>787</v>
      </c>
      <c r="D349" s="956">
        <v>91</v>
      </c>
      <c r="E349" s="973">
        <v>57483</v>
      </c>
      <c r="F349" s="973">
        <v>106086</v>
      </c>
      <c r="G349" s="973">
        <v>228696</v>
      </c>
      <c r="H349" s="973">
        <v>0</v>
      </c>
      <c r="I349" s="973">
        <v>24270</v>
      </c>
      <c r="J349" s="973">
        <v>234043</v>
      </c>
      <c r="K349" s="973">
        <v>1112893</v>
      </c>
      <c r="L349" s="973">
        <v>5050508</v>
      </c>
      <c r="M349" s="973">
        <v>9500954</v>
      </c>
      <c r="N349" s="973">
        <v>4852567</v>
      </c>
      <c r="O349" s="973">
        <v>897404</v>
      </c>
      <c r="P349" s="973">
        <v>211269</v>
      </c>
      <c r="Q349" s="963">
        <f>-SUM(E349:P349)</f>
        <v>-22276173</v>
      </c>
    </row>
    <row r="350" spans="2:17">
      <c r="B350" s="901" t="s">
        <v>2918</v>
      </c>
      <c r="C350" s="956" t="s">
        <v>788</v>
      </c>
      <c r="D350" s="956">
        <v>91</v>
      </c>
      <c r="E350" s="973">
        <v>106086</v>
      </c>
      <c r="F350" s="973">
        <v>228696</v>
      </c>
      <c r="G350" s="973">
        <v>0</v>
      </c>
      <c r="H350" s="973">
        <v>24270</v>
      </c>
      <c r="I350" s="973">
        <v>234043</v>
      </c>
      <c r="J350" s="973">
        <v>1112893</v>
      </c>
      <c r="K350" s="973">
        <v>5050508</v>
      </c>
      <c r="L350" s="973">
        <v>9500954</v>
      </c>
      <c r="M350" s="973">
        <v>4852567</v>
      </c>
      <c r="N350" s="973">
        <v>897404</v>
      </c>
      <c r="O350" s="973">
        <v>211269</v>
      </c>
      <c r="P350" s="973">
        <v>1297588</v>
      </c>
      <c r="Q350" s="963">
        <f t="shared" si="11"/>
        <v>23516278</v>
      </c>
    </row>
    <row r="351" spans="2:17">
      <c r="B351" s="901" t="s">
        <v>2886</v>
      </c>
      <c r="C351" s="956" t="s">
        <v>789</v>
      </c>
      <c r="D351" s="956">
        <v>91</v>
      </c>
      <c r="E351" s="973">
        <v>106086</v>
      </c>
      <c r="F351" s="973">
        <v>228696</v>
      </c>
      <c r="G351" s="973">
        <v>0</v>
      </c>
      <c r="H351" s="973">
        <v>24270</v>
      </c>
      <c r="I351" s="973">
        <v>234043</v>
      </c>
      <c r="J351" s="973">
        <v>1112893</v>
      </c>
      <c r="K351" s="973">
        <v>5050508</v>
      </c>
      <c r="L351" s="973">
        <v>9500954</v>
      </c>
      <c r="M351" s="973">
        <v>4852567</v>
      </c>
      <c r="N351" s="973">
        <v>897404</v>
      </c>
      <c r="O351" s="973">
        <v>211269</v>
      </c>
      <c r="P351" s="973">
        <v>1297588</v>
      </c>
      <c r="Q351" s="963">
        <f t="shared" si="11"/>
        <v>23516278</v>
      </c>
    </row>
    <row r="352" spans="2:17">
      <c r="B352" s="964" t="s">
        <v>2673</v>
      </c>
      <c r="E352" s="973"/>
      <c r="F352" s="973"/>
      <c r="G352" s="973"/>
      <c r="H352" s="973"/>
      <c r="I352" s="973"/>
      <c r="J352" s="973"/>
      <c r="K352" s="973"/>
      <c r="L352" s="973"/>
      <c r="M352" s="973"/>
      <c r="N352" s="973"/>
      <c r="O352" s="973"/>
      <c r="P352" s="973"/>
      <c r="Q352" s="963">
        <f t="shared" si="11"/>
        <v>0</v>
      </c>
    </row>
    <row r="353" spans="2:17">
      <c r="B353" s="901" t="s">
        <v>2919</v>
      </c>
      <c r="C353" s="956" t="s">
        <v>780</v>
      </c>
      <c r="D353" s="956">
        <v>135</v>
      </c>
      <c r="E353" s="973">
        <v>126255.93</v>
      </c>
      <c r="F353" s="973">
        <v>126379.53</v>
      </c>
      <c r="G353" s="973">
        <v>126752.93</v>
      </c>
      <c r="H353" s="973">
        <v>126113.88</v>
      </c>
      <c r="I353" s="973">
        <v>126173.84</v>
      </c>
      <c r="J353" s="973">
        <v>126769.22</v>
      </c>
      <c r="K353" s="973">
        <v>128191.42</v>
      </c>
      <c r="L353" s="973">
        <v>140009.25</v>
      </c>
      <c r="M353" s="973">
        <v>156537.38</v>
      </c>
      <c r="N353" s="973">
        <v>139274.14000000001</v>
      </c>
      <c r="O353" s="973">
        <v>125221.32</v>
      </c>
      <c r="P353" s="973">
        <v>124294.75</v>
      </c>
      <c r="Q353" s="963">
        <f t="shared" si="11"/>
        <v>1571973.59</v>
      </c>
    </row>
    <row r="354" spans="2:17">
      <c r="B354" s="901" t="s">
        <v>2920</v>
      </c>
      <c r="C354" s="956" t="s">
        <v>781</v>
      </c>
      <c r="D354" s="956">
        <v>135</v>
      </c>
      <c r="E354" s="973">
        <v>0</v>
      </c>
      <c r="F354" s="973">
        <v>0</v>
      </c>
      <c r="G354" s="973">
        <v>0</v>
      </c>
      <c r="H354" s="973">
        <v>0</v>
      </c>
      <c r="I354" s="973">
        <v>0</v>
      </c>
      <c r="J354" s="973">
        <v>0</v>
      </c>
      <c r="K354" s="973">
        <v>0</v>
      </c>
      <c r="L354" s="973">
        <v>0</v>
      </c>
      <c r="M354" s="973">
        <v>0</v>
      </c>
      <c r="N354" s="973">
        <v>0</v>
      </c>
      <c r="O354" s="973">
        <v>0</v>
      </c>
      <c r="P354" s="973">
        <v>0</v>
      </c>
      <c r="Q354" s="963">
        <f t="shared" si="11"/>
        <v>0</v>
      </c>
    </row>
    <row r="355" spans="2:17">
      <c r="B355" s="901" t="s">
        <v>2921</v>
      </c>
      <c r="C355" s="956" t="s">
        <v>782</v>
      </c>
      <c r="D355" s="956">
        <v>135</v>
      </c>
      <c r="E355" s="973">
        <v>0</v>
      </c>
      <c r="F355" s="973">
        <v>0</v>
      </c>
      <c r="G355" s="973">
        <v>0</v>
      </c>
      <c r="H355" s="973">
        <v>0</v>
      </c>
      <c r="I355" s="973">
        <v>0</v>
      </c>
      <c r="J355" s="973">
        <v>0</v>
      </c>
      <c r="K355" s="973">
        <v>0</v>
      </c>
      <c r="L355" s="973">
        <v>0</v>
      </c>
      <c r="M355" s="973">
        <v>0</v>
      </c>
      <c r="N355" s="973">
        <v>0</v>
      </c>
      <c r="O355" s="973">
        <v>0</v>
      </c>
      <c r="P355" s="973">
        <v>0</v>
      </c>
      <c r="Q355" s="963">
        <f t="shared" si="11"/>
        <v>0</v>
      </c>
    </row>
    <row r="356" spans="2:17">
      <c r="B356" s="901" t="s">
        <v>2922</v>
      </c>
      <c r="C356" s="956" t="s">
        <v>783</v>
      </c>
      <c r="D356" s="956">
        <v>135</v>
      </c>
      <c r="E356" s="973">
        <v>0</v>
      </c>
      <c r="F356" s="973">
        <v>0</v>
      </c>
      <c r="G356" s="973">
        <v>0</v>
      </c>
      <c r="H356" s="973">
        <v>0</v>
      </c>
      <c r="I356" s="973">
        <v>0</v>
      </c>
      <c r="J356" s="973">
        <v>0</v>
      </c>
      <c r="K356" s="973">
        <v>0</v>
      </c>
      <c r="L356" s="973">
        <v>0</v>
      </c>
      <c r="M356" s="973">
        <v>0</v>
      </c>
      <c r="N356" s="973">
        <v>0</v>
      </c>
      <c r="O356" s="973">
        <v>0</v>
      </c>
      <c r="P356" s="973">
        <v>0</v>
      </c>
      <c r="Q356" s="963">
        <f t="shared" si="11"/>
        <v>0</v>
      </c>
    </row>
    <row r="357" spans="2:17">
      <c r="B357" s="901" t="s">
        <v>2750</v>
      </c>
      <c r="C357" s="956" t="s">
        <v>784</v>
      </c>
      <c r="D357" s="956">
        <v>135</v>
      </c>
      <c r="E357" s="973">
        <v>0</v>
      </c>
      <c r="F357" s="973">
        <v>0</v>
      </c>
      <c r="G357" s="973">
        <v>0</v>
      </c>
      <c r="H357" s="973">
        <v>0</v>
      </c>
      <c r="I357" s="973">
        <v>0</v>
      </c>
      <c r="J357" s="973">
        <v>0</v>
      </c>
      <c r="K357" s="973">
        <v>0</v>
      </c>
      <c r="L357" s="973">
        <v>0</v>
      </c>
      <c r="M357" s="973">
        <v>0</v>
      </c>
      <c r="N357" s="973">
        <v>0</v>
      </c>
      <c r="O357" s="973">
        <v>0</v>
      </c>
      <c r="P357" s="973">
        <v>0</v>
      </c>
      <c r="Q357" s="963">
        <f t="shared" si="11"/>
        <v>0</v>
      </c>
    </row>
    <row r="358" spans="2:17">
      <c r="B358" s="901" t="s">
        <v>2751</v>
      </c>
      <c r="C358" s="956" t="s">
        <v>785</v>
      </c>
      <c r="D358" s="956">
        <v>135</v>
      </c>
      <c r="E358" s="973">
        <v>0</v>
      </c>
      <c r="F358" s="973">
        <v>0</v>
      </c>
      <c r="G358" s="973">
        <v>0</v>
      </c>
      <c r="H358" s="973">
        <v>0</v>
      </c>
      <c r="I358" s="973">
        <v>0</v>
      </c>
      <c r="J358" s="973">
        <v>0</v>
      </c>
      <c r="K358" s="973">
        <v>0</v>
      </c>
      <c r="L358" s="973">
        <v>0</v>
      </c>
      <c r="M358" s="973">
        <v>0</v>
      </c>
      <c r="N358" s="973">
        <v>0</v>
      </c>
      <c r="O358" s="973">
        <v>0</v>
      </c>
      <c r="P358" s="973">
        <v>0</v>
      </c>
      <c r="Q358" s="963">
        <f t="shared" si="11"/>
        <v>0</v>
      </c>
    </row>
    <row r="359" spans="2:17">
      <c r="B359" s="901" t="s">
        <v>2451</v>
      </c>
      <c r="C359" s="956" t="s">
        <v>786</v>
      </c>
      <c r="D359" s="956">
        <v>135</v>
      </c>
      <c r="E359" s="973">
        <v>0</v>
      </c>
      <c r="F359" s="973">
        <v>0</v>
      </c>
      <c r="G359" s="973">
        <v>0</v>
      </c>
      <c r="H359" s="973">
        <v>0</v>
      </c>
      <c r="I359" s="973">
        <v>0</v>
      </c>
      <c r="J359" s="973">
        <v>0</v>
      </c>
      <c r="K359" s="973">
        <v>0</v>
      </c>
      <c r="L359" s="973">
        <v>0</v>
      </c>
      <c r="M359" s="973">
        <v>0</v>
      </c>
      <c r="N359" s="973">
        <v>0</v>
      </c>
      <c r="O359" s="973">
        <v>0</v>
      </c>
      <c r="P359" s="973">
        <v>0</v>
      </c>
      <c r="Q359" s="963">
        <f t="shared" si="11"/>
        <v>0</v>
      </c>
    </row>
    <row r="360" spans="2:17">
      <c r="B360" s="901" t="s">
        <v>2697</v>
      </c>
      <c r="C360" s="956" t="s">
        <v>787</v>
      </c>
      <c r="D360" s="956">
        <v>135</v>
      </c>
      <c r="E360" s="973">
        <v>126238.10999999999</v>
      </c>
      <c r="F360" s="973">
        <v>126346.64</v>
      </c>
      <c r="G360" s="973">
        <v>126682.03</v>
      </c>
      <c r="H360" s="973">
        <v>126113.88</v>
      </c>
      <c r="I360" s="973">
        <v>126166.31999999999</v>
      </c>
      <c r="J360" s="973">
        <v>126696.67</v>
      </c>
      <c r="K360" s="973">
        <v>127846.42</v>
      </c>
      <c r="L360" s="973">
        <v>138443.59</v>
      </c>
      <c r="M360" s="973">
        <v>153592.08000000002</v>
      </c>
      <c r="N360" s="973">
        <v>137769.84000000003</v>
      </c>
      <c r="O360" s="973">
        <v>124943.12000000001</v>
      </c>
      <c r="P360" s="973">
        <v>124231.37</v>
      </c>
      <c r="Q360" s="963">
        <f>-SUM(E360:P360)</f>
        <v>-1565070.0700000003</v>
      </c>
    </row>
    <row r="361" spans="2:17">
      <c r="B361" s="901" t="s">
        <v>2698</v>
      </c>
      <c r="C361" s="956" t="s">
        <v>788</v>
      </c>
      <c r="D361" s="956">
        <v>135</v>
      </c>
      <c r="E361" s="973">
        <v>126346.64</v>
      </c>
      <c r="F361" s="973">
        <v>126682.03</v>
      </c>
      <c r="G361" s="973">
        <v>126113.88</v>
      </c>
      <c r="H361" s="973">
        <v>126166.31999999999</v>
      </c>
      <c r="I361" s="973">
        <v>126696.67</v>
      </c>
      <c r="J361" s="973">
        <v>127846.42</v>
      </c>
      <c r="K361" s="973">
        <v>138443.59</v>
      </c>
      <c r="L361" s="973">
        <v>153592.08000000002</v>
      </c>
      <c r="M361" s="973">
        <v>137769.84000000003</v>
      </c>
      <c r="N361" s="973">
        <v>124943.12000000001</v>
      </c>
      <c r="O361" s="973">
        <v>124231.37</v>
      </c>
      <c r="P361" s="973">
        <v>126346.56</v>
      </c>
      <c r="Q361" s="963">
        <f t="shared" si="11"/>
        <v>1565178.5200000005</v>
      </c>
    </row>
    <row r="362" spans="2:17">
      <c r="B362" s="901" t="s">
        <v>2884</v>
      </c>
      <c r="C362" s="956" t="s">
        <v>789</v>
      </c>
      <c r="D362" s="956">
        <v>135</v>
      </c>
      <c r="E362" s="973">
        <v>126364.46</v>
      </c>
      <c r="F362" s="973">
        <v>126714.92</v>
      </c>
      <c r="G362" s="973">
        <v>126184.78</v>
      </c>
      <c r="H362" s="973">
        <v>126166.31999999999</v>
      </c>
      <c r="I362" s="973">
        <v>126704.19</v>
      </c>
      <c r="J362" s="973">
        <v>127918.97</v>
      </c>
      <c r="K362" s="973">
        <v>138788.59</v>
      </c>
      <c r="L362" s="973">
        <v>155157.74000000002</v>
      </c>
      <c r="M362" s="973">
        <v>140715.14000000001</v>
      </c>
      <c r="N362" s="973">
        <v>126447.42</v>
      </c>
      <c r="O362" s="973">
        <v>124509.56999999999</v>
      </c>
      <c r="P362" s="973">
        <v>126409.94</v>
      </c>
      <c r="Q362" s="963">
        <f t="shared" si="11"/>
        <v>1572082.0399999998</v>
      </c>
    </row>
    <row r="363" spans="2:17">
      <c r="B363" s="964" t="s">
        <v>2673</v>
      </c>
      <c r="E363" s="973"/>
      <c r="F363" s="973"/>
      <c r="G363" s="973"/>
      <c r="H363" s="973"/>
      <c r="I363" s="973"/>
      <c r="J363" s="973"/>
      <c r="K363" s="973"/>
      <c r="L363" s="973"/>
      <c r="M363" s="973"/>
      <c r="N363" s="973"/>
      <c r="O363" s="973"/>
      <c r="P363" s="973"/>
      <c r="Q363" s="963"/>
    </row>
    <row r="364" spans="2:17">
      <c r="E364" s="973"/>
      <c r="F364" s="973"/>
      <c r="G364" s="973"/>
      <c r="H364" s="973"/>
      <c r="I364" s="973"/>
      <c r="J364" s="973"/>
      <c r="K364" s="973"/>
      <c r="L364" s="973"/>
      <c r="M364" s="973"/>
      <c r="N364" s="973"/>
      <c r="O364" s="973"/>
      <c r="P364" s="973"/>
      <c r="Q364" s="963"/>
    </row>
    <row r="365" spans="2:17">
      <c r="B365" s="960" t="s">
        <v>2943</v>
      </c>
      <c r="C365" s="956" t="s">
        <v>777</v>
      </c>
      <c r="D365" s="956">
        <v>92</v>
      </c>
      <c r="E365" s="973"/>
      <c r="F365" s="973"/>
      <c r="G365" s="973"/>
      <c r="H365" s="973"/>
      <c r="I365" s="973"/>
      <c r="J365" s="973"/>
      <c r="K365" s="973"/>
      <c r="L365" s="973"/>
      <c r="M365" s="973"/>
      <c r="N365" s="973"/>
      <c r="O365" s="973"/>
      <c r="P365" s="973"/>
      <c r="Q365" s="963"/>
    </row>
    <row r="366" spans="2:17">
      <c r="B366" s="901" t="s">
        <v>2514</v>
      </c>
      <c r="C366" s="956" t="s">
        <v>780</v>
      </c>
      <c r="D366" s="956">
        <v>92</v>
      </c>
      <c r="E366" s="973">
        <v>7824829</v>
      </c>
      <c r="F366" s="973">
        <v>7679533</v>
      </c>
      <c r="G366" s="973">
        <v>7686555</v>
      </c>
      <c r="H366" s="973">
        <v>9312929</v>
      </c>
      <c r="I366" s="973">
        <v>8371884</v>
      </c>
      <c r="J366" s="973">
        <v>5401237</v>
      </c>
      <c r="K366" s="973">
        <v>5673695</v>
      </c>
      <c r="L366" s="973">
        <v>6186256</v>
      </c>
      <c r="M366" s="973">
        <v>6575658</v>
      </c>
      <c r="N366" s="973">
        <v>6543518</v>
      </c>
      <c r="O366" s="973">
        <v>7985929</v>
      </c>
      <c r="P366" s="973">
        <v>7351963</v>
      </c>
      <c r="Q366" s="963">
        <f t="shared" si="11"/>
        <v>86593986</v>
      </c>
    </row>
    <row r="367" spans="2:17">
      <c r="B367" s="901" t="s">
        <v>2915</v>
      </c>
      <c r="C367" s="956" t="s">
        <v>781</v>
      </c>
      <c r="D367" s="956">
        <v>92</v>
      </c>
      <c r="E367" s="973">
        <v>0</v>
      </c>
      <c r="F367" s="973">
        <v>0</v>
      </c>
      <c r="G367" s="973">
        <v>0</v>
      </c>
      <c r="H367" s="973">
        <v>0</v>
      </c>
      <c r="I367" s="973">
        <v>0</v>
      </c>
      <c r="J367" s="973">
        <v>0</v>
      </c>
      <c r="K367" s="973">
        <v>0</v>
      </c>
      <c r="L367" s="973">
        <v>0</v>
      </c>
      <c r="M367" s="973">
        <v>0</v>
      </c>
      <c r="N367" s="973">
        <v>0</v>
      </c>
      <c r="O367" s="973">
        <v>0</v>
      </c>
      <c r="P367" s="973">
        <v>0</v>
      </c>
      <c r="Q367" s="963">
        <f t="shared" si="11"/>
        <v>0</v>
      </c>
    </row>
    <row r="368" spans="2:17">
      <c r="B368" s="901" t="s">
        <v>2916</v>
      </c>
      <c r="C368" s="956" t="s">
        <v>782</v>
      </c>
      <c r="D368" s="956">
        <v>92</v>
      </c>
      <c r="E368" s="973">
        <v>0</v>
      </c>
      <c r="F368" s="973">
        <v>0</v>
      </c>
      <c r="G368" s="973">
        <v>0</v>
      </c>
      <c r="H368" s="973">
        <v>0</v>
      </c>
      <c r="I368" s="973">
        <v>0</v>
      </c>
      <c r="J368" s="973">
        <v>0</v>
      </c>
      <c r="K368" s="973">
        <v>0</v>
      </c>
      <c r="L368" s="973">
        <v>0</v>
      </c>
      <c r="M368" s="973">
        <v>0</v>
      </c>
      <c r="N368" s="973">
        <v>0</v>
      </c>
      <c r="O368" s="973">
        <v>0</v>
      </c>
      <c r="P368" s="973">
        <v>0</v>
      </c>
      <c r="Q368" s="963">
        <f t="shared" si="11"/>
        <v>0</v>
      </c>
    </row>
    <row r="369" spans="2:17">
      <c r="B369" s="901" t="s">
        <v>2917</v>
      </c>
      <c r="C369" s="956" t="s">
        <v>787</v>
      </c>
      <c r="D369" s="956">
        <v>92</v>
      </c>
      <c r="E369" s="973">
        <v>7824829</v>
      </c>
      <c r="F369" s="973">
        <v>7679533</v>
      </c>
      <c r="G369" s="973">
        <v>7686555</v>
      </c>
      <c r="H369" s="973">
        <v>9312929</v>
      </c>
      <c r="I369" s="973">
        <v>8371884</v>
      </c>
      <c r="J369" s="973">
        <v>5401237</v>
      </c>
      <c r="K369" s="973">
        <v>5673695</v>
      </c>
      <c r="L369" s="973">
        <v>6186256</v>
      </c>
      <c r="M369" s="973">
        <v>6575658</v>
      </c>
      <c r="N369" s="973">
        <v>6543518</v>
      </c>
      <c r="O369" s="973">
        <v>7985929</v>
      </c>
      <c r="P369" s="973">
        <v>7351963</v>
      </c>
      <c r="Q369" s="963">
        <f t="shared" si="11"/>
        <v>86593986</v>
      </c>
    </row>
    <row r="370" spans="2:17">
      <c r="B370" s="901" t="s">
        <v>2918</v>
      </c>
      <c r="C370" s="956" t="s">
        <v>788</v>
      </c>
      <c r="D370" s="956">
        <v>92</v>
      </c>
      <c r="E370" s="973">
        <v>7679533</v>
      </c>
      <c r="F370" s="973">
        <v>7686555</v>
      </c>
      <c r="G370" s="973">
        <v>9312929</v>
      </c>
      <c r="H370" s="973">
        <v>8371884</v>
      </c>
      <c r="I370" s="973">
        <v>5401237</v>
      </c>
      <c r="J370" s="973">
        <v>5673695</v>
      </c>
      <c r="K370" s="973">
        <v>6186256</v>
      </c>
      <c r="L370" s="973">
        <v>6575658</v>
      </c>
      <c r="M370" s="973">
        <v>6543518</v>
      </c>
      <c r="N370" s="973">
        <v>7985929</v>
      </c>
      <c r="O370" s="973">
        <v>7351963</v>
      </c>
      <c r="P370" s="973">
        <v>7386486</v>
      </c>
      <c r="Q370" s="963">
        <f t="shared" ref="Q370:Q422" si="12">SUM(E370:P370)</f>
        <v>86155643</v>
      </c>
    </row>
    <row r="371" spans="2:17">
      <c r="B371" s="901" t="s">
        <v>2886</v>
      </c>
      <c r="C371" s="956" t="s">
        <v>789</v>
      </c>
      <c r="D371" s="956">
        <v>92</v>
      </c>
      <c r="E371" s="973">
        <v>7679533</v>
      </c>
      <c r="F371" s="973">
        <v>7686555</v>
      </c>
      <c r="G371" s="973">
        <v>9312929</v>
      </c>
      <c r="H371" s="973">
        <v>8371884</v>
      </c>
      <c r="I371" s="973">
        <v>5401237</v>
      </c>
      <c r="J371" s="973">
        <v>5673695</v>
      </c>
      <c r="K371" s="973">
        <v>6186256</v>
      </c>
      <c r="L371" s="973">
        <v>6575658</v>
      </c>
      <c r="M371" s="973">
        <v>6543518</v>
      </c>
      <c r="N371" s="973">
        <v>7985929</v>
      </c>
      <c r="O371" s="973">
        <v>7351963</v>
      </c>
      <c r="P371" s="973">
        <v>7386486</v>
      </c>
      <c r="Q371" s="963">
        <f t="shared" si="12"/>
        <v>86155643</v>
      </c>
    </row>
    <row r="372" spans="2:17">
      <c r="B372" s="964" t="s">
        <v>2673</v>
      </c>
      <c r="E372" s="973"/>
      <c r="F372" s="973"/>
      <c r="G372" s="973"/>
      <c r="H372" s="973"/>
      <c r="I372" s="973"/>
      <c r="J372" s="973"/>
      <c r="K372" s="973"/>
      <c r="L372" s="973"/>
      <c r="M372" s="973"/>
      <c r="N372" s="973"/>
      <c r="O372" s="973"/>
      <c r="P372" s="973"/>
      <c r="Q372" s="963">
        <f t="shared" si="12"/>
        <v>0</v>
      </c>
    </row>
    <row r="373" spans="2:17">
      <c r="B373" s="901" t="s">
        <v>2919</v>
      </c>
      <c r="C373" s="956" t="s">
        <v>780</v>
      </c>
      <c r="D373" s="956">
        <v>136</v>
      </c>
      <c r="E373" s="973">
        <v>147952.37</v>
      </c>
      <c r="F373" s="973">
        <v>145614.13</v>
      </c>
      <c r="G373" s="973">
        <v>145727.13</v>
      </c>
      <c r="H373" s="973">
        <v>171900.25</v>
      </c>
      <c r="I373" s="973">
        <v>156756.07999999999</v>
      </c>
      <c r="J373" s="973">
        <v>108949.69</v>
      </c>
      <c r="K373" s="973">
        <v>113334.34</v>
      </c>
      <c r="L373" s="973">
        <v>121582.94</v>
      </c>
      <c r="M373" s="973">
        <v>129094.04</v>
      </c>
      <c r="N373" s="973">
        <v>128571.78</v>
      </c>
      <c r="O373" s="973">
        <v>152010.48000000001</v>
      </c>
      <c r="P373" s="973">
        <v>141708.75</v>
      </c>
      <c r="Q373" s="963">
        <f t="shared" si="12"/>
        <v>1663201.98</v>
      </c>
    </row>
    <row r="374" spans="2:17">
      <c r="B374" s="901" t="s">
        <v>2920</v>
      </c>
      <c r="C374" s="956" t="s">
        <v>781</v>
      </c>
      <c r="D374" s="956">
        <v>136</v>
      </c>
      <c r="E374" s="973">
        <v>0</v>
      </c>
      <c r="F374" s="973">
        <v>0</v>
      </c>
      <c r="G374" s="973">
        <v>0</v>
      </c>
      <c r="H374" s="973">
        <v>0</v>
      </c>
      <c r="I374" s="973">
        <v>0</v>
      </c>
      <c r="J374" s="973">
        <v>0</v>
      </c>
      <c r="K374" s="973">
        <v>0</v>
      </c>
      <c r="L374" s="973">
        <v>0</v>
      </c>
      <c r="M374" s="973">
        <v>0</v>
      </c>
      <c r="N374" s="973">
        <v>0</v>
      </c>
      <c r="O374" s="973">
        <v>0</v>
      </c>
      <c r="P374" s="973">
        <v>0</v>
      </c>
      <c r="Q374" s="963">
        <f t="shared" si="12"/>
        <v>0</v>
      </c>
    </row>
    <row r="375" spans="2:17">
      <c r="B375" s="901" t="s">
        <v>2921</v>
      </c>
      <c r="C375" s="956" t="s">
        <v>782</v>
      </c>
      <c r="D375" s="956">
        <v>136</v>
      </c>
      <c r="E375" s="973">
        <v>0</v>
      </c>
      <c r="F375" s="973">
        <v>0</v>
      </c>
      <c r="G375" s="973">
        <v>0</v>
      </c>
      <c r="H375" s="973">
        <v>0</v>
      </c>
      <c r="I375" s="973">
        <v>0</v>
      </c>
      <c r="J375" s="973">
        <v>0</v>
      </c>
      <c r="K375" s="973">
        <v>0</v>
      </c>
      <c r="L375" s="973">
        <v>0</v>
      </c>
      <c r="M375" s="973">
        <v>0</v>
      </c>
      <c r="N375" s="973">
        <v>0</v>
      </c>
      <c r="O375" s="973">
        <v>0</v>
      </c>
      <c r="P375" s="973">
        <v>0</v>
      </c>
      <c r="Q375" s="963">
        <f t="shared" si="12"/>
        <v>0</v>
      </c>
    </row>
    <row r="376" spans="2:17">
      <c r="B376" s="901" t="s">
        <v>2922</v>
      </c>
      <c r="C376" s="956" t="s">
        <v>783</v>
      </c>
      <c r="D376" s="956">
        <v>136</v>
      </c>
      <c r="E376" s="973">
        <v>0</v>
      </c>
      <c r="F376" s="973">
        <v>0</v>
      </c>
      <c r="G376" s="973">
        <v>0</v>
      </c>
      <c r="H376" s="973">
        <v>0</v>
      </c>
      <c r="I376" s="973">
        <v>0</v>
      </c>
      <c r="J376" s="973">
        <v>0</v>
      </c>
      <c r="K376" s="973">
        <v>0</v>
      </c>
      <c r="L376" s="973">
        <v>0</v>
      </c>
      <c r="M376" s="973">
        <v>0</v>
      </c>
      <c r="N376" s="973">
        <v>0</v>
      </c>
      <c r="O376" s="973">
        <v>0</v>
      </c>
      <c r="P376" s="973">
        <v>0</v>
      </c>
      <c r="Q376" s="963">
        <f t="shared" si="12"/>
        <v>0</v>
      </c>
    </row>
    <row r="377" spans="2:17">
      <c r="B377" s="901" t="s">
        <v>2750</v>
      </c>
      <c r="C377" s="956" t="s">
        <v>784</v>
      </c>
      <c r="D377" s="956">
        <v>136</v>
      </c>
      <c r="E377" s="973">
        <v>0</v>
      </c>
      <c r="F377" s="973">
        <v>0</v>
      </c>
      <c r="G377" s="973">
        <v>0</v>
      </c>
      <c r="H377" s="973">
        <v>0</v>
      </c>
      <c r="I377" s="973">
        <v>0</v>
      </c>
      <c r="J377" s="973">
        <v>0</v>
      </c>
      <c r="K377" s="973">
        <v>0</v>
      </c>
      <c r="L377" s="973">
        <v>0</v>
      </c>
      <c r="M377" s="973">
        <v>0</v>
      </c>
      <c r="N377" s="973">
        <v>0</v>
      </c>
      <c r="O377" s="973">
        <v>0</v>
      </c>
      <c r="P377" s="973">
        <v>0</v>
      </c>
      <c r="Q377" s="963">
        <f t="shared" si="12"/>
        <v>0</v>
      </c>
    </row>
    <row r="378" spans="2:17">
      <c r="B378" s="901" t="s">
        <v>2751</v>
      </c>
      <c r="C378" s="956" t="s">
        <v>785</v>
      </c>
      <c r="D378" s="956">
        <v>136</v>
      </c>
      <c r="E378" s="973">
        <v>0</v>
      </c>
      <c r="F378" s="973">
        <v>0</v>
      </c>
      <c r="G378" s="973">
        <v>0</v>
      </c>
      <c r="H378" s="973">
        <v>0</v>
      </c>
      <c r="I378" s="973">
        <v>0</v>
      </c>
      <c r="J378" s="973">
        <v>0</v>
      </c>
      <c r="K378" s="973">
        <v>0</v>
      </c>
      <c r="L378" s="973">
        <v>0</v>
      </c>
      <c r="M378" s="973">
        <v>0</v>
      </c>
      <c r="N378" s="973">
        <v>0</v>
      </c>
      <c r="O378" s="973">
        <v>0</v>
      </c>
      <c r="P378" s="973">
        <v>0</v>
      </c>
      <c r="Q378" s="963">
        <f t="shared" si="12"/>
        <v>0</v>
      </c>
    </row>
    <row r="379" spans="2:17">
      <c r="B379" s="901" t="s">
        <v>2451</v>
      </c>
      <c r="C379" s="956" t="s">
        <v>786</v>
      </c>
      <c r="D379" s="956">
        <v>136</v>
      </c>
      <c r="E379" s="973">
        <v>0</v>
      </c>
      <c r="F379" s="973">
        <v>0</v>
      </c>
      <c r="G379" s="973">
        <v>0</v>
      </c>
      <c r="H379" s="973">
        <v>0</v>
      </c>
      <c r="I379" s="973">
        <v>0</v>
      </c>
      <c r="J379" s="973">
        <v>0</v>
      </c>
      <c r="K379" s="973">
        <v>0</v>
      </c>
      <c r="L379" s="973">
        <v>0</v>
      </c>
      <c r="M379" s="973">
        <v>0</v>
      </c>
      <c r="N379" s="973">
        <v>0</v>
      </c>
      <c r="O379" s="973">
        <v>0</v>
      </c>
      <c r="P379" s="973">
        <v>0</v>
      </c>
      <c r="Q379" s="963">
        <f t="shared" si="12"/>
        <v>0</v>
      </c>
    </row>
    <row r="380" spans="2:17">
      <c r="B380" s="901" t="s">
        <v>2697</v>
      </c>
      <c r="C380" s="956" t="s">
        <v>787</v>
      </c>
      <c r="D380" s="956">
        <v>136</v>
      </c>
      <c r="E380" s="973">
        <v>147952.37</v>
      </c>
      <c r="F380" s="973">
        <v>145614.13</v>
      </c>
      <c r="G380" s="973">
        <v>145727.13</v>
      </c>
      <c r="H380" s="973">
        <v>171900.25</v>
      </c>
      <c r="I380" s="973">
        <v>156756.07999999999</v>
      </c>
      <c r="J380" s="973">
        <v>108949.69</v>
      </c>
      <c r="K380" s="973">
        <v>113334.34</v>
      </c>
      <c r="L380" s="973">
        <v>121582.94</v>
      </c>
      <c r="M380" s="973">
        <v>129094.04</v>
      </c>
      <c r="N380" s="973">
        <v>128571.78</v>
      </c>
      <c r="O380" s="973">
        <v>152010.48000000001</v>
      </c>
      <c r="P380" s="973">
        <v>141708.75</v>
      </c>
      <c r="Q380" s="963">
        <f>-SUM(E380:P380)</f>
        <v>-1663201.98</v>
      </c>
    </row>
    <row r="381" spans="2:17">
      <c r="B381" s="901" t="s">
        <v>2698</v>
      </c>
      <c r="C381" s="956" t="s">
        <v>788</v>
      </c>
      <c r="D381" s="956">
        <v>136</v>
      </c>
      <c r="E381" s="973">
        <v>145614.13</v>
      </c>
      <c r="F381" s="973">
        <v>145727.13</v>
      </c>
      <c r="G381" s="973">
        <v>171900.25</v>
      </c>
      <c r="H381" s="973">
        <v>156756.07999999999</v>
      </c>
      <c r="I381" s="973">
        <v>108949.69</v>
      </c>
      <c r="J381" s="973">
        <v>113334.34</v>
      </c>
      <c r="K381" s="973">
        <v>121582.94</v>
      </c>
      <c r="L381" s="973">
        <v>129094.04</v>
      </c>
      <c r="M381" s="973">
        <v>128571.78</v>
      </c>
      <c r="N381" s="973">
        <v>152010.48000000001</v>
      </c>
      <c r="O381" s="973">
        <v>141708.75</v>
      </c>
      <c r="P381" s="973">
        <v>142269.73000000001</v>
      </c>
      <c r="Q381" s="963">
        <f t="shared" si="12"/>
        <v>1657519.34</v>
      </c>
    </row>
    <row r="382" spans="2:17">
      <c r="B382" s="901" t="s">
        <v>2884</v>
      </c>
      <c r="C382" s="956" t="s">
        <v>789</v>
      </c>
      <c r="D382" s="956">
        <v>136</v>
      </c>
      <c r="E382" s="973">
        <v>145614.13</v>
      </c>
      <c r="F382" s="973">
        <v>145727.13</v>
      </c>
      <c r="G382" s="973">
        <v>171900.25</v>
      </c>
      <c r="H382" s="973">
        <v>156756.07999999999</v>
      </c>
      <c r="I382" s="973">
        <v>108949.69</v>
      </c>
      <c r="J382" s="973">
        <v>113334.34</v>
      </c>
      <c r="K382" s="973">
        <v>121582.94</v>
      </c>
      <c r="L382" s="973">
        <v>129094.04</v>
      </c>
      <c r="M382" s="973">
        <v>128571.78</v>
      </c>
      <c r="N382" s="973">
        <v>152010.48000000001</v>
      </c>
      <c r="O382" s="973">
        <v>141708.75</v>
      </c>
      <c r="P382" s="973">
        <v>142269.73000000001</v>
      </c>
      <c r="Q382" s="963">
        <f t="shared" si="12"/>
        <v>1657519.34</v>
      </c>
    </row>
    <row r="383" spans="2:17">
      <c r="B383" s="964" t="s">
        <v>2673</v>
      </c>
      <c r="E383" s="973"/>
      <c r="F383" s="973"/>
      <c r="G383" s="973"/>
      <c r="H383" s="973"/>
      <c r="I383" s="973"/>
      <c r="J383" s="973"/>
      <c r="K383" s="973"/>
      <c r="L383" s="973"/>
      <c r="M383" s="973"/>
      <c r="N383" s="973"/>
      <c r="O383" s="973"/>
      <c r="P383" s="973"/>
      <c r="Q383" s="963"/>
    </row>
    <row r="384" spans="2:17">
      <c r="E384" s="973"/>
      <c r="F384" s="973"/>
      <c r="G384" s="973"/>
      <c r="H384" s="973"/>
      <c r="I384" s="973"/>
      <c r="J384" s="973"/>
      <c r="K384" s="973"/>
      <c r="L384" s="973"/>
      <c r="M384" s="973"/>
      <c r="N384" s="973"/>
      <c r="O384" s="973"/>
      <c r="P384" s="973"/>
      <c r="Q384" s="963"/>
    </row>
    <row r="385" spans="2:17">
      <c r="B385" s="960" t="s">
        <v>2944</v>
      </c>
      <c r="C385" s="956" t="s">
        <v>777</v>
      </c>
      <c r="D385" s="956">
        <v>93</v>
      </c>
      <c r="E385" s="973"/>
      <c r="F385" s="973"/>
      <c r="G385" s="973"/>
      <c r="H385" s="973"/>
      <c r="I385" s="973"/>
      <c r="J385" s="973"/>
      <c r="K385" s="973"/>
      <c r="L385" s="973"/>
      <c r="M385" s="973"/>
      <c r="N385" s="973"/>
      <c r="O385" s="973"/>
      <c r="P385" s="973"/>
      <c r="Q385" s="963"/>
    </row>
    <row r="386" spans="2:17">
      <c r="B386" s="901" t="s">
        <v>2514</v>
      </c>
      <c r="C386" s="956" t="s">
        <v>780</v>
      </c>
      <c r="D386" s="956">
        <v>93</v>
      </c>
      <c r="E386" s="973">
        <v>357236</v>
      </c>
      <c r="F386" s="973">
        <v>0</v>
      </c>
      <c r="G386" s="973">
        <v>2483404</v>
      </c>
      <c r="H386" s="973">
        <v>334503</v>
      </c>
      <c r="I386" s="973">
        <v>0</v>
      </c>
      <c r="J386" s="973">
        <v>509919</v>
      </c>
      <c r="K386" s="973">
        <v>0</v>
      </c>
      <c r="L386" s="973">
        <v>8340220</v>
      </c>
      <c r="M386" s="973">
        <v>9118215</v>
      </c>
      <c r="N386" s="973">
        <v>6204407</v>
      </c>
      <c r="O386" s="973">
        <v>1743835</v>
      </c>
      <c r="P386" s="973">
        <v>188376</v>
      </c>
      <c r="Q386" s="963">
        <f>SUM(E386:P386)</f>
        <v>29280115</v>
      </c>
    </row>
    <row r="387" spans="2:17">
      <c r="B387" s="901" t="s">
        <v>2915</v>
      </c>
      <c r="C387" s="956" t="s">
        <v>781</v>
      </c>
      <c r="D387" s="956">
        <v>93</v>
      </c>
      <c r="E387" s="973">
        <v>0</v>
      </c>
      <c r="F387" s="973">
        <v>0</v>
      </c>
      <c r="G387" s="973">
        <v>0</v>
      </c>
      <c r="H387" s="973">
        <v>0</v>
      </c>
      <c r="I387" s="973">
        <v>0</v>
      </c>
      <c r="J387" s="973">
        <v>0</v>
      </c>
      <c r="K387" s="973">
        <v>0</v>
      </c>
      <c r="L387" s="973">
        <v>0</v>
      </c>
      <c r="M387" s="973">
        <v>0</v>
      </c>
      <c r="N387" s="973">
        <v>0</v>
      </c>
      <c r="O387" s="973">
        <v>0</v>
      </c>
      <c r="P387" s="973">
        <v>0</v>
      </c>
      <c r="Q387" s="963">
        <f t="shared" si="12"/>
        <v>0</v>
      </c>
    </row>
    <row r="388" spans="2:17">
      <c r="B388" s="901" t="s">
        <v>2916</v>
      </c>
      <c r="C388" s="956" t="s">
        <v>782</v>
      </c>
      <c r="D388" s="956">
        <v>93</v>
      </c>
      <c r="E388" s="973">
        <v>0</v>
      </c>
      <c r="F388" s="973">
        <v>0</v>
      </c>
      <c r="G388" s="973">
        <v>0</v>
      </c>
      <c r="H388" s="973">
        <v>0</v>
      </c>
      <c r="I388" s="973">
        <v>0</v>
      </c>
      <c r="J388" s="973">
        <v>0</v>
      </c>
      <c r="K388" s="973">
        <v>0</v>
      </c>
      <c r="L388" s="973">
        <v>0</v>
      </c>
      <c r="M388" s="973">
        <v>0</v>
      </c>
      <c r="N388" s="973">
        <v>0</v>
      </c>
      <c r="O388" s="973">
        <v>0</v>
      </c>
      <c r="P388" s="973">
        <v>0</v>
      </c>
      <c r="Q388" s="963">
        <f t="shared" si="12"/>
        <v>0</v>
      </c>
    </row>
    <row r="389" spans="2:17">
      <c r="B389" s="901" t="s">
        <v>2917</v>
      </c>
      <c r="C389" s="956" t="s">
        <v>787</v>
      </c>
      <c r="D389" s="956">
        <v>93</v>
      </c>
      <c r="E389" s="973">
        <v>357236</v>
      </c>
      <c r="F389" s="973">
        <v>0</v>
      </c>
      <c r="G389" s="973">
        <v>2483404</v>
      </c>
      <c r="H389" s="973">
        <v>334503</v>
      </c>
      <c r="I389" s="973">
        <v>0</v>
      </c>
      <c r="J389" s="973">
        <v>509919</v>
      </c>
      <c r="K389" s="973">
        <v>0</v>
      </c>
      <c r="L389" s="973">
        <v>8340220</v>
      </c>
      <c r="M389" s="973">
        <v>9118215</v>
      </c>
      <c r="N389" s="973">
        <v>6204407</v>
      </c>
      <c r="O389" s="973">
        <v>1743835</v>
      </c>
      <c r="P389" s="973">
        <v>188376</v>
      </c>
      <c r="Q389" s="963">
        <f t="shared" si="12"/>
        <v>29280115</v>
      </c>
    </row>
    <row r="390" spans="2:17">
      <c r="B390" s="901" t="s">
        <v>2918</v>
      </c>
      <c r="C390" s="956" t="s">
        <v>788</v>
      </c>
      <c r="D390" s="956">
        <v>93</v>
      </c>
      <c r="E390" s="973">
        <v>0</v>
      </c>
      <c r="F390" s="973">
        <v>2483404</v>
      </c>
      <c r="G390" s="973">
        <v>334503</v>
      </c>
      <c r="H390" s="973">
        <v>0</v>
      </c>
      <c r="I390" s="973">
        <v>509919</v>
      </c>
      <c r="J390" s="973">
        <v>0</v>
      </c>
      <c r="K390" s="973">
        <v>8340220</v>
      </c>
      <c r="L390" s="973">
        <v>9118215</v>
      </c>
      <c r="M390" s="973">
        <v>6204407</v>
      </c>
      <c r="N390" s="973">
        <v>1743835</v>
      </c>
      <c r="O390" s="973">
        <v>188376</v>
      </c>
      <c r="P390" s="973">
        <v>6845573</v>
      </c>
      <c r="Q390" s="963">
        <f t="shared" si="12"/>
        <v>35768452</v>
      </c>
    </row>
    <row r="391" spans="2:17">
      <c r="B391" s="901" t="s">
        <v>2886</v>
      </c>
      <c r="C391" s="956" t="s">
        <v>789</v>
      </c>
      <c r="D391" s="956">
        <v>93</v>
      </c>
      <c r="E391" s="973">
        <v>0</v>
      </c>
      <c r="F391" s="973">
        <v>2483404</v>
      </c>
      <c r="G391" s="973">
        <v>334503</v>
      </c>
      <c r="H391" s="973">
        <v>0</v>
      </c>
      <c r="I391" s="973">
        <v>509919</v>
      </c>
      <c r="J391" s="973">
        <v>0</v>
      </c>
      <c r="K391" s="973">
        <v>8340220</v>
      </c>
      <c r="L391" s="973">
        <v>9118215</v>
      </c>
      <c r="M391" s="973">
        <v>6204407</v>
      </c>
      <c r="N391" s="973">
        <v>1743835</v>
      </c>
      <c r="O391" s="973">
        <v>188376</v>
      </c>
      <c r="P391" s="973">
        <v>6845573</v>
      </c>
      <c r="Q391" s="963">
        <f t="shared" si="12"/>
        <v>35768452</v>
      </c>
    </row>
    <row r="392" spans="2:17">
      <c r="B392" s="964" t="s">
        <v>2673</v>
      </c>
      <c r="E392" s="973"/>
      <c r="F392" s="973"/>
      <c r="G392" s="973"/>
      <c r="H392" s="973"/>
      <c r="I392" s="973"/>
      <c r="J392" s="973"/>
      <c r="K392" s="973"/>
      <c r="L392" s="973"/>
      <c r="M392" s="973"/>
      <c r="N392" s="973"/>
      <c r="O392" s="973"/>
      <c r="P392" s="973"/>
      <c r="Q392" s="963">
        <f t="shared" si="12"/>
        <v>0</v>
      </c>
    </row>
    <row r="393" spans="2:17">
      <c r="B393" s="901" t="s">
        <v>2919</v>
      </c>
      <c r="C393" s="956" t="s">
        <v>780</v>
      </c>
      <c r="D393" s="956">
        <v>137</v>
      </c>
      <c r="E393" s="973">
        <v>22779.02</v>
      </c>
      <c r="F393" s="973">
        <v>16849.189999999999</v>
      </c>
      <c r="G393" s="973">
        <v>58071.7</v>
      </c>
      <c r="H393" s="973">
        <v>22401.67</v>
      </c>
      <c r="I393" s="973">
        <v>16849.189999999999</v>
      </c>
      <c r="J393" s="973">
        <v>25313.43</v>
      </c>
      <c r="K393" s="973">
        <v>16849.189999999999</v>
      </c>
      <c r="L393" s="973">
        <v>156723.25</v>
      </c>
      <c r="M393" s="973">
        <v>169756.71</v>
      </c>
      <c r="N393" s="973">
        <v>120942.78</v>
      </c>
      <c r="O393" s="973">
        <v>46216.49</v>
      </c>
      <c r="P393" s="973">
        <v>20158.47</v>
      </c>
      <c r="Q393" s="963">
        <f t="shared" si="12"/>
        <v>692911.09</v>
      </c>
    </row>
    <row r="394" spans="2:17">
      <c r="B394" s="901" t="s">
        <v>2920</v>
      </c>
      <c r="C394" s="956" t="s">
        <v>781</v>
      </c>
      <c r="D394" s="956">
        <v>137</v>
      </c>
      <c r="E394" s="973">
        <v>0</v>
      </c>
      <c r="F394" s="973">
        <v>0</v>
      </c>
      <c r="G394" s="973">
        <v>0</v>
      </c>
      <c r="H394" s="973">
        <v>0</v>
      </c>
      <c r="I394" s="973">
        <v>0</v>
      </c>
      <c r="J394" s="973">
        <v>0</v>
      </c>
      <c r="K394" s="973">
        <v>0</v>
      </c>
      <c r="L394" s="973">
        <v>0</v>
      </c>
      <c r="M394" s="973">
        <v>0</v>
      </c>
      <c r="N394" s="973">
        <v>0</v>
      </c>
      <c r="O394" s="973">
        <v>0</v>
      </c>
      <c r="P394" s="973">
        <v>0</v>
      </c>
      <c r="Q394" s="963">
        <f t="shared" si="12"/>
        <v>0</v>
      </c>
    </row>
    <row r="395" spans="2:17">
      <c r="B395" s="901" t="s">
        <v>2921</v>
      </c>
      <c r="C395" s="956" t="s">
        <v>782</v>
      </c>
      <c r="D395" s="956">
        <v>137</v>
      </c>
      <c r="E395" s="973">
        <v>0</v>
      </c>
      <c r="F395" s="973">
        <v>0</v>
      </c>
      <c r="G395" s="973">
        <v>0</v>
      </c>
      <c r="H395" s="973">
        <v>0</v>
      </c>
      <c r="I395" s="973">
        <v>0</v>
      </c>
      <c r="J395" s="973">
        <v>0</v>
      </c>
      <c r="K395" s="973">
        <v>0</v>
      </c>
      <c r="L395" s="973">
        <v>0</v>
      </c>
      <c r="M395" s="973">
        <v>0</v>
      </c>
      <c r="N395" s="973">
        <v>0</v>
      </c>
      <c r="O395" s="973">
        <v>0</v>
      </c>
      <c r="P395" s="973">
        <v>0</v>
      </c>
      <c r="Q395" s="963">
        <f t="shared" si="12"/>
        <v>0</v>
      </c>
    </row>
    <row r="396" spans="2:17">
      <c r="B396" s="901" t="s">
        <v>2922</v>
      </c>
      <c r="C396" s="956" t="s">
        <v>783</v>
      </c>
      <c r="D396" s="956">
        <v>137</v>
      </c>
      <c r="E396" s="973">
        <v>0</v>
      </c>
      <c r="F396" s="973">
        <v>0</v>
      </c>
      <c r="G396" s="973">
        <v>0</v>
      </c>
      <c r="H396" s="973">
        <v>0</v>
      </c>
      <c r="I396" s="973">
        <v>0</v>
      </c>
      <c r="J396" s="973">
        <v>0</v>
      </c>
      <c r="K396" s="973">
        <v>0</v>
      </c>
      <c r="L396" s="973">
        <v>0</v>
      </c>
      <c r="M396" s="973">
        <v>0</v>
      </c>
      <c r="N396" s="973">
        <v>0</v>
      </c>
      <c r="O396" s="973">
        <v>0</v>
      </c>
      <c r="P396" s="973">
        <v>0</v>
      </c>
      <c r="Q396" s="963">
        <f t="shared" si="12"/>
        <v>0</v>
      </c>
    </row>
    <row r="397" spans="2:17">
      <c r="B397" s="901" t="s">
        <v>2750</v>
      </c>
      <c r="C397" s="956" t="s">
        <v>784</v>
      </c>
      <c r="D397" s="956">
        <v>137</v>
      </c>
      <c r="E397" s="973">
        <v>0</v>
      </c>
      <c r="F397" s="973">
        <v>0</v>
      </c>
      <c r="G397" s="973">
        <v>0</v>
      </c>
      <c r="H397" s="973">
        <v>0</v>
      </c>
      <c r="I397" s="973">
        <v>0</v>
      </c>
      <c r="J397" s="973">
        <v>0</v>
      </c>
      <c r="K397" s="973">
        <v>0</v>
      </c>
      <c r="L397" s="973">
        <v>0</v>
      </c>
      <c r="M397" s="973">
        <v>0</v>
      </c>
      <c r="N397" s="973">
        <v>0</v>
      </c>
      <c r="O397" s="973">
        <v>0</v>
      </c>
      <c r="P397" s="973">
        <v>0</v>
      </c>
      <c r="Q397" s="963">
        <f t="shared" si="12"/>
        <v>0</v>
      </c>
    </row>
    <row r="398" spans="2:17">
      <c r="B398" s="901" t="s">
        <v>2751</v>
      </c>
      <c r="C398" s="956" t="s">
        <v>785</v>
      </c>
      <c r="D398" s="956">
        <v>137</v>
      </c>
      <c r="E398" s="973">
        <v>0</v>
      </c>
      <c r="F398" s="973">
        <v>0</v>
      </c>
      <c r="G398" s="973">
        <v>0</v>
      </c>
      <c r="H398" s="973">
        <v>0</v>
      </c>
      <c r="I398" s="973">
        <v>0</v>
      </c>
      <c r="J398" s="973">
        <v>0</v>
      </c>
      <c r="K398" s="973">
        <v>0</v>
      </c>
      <c r="L398" s="973">
        <v>0</v>
      </c>
      <c r="M398" s="973">
        <v>0</v>
      </c>
      <c r="N398" s="973">
        <v>0</v>
      </c>
      <c r="O398" s="973">
        <v>0</v>
      </c>
      <c r="P398" s="973">
        <v>0</v>
      </c>
      <c r="Q398" s="963">
        <f t="shared" si="12"/>
        <v>0</v>
      </c>
    </row>
    <row r="399" spans="2:17">
      <c r="B399" s="901" t="s">
        <v>2451</v>
      </c>
      <c r="C399" s="956" t="s">
        <v>786</v>
      </c>
      <c r="D399" s="956">
        <v>137</v>
      </c>
      <c r="E399" s="973">
        <v>0</v>
      </c>
      <c r="F399" s="973">
        <v>0</v>
      </c>
      <c r="G399" s="973">
        <v>0</v>
      </c>
      <c r="H399" s="973">
        <v>0</v>
      </c>
      <c r="I399" s="973">
        <v>0</v>
      </c>
      <c r="J399" s="973">
        <v>0</v>
      </c>
      <c r="K399" s="973">
        <v>0</v>
      </c>
      <c r="L399" s="973">
        <v>0</v>
      </c>
      <c r="M399" s="973">
        <v>0</v>
      </c>
      <c r="N399" s="973">
        <v>0</v>
      </c>
      <c r="O399" s="973">
        <v>0</v>
      </c>
      <c r="P399" s="973">
        <v>14585.45</v>
      </c>
      <c r="Q399" s="963">
        <f t="shared" si="12"/>
        <v>14585.45</v>
      </c>
    </row>
    <row r="400" spans="2:17">
      <c r="B400" s="901" t="s">
        <v>2697</v>
      </c>
      <c r="C400" s="956" t="s">
        <v>787</v>
      </c>
      <c r="D400" s="956">
        <v>137</v>
      </c>
      <c r="E400" s="973">
        <v>-22779.02</v>
      </c>
      <c r="F400" s="973">
        <v>-16849.189999999999</v>
      </c>
      <c r="G400" s="973">
        <v>-58071.7</v>
      </c>
      <c r="H400" s="973">
        <v>-22401.67</v>
      </c>
      <c r="I400" s="973">
        <v>-16849.189999999999</v>
      </c>
      <c r="J400" s="973">
        <v>-25313.43</v>
      </c>
      <c r="K400" s="973">
        <v>-16849.189999999999</v>
      </c>
      <c r="L400" s="973">
        <v>-156723.25</v>
      </c>
      <c r="M400" s="973">
        <v>-169756.71</v>
      </c>
      <c r="N400" s="973">
        <v>-120942.78</v>
      </c>
      <c r="O400" s="973">
        <v>-46216.49</v>
      </c>
      <c r="P400" s="973">
        <v>-20158.47</v>
      </c>
      <c r="Q400" s="963">
        <f>SUM(E400:P400)</f>
        <v>-692911.09</v>
      </c>
    </row>
    <row r="401" spans="2:17">
      <c r="B401" s="901" t="s">
        <v>2698</v>
      </c>
      <c r="C401" s="956" t="s">
        <v>788</v>
      </c>
      <c r="D401" s="956">
        <v>137</v>
      </c>
      <c r="E401" s="973">
        <v>16849.189999999999</v>
      </c>
      <c r="F401" s="973">
        <v>58071.7</v>
      </c>
      <c r="G401" s="973">
        <v>22401.67</v>
      </c>
      <c r="H401" s="973">
        <v>16849.189999999999</v>
      </c>
      <c r="I401" s="973">
        <v>25313.43</v>
      </c>
      <c r="J401" s="973">
        <v>16849.189999999999</v>
      </c>
      <c r="K401" s="973">
        <v>156723.25</v>
      </c>
      <c r="L401" s="973">
        <v>169756.71</v>
      </c>
      <c r="M401" s="973">
        <v>120942.78</v>
      </c>
      <c r="N401" s="973">
        <v>46216.49</v>
      </c>
      <c r="O401" s="973">
        <v>20158.47</v>
      </c>
      <c r="P401" s="973">
        <v>131683.99</v>
      </c>
      <c r="Q401" s="963">
        <f t="shared" si="12"/>
        <v>801816.05999999994</v>
      </c>
    </row>
    <row r="402" spans="2:17">
      <c r="B402" s="901" t="s">
        <v>2884</v>
      </c>
      <c r="C402" s="956" t="s">
        <v>789</v>
      </c>
      <c r="D402" s="956">
        <v>137</v>
      </c>
      <c r="E402" s="973">
        <f>SUM(E393:E401)</f>
        <v>16849.189999999999</v>
      </c>
      <c r="F402" s="973">
        <f t="shared" ref="F402:P402" si="13">SUM(F393:F401)</f>
        <v>58071.7</v>
      </c>
      <c r="G402" s="973">
        <f t="shared" si="13"/>
        <v>22401.67</v>
      </c>
      <c r="H402" s="973">
        <f t="shared" si="13"/>
        <v>16849.189999999999</v>
      </c>
      <c r="I402" s="973">
        <f t="shared" si="13"/>
        <v>25313.43</v>
      </c>
      <c r="J402" s="973">
        <f t="shared" si="13"/>
        <v>16849.189999999999</v>
      </c>
      <c r="K402" s="973">
        <f t="shared" si="13"/>
        <v>156723.25</v>
      </c>
      <c r="L402" s="973">
        <f t="shared" si="13"/>
        <v>169756.71</v>
      </c>
      <c r="M402" s="973">
        <f t="shared" si="13"/>
        <v>120942.78</v>
      </c>
      <c r="N402" s="973">
        <f t="shared" si="13"/>
        <v>46216.49</v>
      </c>
      <c r="O402" s="973">
        <f t="shared" si="13"/>
        <v>20158.47</v>
      </c>
      <c r="P402" s="973">
        <f t="shared" si="13"/>
        <v>146269.44</v>
      </c>
      <c r="Q402" s="963">
        <f t="shared" si="12"/>
        <v>816401.51</v>
      </c>
    </row>
    <row r="403" spans="2:17">
      <c r="B403" s="964" t="s">
        <v>2673</v>
      </c>
      <c r="E403" s="973"/>
      <c r="F403" s="973"/>
      <c r="G403" s="973"/>
      <c r="H403" s="973"/>
      <c r="I403" s="973"/>
      <c r="J403" s="973"/>
      <c r="K403" s="973"/>
      <c r="L403" s="973"/>
      <c r="M403" s="973"/>
      <c r="N403" s="973"/>
      <c r="O403" s="973"/>
      <c r="P403" s="973"/>
      <c r="Q403" s="963"/>
    </row>
    <row r="404" spans="2:17">
      <c r="E404" s="973"/>
      <c r="F404" s="973"/>
      <c r="G404" s="973"/>
      <c r="H404" s="973"/>
      <c r="I404" s="973"/>
      <c r="J404" s="973"/>
      <c r="K404" s="973"/>
      <c r="L404" s="973"/>
      <c r="M404" s="973"/>
      <c r="N404" s="973"/>
      <c r="O404" s="973"/>
      <c r="P404" s="973"/>
      <c r="Q404" s="963"/>
    </row>
    <row r="405" spans="2:17">
      <c r="B405" s="960" t="s">
        <v>2945</v>
      </c>
      <c r="C405" s="956" t="s">
        <v>777</v>
      </c>
      <c r="D405" s="956">
        <v>96</v>
      </c>
      <c r="E405" s="973"/>
      <c r="F405" s="973"/>
      <c r="G405" s="973"/>
      <c r="H405" s="973"/>
      <c r="I405" s="973"/>
      <c r="J405" s="973"/>
      <c r="K405" s="973"/>
      <c r="L405" s="973"/>
      <c r="M405" s="973"/>
      <c r="N405" s="973"/>
      <c r="O405" s="973"/>
      <c r="P405" s="973"/>
      <c r="Q405" s="963"/>
    </row>
    <row r="406" spans="2:17">
      <c r="B406" s="901" t="s">
        <v>2514</v>
      </c>
      <c r="C406" s="956" t="s">
        <v>780</v>
      </c>
      <c r="D406" s="956">
        <v>96</v>
      </c>
      <c r="E406" s="973">
        <v>82468</v>
      </c>
      <c r="F406" s="973">
        <v>0</v>
      </c>
      <c r="G406" s="973">
        <v>39201</v>
      </c>
      <c r="H406" s="973">
        <v>112350</v>
      </c>
      <c r="I406" s="973">
        <v>8745</v>
      </c>
      <c r="J406" s="973">
        <v>210060</v>
      </c>
      <c r="K406" s="973">
        <v>100169</v>
      </c>
      <c r="L406" s="973">
        <v>0</v>
      </c>
      <c r="M406" s="973">
        <v>147250</v>
      </c>
      <c r="N406" s="973">
        <v>451349</v>
      </c>
      <c r="O406" s="973">
        <v>59022</v>
      </c>
      <c r="P406" s="973">
        <v>57819</v>
      </c>
      <c r="Q406" s="963">
        <f t="shared" si="12"/>
        <v>1268433</v>
      </c>
    </row>
    <row r="407" spans="2:17">
      <c r="B407" s="901" t="s">
        <v>2915</v>
      </c>
      <c r="C407" s="956" t="s">
        <v>781</v>
      </c>
      <c r="D407" s="956">
        <v>96</v>
      </c>
      <c r="E407" s="973">
        <v>0</v>
      </c>
      <c r="F407" s="973">
        <v>0</v>
      </c>
      <c r="G407" s="973">
        <v>0</v>
      </c>
      <c r="H407" s="973">
        <v>0</v>
      </c>
      <c r="I407" s="973">
        <v>0</v>
      </c>
      <c r="J407" s="973">
        <v>0</v>
      </c>
      <c r="K407" s="973">
        <v>0</v>
      </c>
      <c r="L407" s="973">
        <v>0</v>
      </c>
      <c r="M407" s="973">
        <v>0</v>
      </c>
      <c r="N407" s="973">
        <v>0</v>
      </c>
      <c r="O407" s="973">
        <v>0</v>
      </c>
      <c r="P407" s="973">
        <v>0</v>
      </c>
      <c r="Q407" s="963">
        <f t="shared" si="12"/>
        <v>0</v>
      </c>
    </row>
    <row r="408" spans="2:17">
      <c r="B408" s="901" t="s">
        <v>2916</v>
      </c>
      <c r="C408" s="956" t="s">
        <v>782</v>
      </c>
      <c r="D408" s="956">
        <v>96</v>
      </c>
      <c r="E408" s="973">
        <v>0</v>
      </c>
      <c r="F408" s="973">
        <v>0</v>
      </c>
      <c r="G408" s="973">
        <v>0</v>
      </c>
      <c r="H408" s="973">
        <v>0</v>
      </c>
      <c r="I408" s="973">
        <v>0</v>
      </c>
      <c r="J408" s="973">
        <v>0</v>
      </c>
      <c r="K408" s="973">
        <v>0</v>
      </c>
      <c r="L408" s="973">
        <v>0</v>
      </c>
      <c r="M408" s="973">
        <v>0</v>
      </c>
      <c r="N408" s="973">
        <v>0</v>
      </c>
      <c r="O408" s="973">
        <v>0</v>
      </c>
      <c r="P408" s="973">
        <v>0</v>
      </c>
      <c r="Q408" s="963">
        <f t="shared" si="12"/>
        <v>0</v>
      </c>
    </row>
    <row r="409" spans="2:17">
      <c r="B409" s="901" t="s">
        <v>2917</v>
      </c>
      <c r="C409" s="956" t="s">
        <v>787</v>
      </c>
      <c r="D409" s="956">
        <v>96</v>
      </c>
      <c r="E409" s="973">
        <v>82468</v>
      </c>
      <c r="F409" s="973">
        <v>0</v>
      </c>
      <c r="G409" s="973">
        <v>39201</v>
      </c>
      <c r="H409" s="973">
        <v>112350</v>
      </c>
      <c r="I409" s="973">
        <v>8745</v>
      </c>
      <c r="J409" s="973">
        <v>210060</v>
      </c>
      <c r="K409" s="973">
        <v>100169</v>
      </c>
      <c r="L409" s="973">
        <v>0</v>
      </c>
      <c r="M409" s="973">
        <v>147250</v>
      </c>
      <c r="N409" s="973">
        <v>451349</v>
      </c>
      <c r="O409" s="973">
        <v>59022</v>
      </c>
      <c r="P409" s="973">
        <v>57819</v>
      </c>
      <c r="Q409" s="963">
        <f t="shared" si="12"/>
        <v>1268433</v>
      </c>
    </row>
    <row r="410" spans="2:17">
      <c r="B410" s="901" t="s">
        <v>2918</v>
      </c>
      <c r="C410" s="956" t="s">
        <v>788</v>
      </c>
      <c r="D410" s="956">
        <v>96</v>
      </c>
      <c r="E410" s="973">
        <v>0</v>
      </c>
      <c r="F410" s="973">
        <v>39201</v>
      </c>
      <c r="G410" s="973">
        <v>112350</v>
      </c>
      <c r="H410" s="973">
        <v>8745</v>
      </c>
      <c r="I410" s="973">
        <v>210060</v>
      </c>
      <c r="J410" s="973">
        <v>100169</v>
      </c>
      <c r="K410" s="973">
        <v>0</v>
      </c>
      <c r="L410" s="973">
        <v>147250</v>
      </c>
      <c r="M410" s="973">
        <v>451349</v>
      </c>
      <c r="N410" s="973">
        <v>59022</v>
      </c>
      <c r="O410" s="973">
        <v>57819</v>
      </c>
      <c r="P410" s="973">
        <v>0</v>
      </c>
      <c r="Q410" s="963">
        <f t="shared" si="12"/>
        <v>1185965</v>
      </c>
    </row>
    <row r="411" spans="2:17">
      <c r="B411" s="901" t="s">
        <v>2886</v>
      </c>
      <c r="C411" s="956" t="s">
        <v>789</v>
      </c>
      <c r="D411" s="956">
        <v>96</v>
      </c>
      <c r="E411" s="973">
        <v>0</v>
      </c>
      <c r="F411" s="973">
        <v>39201</v>
      </c>
      <c r="G411" s="973">
        <v>112350</v>
      </c>
      <c r="H411" s="973">
        <v>8745</v>
      </c>
      <c r="I411" s="973">
        <v>210060</v>
      </c>
      <c r="J411" s="973">
        <v>100169</v>
      </c>
      <c r="K411" s="973">
        <v>0</v>
      </c>
      <c r="L411" s="973">
        <v>147250</v>
      </c>
      <c r="M411" s="973">
        <v>451349</v>
      </c>
      <c r="N411" s="973">
        <v>59022</v>
      </c>
      <c r="O411" s="973">
        <v>57819</v>
      </c>
      <c r="P411" s="973">
        <v>0</v>
      </c>
      <c r="Q411" s="963">
        <f t="shared" si="12"/>
        <v>1185965</v>
      </c>
    </row>
    <row r="412" spans="2:17">
      <c r="B412" s="964" t="s">
        <v>2673</v>
      </c>
      <c r="E412" s="973"/>
      <c r="F412" s="973"/>
      <c r="G412" s="973"/>
      <c r="H412" s="973"/>
      <c r="I412" s="973"/>
      <c r="J412" s="973"/>
      <c r="K412" s="973"/>
      <c r="L412" s="973"/>
      <c r="M412" s="973"/>
      <c r="N412" s="973"/>
      <c r="O412" s="973"/>
      <c r="P412" s="973"/>
      <c r="Q412" s="963">
        <f t="shared" si="12"/>
        <v>0</v>
      </c>
    </row>
    <row r="413" spans="2:17">
      <c r="B413" s="901" t="s">
        <v>2919</v>
      </c>
      <c r="C413" s="956" t="s">
        <v>780</v>
      </c>
      <c r="D413" s="956">
        <v>140</v>
      </c>
      <c r="E413" s="973">
        <v>15203.05</v>
      </c>
      <c r="F413" s="973">
        <v>15168.6</v>
      </c>
      <c r="G413" s="973">
        <v>15184.98</v>
      </c>
      <c r="H413" s="973">
        <v>15215.53</v>
      </c>
      <c r="I413" s="973">
        <v>15172.26</v>
      </c>
      <c r="J413" s="973">
        <v>15256.35</v>
      </c>
      <c r="K413" s="973">
        <v>15210.45</v>
      </c>
      <c r="L413" s="973">
        <v>15168.6</v>
      </c>
      <c r="M413" s="973">
        <v>15230.11</v>
      </c>
      <c r="N413" s="973">
        <v>15357.14</v>
      </c>
      <c r="O413" s="973">
        <v>15193.26</v>
      </c>
      <c r="P413" s="973">
        <v>15192.76</v>
      </c>
      <c r="Q413" s="963">
        <f t="shared" si="12"/>
        <v>182553.09000000003</v>
      </c>
    </row>
    <row r="414" spans="2:17">
      <c r="B414" s="901" t="s">
        <v>2920</v>
      </c>
      <c r="C414" s="956" t="s">
        <v>781</v>
      </c>
      <c r="D414" s="956">
        <v>140</v>
      </c>
      <c r="E414" s="973">
        <v>0</v>
      </c>
      <c r="F414" s="973">
        <v>0</v>
      </c>
      <c r="G414" s="973">
        <v>0</v>
      </c>
      <c r="H414" s="973">
        <v>0</v>
      </c>
      <c r="I414" s="973">
        <v>0</v>
      </c>
      <c r="J414" s="973">
        <v>0</v>
      </c>
      <c r="K414" s="973">
        <v>0</v>
      </c>
      <c r="L414" s="973">
        <v>0</v>
      </c>
      <c r="M414" s="973">
        <v>0</v>
      </c>
      <c r="N414" s="973">
        <v>0</v>
      </c>
      <c r="O414" s="973">
        <v>0</v>
      </c>
      <c r="P414" s="973">
        <v>0</v>
      </c>
      <c r="Q414" s="963">
        <f t="shared" si="12"/>
        <v>0</v>
      </c>
    </row>
    <row r="415" spans="2:17">
      <c r="B415" s="901" t="s">
        <v>2921</v>
      </c>
      <c r="C415" s="956" t="s">
        <v>782</v>
      </c>
      <c r="D415" s="956">
        <v>140</v>
      </c>
      <c r="E415" s="973">
        <v>0</v>
      </c>
      <c r="F415" s="973">
        <v>0</v>
      </c>
      <c r="G415" s="973">
        <v>0</v>
      </c>
      <c r="H415" s="973">
        <v>0</v>
      </c>
      <c r="I415" s="973">
        <v>0</v>
      </c>
      <c r="J415" s="973">
        <v>0</v>
      </c>
      <c r="K415" s="973">
        <v>0</v>
      </c>
      <c r="L415" s="973">
        <v>0</v>
      </c>
      <c r="M415" s="973">
        <v>0</v>
      </c>
      <c r="N415" s="973">
        <v>0</v>
      </c>
      <c r="O415" s="973">
        <v>0</v>
      </c>
      <c r="P415" s="973">
        <v>0</v>
      </c>
      <c r="Q415" s="963">
        <f t="shared" si="12"/>
        <v>0</v>
      </c>
    </row>
    <row r="416" spans="2:17">
      <c r="B416" s="901" t="s">
        <v>2922</v>
      </c>
      <c r="C416" s="956" t="s">
        <v>783</v>
      </c>
      <c r="D416" s="956">
        <v>140</v>
      </c>
      <c r="E416" s="973">
        <v>0</v>
      </c>
      <c r="F416" s="973">
        <v>0</v>
      </c>
      <c r="G416" s="973">
        <v>0</v>
      </c>
      <c r="H416" s="973">
        <v>0</v>
      </c>
      <c r="I416" s="973">
        <v>0</v>
      </c>
      <c r="J416" s="973">
        <v>0</v>
      </c>
      <c r="K416" s="973">
        <v>0</v>
      </c>
      <c r="L416" s="973">
        <v>0</v>
      </c>
      <c r="M416" s="973">
        <v>0</v>
      </c>
      <c r="N416" s="973">
        <v>0</v>
      </c>
      <c r="O416" s="973">
        <v>0</v>
      </c>
      <c r="P416" s="973">
        <v>0</v>
      </c>
      <c r="Q416" s="963">
        <f t="shared" si="12"/>
        <v>0</v>
      </c>
    </row>
    <row r="417" spans="2:17">
      <c r="B417" s="901" t="s">
        <v>2750</v>
      </c>
      <c r="C417" s="956" t="s">
        <v>784</v>
      </c>
      <c r="D417" s="956">
        <v>140</v>
      </c>
      <c r="E417" s="973">
        <v>0</v>
      </c>
      <c r="F417" s="973">
        <v>0</v>
      </c>
      <c r="G417" s="973">
        <v>0</v>
      </c>
      <c r="H417" s="973">
        <v>0</v>
      </c>
      <c r="I417" s="973">
        <v>0</v>
      </c>
      <c r="J417" s="973">
        <v>0</v>
      </c>
      <c r="K417" s="973">
        <v>0</v>
      </c>
      <c r="L417" s="973">
        <v>0</v>
      </c>
      <c r="M417" s="973">
        <v>0</v>
      </c>
      <c r="N417" s="973">
        <v>0</v>
      </c>
      <c r="O417" s="973">
        <v>0</v>
      </c>
      <c r="P417" s="973">
        <v>0</v>
      </c>
      <c r="Q417" s="963">
        <f t="shared" si="12"/>
        <v>0</v>
      </c>
    </row>
    <row r="418" spans="2:17">
      <c r="B418" s="901" t="s">
        <v>2751</v>
      </c>
      <c r="C418" s="956" t="s">
        <v>785</v>
      </c>
      <c r="D418" s="956">
        <v>140</v>
      </c>
      <c r="E418" s="973">
        <v>0</v>
      </c>
      <c r="F418" s="973">
        <v>0</v>
      </c>
      <c r="G418" s="973">
        <v>0</v>
      </c>
      <c r="H418" s="973">
        <v>0</v>
      </c>
      <c r="I418" s="973">
        <v>0</v>
      </c>
      <c r="J418" s="973">
        <v>0</v>
      </c>
      <c r="K418" s="973">
        <v>0</v>
      </c>
      <c r="L418" s="973">
        <v>0</v>
      </c>
      <c r="M418" s="973">
        <v>0</v>
      </c>
      <c r="N418" s="973">
        <v>0</v>
      </c>
      <c r="O418" s="973">
        <v>0</v>
      </c>
      <c r="P418" s="973">
        <v>0</v>
      </c>
      <c r="Q418" s="963">
        <f t="shared" si="12"/>
        <v>0</v>
      </c>
    </row>
    <row r="419" spans="2:17">
      <c r="B419" s="901" t="s">
        <v>2451</v>
      </c>
      <c r="C419" s="956" t="s">
        <v>786</v>
      </c>
      <c r="D419" s="956">
        <v>140</v>
      </c>
      <c r="E419" s="973">
        <v>0</v>
      </c>
      <c r="F419" s="973">
        <v>0</v>
      </c>
      <c r="G419" s="973">
        <v>0</v>
      </c>
      <c r="H419" s="973">
        <v>0</v>
      </c>
      <c r="I419" s="973">
        <v>0</v>
      </c>
      <c r="J419" s="973">
        <v>0</v>
      </c>
      <c r="K419" s="973">
        <v>0</v>
      </c>
      <c r="L419" s="973">
        <v>0</v>
      </c>
      <c r="M419" s="973">
        <v>0</v>
      </c>
      <c r="N419" s="973">
        <v>0</v>
      </c>
      <c r="O419" s="973">
        <v>0</v>
      </c>
      <c r="P419" s="973">
        <v>-14585.45</v>
      </c>
      <c r="Q419" s="963">
        <f t="shared" si="12"/>
        <v>-14585.45</v>
      </c>
    </row>
    <row r="420" spans="2:17">
      <c r="B420" s="901" t="s">
        <v>2697</v>
      </c>
      <c r="C420" s="956" t="s">
        <v>787</v>
      </c>
      <c r="D420" s="956">
        <v>140</v>
      </c>
      <c r="E420" s="973">
        <v>-15203.05</v>
      </c>
      <c r="F420" s="973">
        <v>-15168.6</v>
      </c>
      <c r="G420" s="973">
        <v>-15184.98</v>
      </c>
      <c r="H420" s="973">
        <v>-15215.53</v>
      </c>
      <c r="I420" s="973">
        <v>-15172.26</v>
      </c>
      <c r="J420" s="973">
        <v>-15256.35</v>
      </c>
      <c r="K420" s="973">
        <v>-15210.45</v>
      </c>
      <c r="L420" s="973">
        <v>-15168.6</v>
      </c>
      <c r="M420" s="973">
        <v>-15230.11</v>
      </c>
      <c r="N420" s="973">
        <v>-15357.14</v>
      </c>
      <c r="O420" s="973">
        <v>-15193.26</v>
      </c>
      <c r="P420" s="973">
        <v>-15192.76</v>
      </c>
      <c r="Q420" s="963">
        <f>SUM(E420:P420)</f>
        <v>-182553.09000000003</v>
      </c>
    </row>
    <row r="421" spans="2:17">
      <c r="B421" s="901" t="s">
        <v>2698</v>
      </c>
      <c r="C421" s="956" t="s">
        <v>788</v>
      </c>
      <c r="D421" s="956">
        <v>140</v>
      </c>
      <c r="E421" s="973">
        <v>15168.6</v>
      </c>
      <c r="F421" s="973">
        <v>15184.98</v>
      </c>
      <c r="G421" s="973">
        <v>15215.53</v>
      </c>
      <c r="H421" s="973">
        <v>15172.26</v>
      </c>
      <c r="I421" s="973">
        <v>15256.35</v>
      </c>
      <c r="J421" s="973">
        <v>15210.45</v>
      </c>
      <c r="K421" s="973">
        <v>15168.6</v>
      </c>
      <c r="L421" s="973">
        <v>15230.11</v>
      </c>
      <c r="M421" s="973">
        <v>15357.14</v>
      </c>
      <c r="N421" s="973">
        <v>15193.26</v>
      </c>
      <c r="O421" s="973">
        <v>15192.76</v>
      </c>
      <c r="P421" s="973">
        <v>15168.6</v>
      </c>
      <c r="Q421" s="963">
        <f t="shared" si="12"/>
        <v>182518.64000000004</v>
      </c>
    </row>
    <row r="422" spans="2:17">
      <c r="B422" s="901" t="s">
        <v>2884</v>
      </c>
      <c r="C422" s="956" t="s">
        <v>789</v>
      </c>
      <c r="D422" s="956">
        <v>140</v>
      </c>
      <c r="E422" s="973">
        <f>SUM(E413:E421)</f>
        <v>15168.6</v>
      </c>
      <c r="F422" s="973">
        <f t="shared" ref="F422:P422" si="14">SUM(F413:F421)</f>
        <v>15184.98</v>
      </c>
      <c r="G422" s="973">
        <f t="shared" si="14"/>
        <v>15215.53</v>
      </c>
      <c r="H422" s="973">
        <f t="shared" si="14"/>
        <v>15172.26</v>
      </c>
      <c r="I422" s="973">
        <f t="shared" si="14"/>
        <v>15256.35</v>
      </c>
      <c r="J422" s="973">
        <f t="shared" si="14"/>
        <v>15210.45</v>
      </c>
      <c r="K422" s="973">
        <f t="shared" si="14"/>
        <v>15168.6</v>
      </c>
      <c r="L422" s="973">
        <f t="shared" si="14"/>
        <v>15230.11</v>
      </c>
      <c r="M422" s="973">
        <f t="shared" si="14"/>
        <v>15357.14</v>
      </c>
      <c r="N422" s="973">
        <f t="shared" si="14"/>
        <v>15193.26</v>
      </c>
      <c r="O422" s="973">
        <f t="shared" si="14"/>
        <v>15192.76</v>
      </c>
      <c r="P422" s="973">
        <f t="shared" si="14"/>
        <v>583.14999999999964</v>
      </c>
      <c r="Q422" s="963">
        <f t="shared" si="12"/>
        <v>167933.19000000003</v>
      </c>
    </row>
    <row r="423" spans="2:17">
      <c r="B423" s="964" t="s">
        <v>2673</v>
      </c>
      <c r="E423" s="973"/>
      <c r="F423" s="973"/>
      <c r="G423" s="973"/>
      <c r="H423" s="973"/>
      <c r="I423" s="973"/>
      <c r="J423" s="973"/>
      <c r="K423" s="973"/>
      <c r="L423" s="973"/>
      <c r="M423" s="973"/>
      <c r="N423" s="973"/>
      <c r="O423" s="973"/>
      <c r="P423" s="973"/>
    </row>
    <row r="424" spans="2:17">
      <c r="E424" s="973"/>
      <c r="F424" s="973"/>
      <c r="G424" s="973"/>
      <c r="H424" s="973"/>
      <c r="I424" s="973"/>
      <c r="J424" s="973"/>
      <c r="K424" s="973"/>
      <c r="L424" s="973"/>
      <c r="M424" s="973"/>
      <c r="N424" s="973"/>
      <c r="O424" s="973"/>
      <c r="P424" s="973"/>
    </row>
    <row r="425" spans="2:17">
      <c r="E425" s="975">
        <f t="shared" ref="E425:M425" si="15">SUM(E22,E42,E82,E102,E142,E162,E182,E202,E222,E242,E262,E282,E302,E322,E342,E362,E382,E402,E422,E122,E62)</f>
        <v>31095209.98</v>
      </c>
      <c r="F425" s="975">
        <f t="shared" si="15"/>
        <v>32624760.91</v>
      </c>
      <c r="G425" s="975">
        <f t="shared" si="15"/>
        <v>26307158.460000001</v>
      </c>
      <c r="H425" s="975">
        <f t="shared" si="15"/>
        <v>16391743.960000003</v>
      </c>
      <c r="I425" s="975">
        <f t="shared" si="15"/>
        <v>11651407.520000003</v>
      </c>
      <c r="J425" s="975">
        <f t="shared" si="15"/>
        <v>9186724.3499999978</v>
      </c>
      <c r="K425" s="975">
        <f t="shared" si="15"/>
        <v>9444062.129999999</v>
      </c>
      <c r="L425" s="975">
        <f t="shared" si="15"/>
        <v>7956709.2999999998</v>
      </c>
      <c r="M425" s="975">
        <f t="shared" si="15"/>
        <v>11240317.349999998</v>
      </c>
      <c r="N425" s="975">
        <f>SUM(N22,N42,N82,N102,N142,N162,N182,N202,N222,N242,N262,N282,N302,N322,N342,N362,N382,N402,N422,N122,N62)</f>
        <v>20966862.130000003</v>
      </c>
      <c r="O425" s="975">
        <f>SUM(O22,O42,O82,O102,O142,O162,O182,O202,O222,O242,O262,O282,O302,O322,O342,O362,O382,O402,O422,O122,O62)</f>
        <v>30842928.490000002</v>
      </c>
      <c r="P425" s="975">
        <f>SUM(P22,P42,P82,P102,P142,P162,P182,P202,P222,P242,P262,P282,P302,P322,P342,P362,P382,P402,P422,P122,P62)</f>
        <v>37868343.319999985</v>
      </c>
    </row>
    <row r="427" spans="2:17">
      <c r="E427" s="975"/>
      <c r="F427" s="975"/>
      <c r="G427" s="975"/>
      <c r="H427" s="975"/>
      <c r="I427" s="975"/>
      <c r="J427" s="975"/>
      <c r="K427" s="975"/>
      <c r="L427" s="975"/>
      <c r="M427" s="975"/>
      <c r="N427" s="975"/>
      <c r="O427" s="975"/>
      <c r="P427" s="975"/>
    </row>
    <row r="428" spans="2:17">
      <c r="C428" s="956" t="s">
        <v>2946</v>
      </c>
      <c r="E428" s="975">
        <f>SUM('Allocation Report Summary 2019'!D9,'Allocation Report Summary 2019'!D13)</f>
        <v>31095209.98</v>
      </c>
      <c r="F428" s="975">
        <f>SUM('Allocation Report Summary 2019'!E9,'Allocation Report Summary 2019'!E13)</f>
        <v>32624760.909999996</v>
      </c>
      <c r="G428" s="975">
        <f>SUM('Allocation Report Summary 2019'!F9,'Allocation Report Summary 2019'!F13)</f>
        <v>26307158.459999997</v>
      </c>
      <c r="H428" s="975">
        <f>SUM('Allocation Report Summary 2019'!G9,'Allocation Report Summary 2019'!G13)</f>
        <v>16391743.960000001</v>
      </c>
      <c r="I428" s="975">
        <f>SUM('Allocation Report Summary 2019'!H9,'Allocation Report Summary 2019'!H13)</f>
        <v>11651407.52</v>
      </c>
      <c r="J428" s="975">
        <f>SUM('Allocation Report Summary 2019'!I9,'Allocation Report Summary 2019'!I13)</f>
        <v>9186724.3499999996</v>
      </c>
      <c r="K428" s="975">
        <f>SUM('Allocation Report Summary 2019'!J9,'Allocation Report Summary 2019'!J13)</f>
        <v>9444062.1300000008</v>
      </c>
      <c r="L428" s="975">
        <f>SUM('Allocation Report Summary 2019'!K9,'Allocation Report Summary 2019'!K13)</f>
        <v>7956709.3000000007</v>
      </c>
      <c r="M428" s="975">
        <f>SUM('Allocation Report Summary 2019'!L9,'Allocation Report Summary 2019'!L13)</f>
        <v>11240317.35</v>
      </c>
      <c r="N428" s="975">
        <f>SUM('Allocation Report Summary 2019'!M9,'Allocation Report Summary 2019'!M13)</f>
        <v>20966862.129999999</v>
      </c>
      <c r="O428" s="975">
        <f>SUM('Allocation Report Summary 2019'!N9,'Allocation Report Summary 2019'!N13)</f>
        <v>30842928.489999998</v>
      </c>
      <c r="P428" s="975">
        <f>SUM('Allocation Report Summary 2019'!O9,'Allocation Report Summary 2019'!O13)</f>
        <v>37868343.32</v>
      </c>
    </row>
    <row r="429" spans="2:17">
      <c r="E429" s="976">
        <f>E428-E425</f>
        <v>0</v>
      </c>
      <c r="F429" s="976">
        <f>F428-F425</f>
        <v>0</v>
      </c>
      <c r="G429" s="976">
        <f>G428-G425</f>
        <v>0</v>
      </c>
      <c r="H429" s="976">
        <f t="shared" ref="H429:P429" si="16">H428-H425</f>
        <v>0</v>
      </c>
      <c r="I429" s="976">
        <f t="shared" si="16"/>
        <v>0</v>
      </c>
      <c r="J429" s="976">
        <f t="shared" si="16"/>
        <v>0</v>
      </c>
      <c r="K429" s="976">
        <f t="shared" si="16"/>
        <v>0</v>
      </c>
      <c r="L429" s="976">
        <f t="shared" si="16"/>
        <v>0</v>
      </c>
      <c r="M429" s="976">
        <f t="shared" si="16"/>
        <v>0</v>
      </c>
      <c r="N429" s="976">
        <f t="shared" si="16"/>
        <v>0</v>
      </c>
      <c r="O429" s="976">
        <f t="shared" si="16"/>
        <v>0</v>
      </c>
      <c r="P429" s="976">
        <f t="shared" si="16"/>
        <v>0</v>
      </c>
    </row>
    <row r="431" spans="2:17">
      <c r="E431" s="960"/>
    </row>
    <row r="438" spans="5:5">
      <c r="E438" s="964"/>
    </row>
    <row r="449" spans="5:5">
      <c r="E449" s="964"/>
    </row>
  </sheetData>
  <printOptions horizontalCentered="1"/>
  <pageMargins left="0.5" right="0.5" top="1" bottom="0.75" header="0.5" footer="0.3"/>
  <pageSetup scale="49" fitToHeight="0" orientation="landscape" horizontalDpi="1200" verticalDpi="1200" r:id="rId1"/>
  <headerFooter scaleWithDoc="0">
    <oddHeader>&amp;C&amp;10Cascade Natural Gas Corporation
Revenue Reconcilliation
IDM WP-1.2&amp;R&amp;9CNGC/401
Myhrum/Page &amp;P of &amp;N</oddHeader>
    <oddFooter>&amp;L&amp;A</oddFooter>
  </headerFooter>
  <rowBreaks count="6" manualBreakCount="6">
    <brk id="64" max="16383" man="1"/>
    <brk id="124" max="16383" man="1"/>
    <brk id="184" max="16383" man="1"/>
    <brk id="244" max="16383" man="1"/>
    <brk id="303" max="16383" man="1"/>
    <brk id="363"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FC212-B821-4A0D-BE3B-3597D263C5A7}">
  <sheetPr codeName="Sheet53">
    <tabColor theme="8" tint="0.79998168889431442"/>
    <pageSetUpPr fitToPage="1"/>
  </sheetPr>
  <dimension ref="A1:AO166"/>
  <sheetViews>
    <sheetView topLeftCell="K116" zoomScale="80" zoomScaleNormal="80" workbookViewId="0">
      <selection activeCell="AB146" sqref="AB146"/>
    </sheetView>
  </sheetViews>
  <sheetFormatPr defaultColWidth="8.88671875" defaultRowHeight="14.4"/>
  <cols>
    <col min="1" max="2" width="8.88671875" style="613"/>
    <col min="3" max="3" width="46.109375" style="613" customWidth="1"/>
    <col min="4" max="4" width="17.88671875" style="613" customWidth="1"/>
    <col min="5" max="5" width="2.44140625" style="613" customWidth="1"/>
    <col min="6" max="6" width="18.6640625" style="613" bestFit="1" customWidth="1"/>
    <col min="7" max="7" width="4.6640625" style="613" customWidth="1"/>
    <col min="8" max="8" width="18.6640625" style="613" bestFit="1" customWidth="1"/>
    <col min="9" max="9" width="2.6640625" style="613" customWidth="1"/>
    <col min="10" max="10" width="18.6640625" style="613" bestFit="1" customWidth="1"/>
    <col min="11" max="11" width="2.109375" style="613" customWidth="1"/>
    <col min="12" max="12" width="18.6640625" style="613" customWidth="1"/>
    <col min="13" max="13" width="2.88671875" style="613" customWidth="1"/>
    <col min="14" max="14" width="18.33203125" style="613" customWidth="1"/>
    <col min="15" max="15" width="3" style="613" customWidth="1"/>
    <col min="16" max="16" width="19.109375" style="613" customWidth="1"/>
    <col min="17" max="17" width="3.33203125" style="613" customWidth="1"/>
    <col min="18" max="18" width="19.44140625" style="613" customWidth="1"/>
    <col min="19" max="19" width="2.5546875" style="613" customWidth="1"/>
    <col min="20" max="20" width="19.5546875" style="613" customWidth="1"/>
    <col min="21" max="21" width="2.88671875" style="613" customWidth="1"/>
    <col min="22" max="22" width="18.33203125" style="613" bestFit="1" customWidth="1"/>
    <col min="23" max="23" width="3" style="613" customWidth="1"/>
    <col min="24" max="24" width="18" style="613" customWidth="1"/>
    <col min="25" max="25" width="2.5546875" style="613" customWidth="1"/>
    <col min="26" max="26" width="18.33203125" style="613" bestFit="1" customWidth="1"/>
    <col min="27" max="27" width="22.6640625" style="613" customWidth="1"/>
    <col min="28" max="28" width="22.33203125" style="613" customWidth="1"/>
    <col min="29" max="29" width="35.88671875" style="613" customWidth="1"/>
    <col min="30" max="30" width="28.6640625" style="613" customWidth="1"/>
    <col min="31" max="31" width="14.6640625" style="613" customWidth="1"/>
    <col min="32" max="32" width="13.33203125" style="613" bestFit="1" customWidth="1"/>
    <col min="33" max="33" width="13.88671875" style="613" bestFit="1" customWidth="1"/>
    <col min="34" max="34" width="12.33203125" style="613" bestFit="1" customWidth="1"/>
    <col min="35" max="35" width="13.33203125" style="613" bestFit="1" customWidth="1"/>
    <col min="36" max="36" width="8.88671875" style="613"/>
    <col min="37" max="37" width="18.6640625" style="613" customWidth="1"/>
    <col min="38" max="38" width="20.109375" style="613" bestFit="1" customWidth="1"/>
    <col min="39" max="39" width="23.44140625" style="613" customWidth="1"/>
    <col min="40" max="40" width="14.88671875" style="613" customWidth="1"/>
    <col min="41" max="41" width="15" style="613" customWidth="1"/>
    <col min="42" max="16384" width="8.88671875" style="613"/>
  </cols>
  <sheetData>
    <row r="1" spans="2:31">
      <c r="B1" s="820" t="s">
        <v>52</v>
      </c>
    </row>
    <row r="2" spans="2:31">
      <c r="B2" s="820" t="s">
        <v>2947</v>
      </c>
    </row>
    <row r="3" spans="2:31" ht="15" thickBot="1"/>
    <row r="4" spans="2:31">
      <c r="B4" s="1879" t="s">
        <v>2948</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4"/>
      <c r="AA4" s="1885" t="s">
        <v>2949</v>
      </c>
      <c r="AB4" s="1849"/>
    </row>
    <row r="5" spans="2:31">
      <c r="B5" s="904">
        <v>1</v>
      </c>
      <c r="C5" s="583" t="s">
        <v>778</v>
      </c>
      <c r="D5" s="583" t="s">
        <v>776</v>
      </c>
      <c r="E5" s="583"/>
      <c r="F5" s="583" t="s">
        <v>777</v>
      </c>
      <c r="G5" s="583"/>
      <c r="H5" s="583" t="s">
        <v>780</v>
      </c>
      <c r="I5" s="583"/>
      <c r="J5" s="583" t="s">
        <v>781</v>
      </c>
      <c r="K5" s="583"/>
      <c r="L5" s="583" t="s">
        <v>782</v>
      </c>
      <c r="M5" s="583"/>
      <c r="N5" s="583" t="s">
        <v>783</v>
      </c>
      <c r="O5" s="583"/>
      <c r="P5" s="583" t="s">
        <v>784</v>
      </c>
      <c r="Q5" s="583"/>
      <c r="R5" s="583" t="s">
        <v>785</v>
      </c>
      <c r="S5" s="583"/>
      <c r="T5" s="583" t="s">
        <v>786</v>
      </c>
      <c r="U5" s="583"/>
      <c r="V5" s="583" t="s">
        <v>787</v>
      </c>
      <c r="W5" s="583"/>
      <c r="X5" s="583" t="s">
        <v>788</v>
      </c>
      <c r="Y5" s="583"/>
      <c r="Z5" s="822" t="s">
        <v>789</v>
      </c>
      <c r="AA5" s="583" t="s">
        <v>790</v>
      </c>
      <c r="AB5" s="583" t="s">
        <v>791</v>
      </c>
      <c r="AC5" s="583" t="s">
        <v>995</v>
      </c>
      <c r="AD5" s="583" t="s">
        <v>996</v>
      </c>
    </row>
    <row r="6" spans="2:31">
      <c r="B6" s="904">
        <v>2</v>
      </c>
      <c r="C6" s="977" t="s">
        <v>2857</v>
      </c>
      <c r="D6" s="977" t="s">
        <v>2950</v>
      </c>
      <c r="E6" s="977"/>
      <c r="F6" s="977" t="s">
        <v>2951</v>
      </c>
      <c r="G6" s="977"/>
      <c r="H6" s="977" t="s">
        <v>2952</v>
      </c>
      <c r="I6" s="977"/>
      <c r="J6" s="977" t="s">
        <v>2953</v>
      </c>
      <c r="K6" s="977"/>
      <c r="L6" s="977" t="s">
        <v>2520</v>
      </c>
      <c r="M6" s="977"/>
      <c r="N6" s="977" t="s">
        <v>2954</v>
      </c>
      <c r="O6" s="977"/>
      <c r="P6" s="977" t="s">
        <v>2955</v>
      </c>
      <c r="Q6" s="977"/>
      <c r="R6" s="977" t="s">
        <v>2956</v>
      </c>
      <c r="S6" s="977"/>
      <c r="T6" s="977" t="s">
        <v>2957</v>
      </c>
      <c r="U6" s="977"/>
      <c r="V6" s="977" t="s">
        <v>2958</v>
      </c>
      <c r="W6" s="977"/>
      <c r="X6" s="977" t="s">
        <v>2959</v>
      </c>
      <c r="Y6" s="977"/>
      <c r="Z6" s="978" t="s">
        <v>2960</v>
      </c>
    </row>
    <row r="7" spans="2:31" ht="15" thickBot="1">
      <c r="B7" s="904">
        <v>3</v>
      </c>
      <c r="C7" s="979" t="s">
        <v>2961</v>
      </c>
      <c r="D7" s="980">
        <f>'Weather Normalization'!E4</f>
        <v>21127127.921285022</v>
      </c>
      <c r="E7" s="980"/>
      <c r="F7" s="980">
        <f>'Weather Normalization'!E5</f>
        <v>17020957.494531143</v>
      </c>
      <c r="G7" s="980"/>
      <c r="H7" s="980">
        <f>'Weather Normalization'!E6</f>
        <v>14382332.729983674</v>
      </c>
      <c r="I7" s="980"/>
      <c r="J7" s="980">
        <f>'Weather Normalization'!E7</f>
        <v>9454438.0865489114</v>
      </c>
      <c r="K7" s="980"/>
      <c r="L7" s="980">
        <f>'Weather Normalization'!E8</f>
        <v>6001953.0208063405</v>
      </c>
      <c r="M7" s="980"/>
      <c r="N7" s="980">
        <f>'Weather Normalization'!E9</f>
        <v>3673706.3233785499</v>
      </c>
      <c r="O7" s="980"/>
      <c r="P7" s="980">
        <f>'Weather Normalization'!E10</f>
        <v>3078408.4761805134</v>
      </c>
      <c r="Q7" s="980"/>
      <c r="R7" s="980">
        <f>'Weather Normalization'!E11</f>
        <v>3078938.801196483</v>
      </c>
      <c r="S7" s="980"/>
      <c r="T7" s="980">
        <f>'Weather Normalization'!E12</f>
        <v>3922180.1070021633</v>
      </c>
      <c r="U7" s="980"/>
      <c r="V7" s="980">
        <f>'Weather Normalization'!E13</f>
        <v>9041686.1170839723</v>
      </c>
      <c r="W7" s="980"/>
      <c r="X7" s="980">
        <f>'Weather Normalization'!E14</f>
        <v>16939826.735064078</v>
      </c>
      <c r="Y7" s="980"/>
      <c r="Z7" s="981">
        <f>'Weather Normalization'!E15</f>
        <v>22806992.536832273</v>
      </c>
      <c r="AA7" s="826"/>
      <c r="AC7" s="907" t="s">
        <v>2962</v>
      </c>
    </row>
    <row r="8" spans="2:31">
      <c r="B8" s="904">
        <v>4</v>
      </c>
      <c r="C8" s="982" t="s">
        <v>2963</v>
      </c>
      <c r="D8" s="983">
        <f>D7/SUM('1501 Summary'!F6)</f>
        <v>109.95860727202097</v>
      </c>
      <c r="E8" s="983"/>
      <c r="F8" s="983">
        <f>F7/SUM('1501 Summary'!H6)</f>
        <v>88.465319567049207</v>
      </c>
      <c r="G8" s="983"/>
      <c r="H8" s="983">
        <f>H7/SUM('1501 Summary'!J6)</f>
        <v>74.482810260096912</v>
      </c>
      <c r="I8" s="983"/>
      <c r="J8" s="983">
        <f>J7/SUM('1501 Summary'!L6)</f>
        <v>48.902552635044295</v>
      </c>
      <c r="K8" s="983"/>
      <c r="L8" s="983">
        <f>L7/SUM('1501 Summary'!N6)</f>
        <v>31.018374064293294</v>
      </c>
      <c r="M8" s="983"/>
      <c r="N8" s="983">
        <f>N7/SUM('1501 Summary'!P6)</f>
        <v>18.987931225004242</v>
      </c>
      <c r="O8" s="983"/>
      <c r="P8" s="983">
        <f>P7/SUM('1501 Summary'!R6)</f>
        <v>15.900295320832994</v>
      </c>
      <c r="Q8" s="983"/>
      <c r="R8" s="983">
        <f>R7/SUM('1501 Summary'!T6)</f>
        <v>15.932952148530577</v>
      </c>
      <c r="S8" s="983"/>
      <c r="T8" s="983">
        <f>T7/SUM('1501 Summary'!V6)</f>
        <v>20.333238844978684</v>
      </c>
      <c r="U8" s="983"/>
      <c r="V8" s="983">
        <f>V7/SUM('1501 Summary'!X6)</f>
        <v>46.591259157205727</v>
      </c>
      <c r="W8" s="983"/>
      <c r="X8" s="983">
        <f>X7/SUM('1501 Summary'!Z6)</f>
        <v>87.039539862688216</v>
      </c>
      <c r="Y8" s="983"/>
      <c r="Z8" s="984">
        <f>Z7/SUM('1501 Summary'!AB6)</f>
        <v>116.74400737530533</v>
      </c>
      <c r="AA8" s="826"/>
      <c r="AC8" s="985"/>
      <c r="AD8" s="986"/>
    </row>
    <row r="9" spans="2:31">
      <c r="B9" s="904">
        <v>5</v>
      </c>
      <c r="C9" s="987" t="s">
        <v>2964</v>
      </c>
      <c r="D9" s="988">
        <f>'Weather Normalization'!J4</f>
        <v>14853300.607932108</v>
      </c>
      <c r="E9" s="988"/>
      <c r="F9" s="988">
        <f>'Weather Normalization'!J5</f>
        <v>11872180.774175381</v>
      </c>
      <c r="G9" s="988"/>
      <c r="H9" s="988">
        <f>'Weather Normalization'!J6</f>
        <v>9484536.818317553</v>
      </c>
      <c r="I9" s="988"/>
      <c r="J9" s="988">
        <f>'Weather Normalization'!J7</f>
        <v>6162633.5881015919</v>
      </c>
      <c r="K9" s="988"/>
      <c r="L9" s="988">
        <f>'Weather Normalization'!J8</f>
        <v>4478189.5980950147</v>
      </c>
      <c r="M9" s="988"/>
      <c r="N9" s="988">
        <f>'Weather Normalization'!J9</f>
        <v>3150663.1401956589</v>
      </c>
      <c r="O9" s="988"/>
      <c r="P9" s="988">
        <f>'Weather Normalization'!J10</f>
        <v>3112806.7024267702</v>
      </c>
      <c r="Q9" s="988"/>
      <c r="R9" s="988">
        <f>'Weather Normalization'!J11</f>
        <v>3114703.9411617112</v>
      </c>
      <c r="S9" s="988"/>
      <c r="T9" s="988">
        <f>'Weather Normalization'!J12</f>
        <v>3787984.9158109231</v>
      </c>
      <c r="U9" s="988"/>
      <c r="V9" s="988">
        <f>'Weather Normalization'!J13</f>
        <v>7163297.2456065919</v>
      </c>
      <c r="W9" s="988"/>
      <c r="X9" s="988">
        <f>'Weather Normalization'!J14</f>
        <v>11025641.995172838</v>
      </c>
      <c r="Y9" s="988"/>
      <c r="Z9" s="989">
        <f>'Weather Normalization'!J15</f>
        <v>14473775.72704928</v>
      </c>
      <c r="AA9" s="826"/>
      <c r="AC9" s="990" t="s">
        <v>2965</v>
      </c>
      <c r="AD9" s="991"/>
    </row>
    <row r="10" spans="2:31">
      <c r="B10" s="904">
        <v>6</v>
      </c>
      <c r="C10" s="992" t="s">
        <v>2966</v>
      </c>
      <c r="D10" s="993">
        <f>D9/SUM('1501 Summary'!F30, '1501 Summary'!F49)</f>
        <v>557.42354025481166</v>
      </c>
      <c r="E10" s="993"/>
      <c r="F10" s="993">
        <f>F9/SUM('1501 Summary'!H30, '1501 Summary'!H49)</f>
        <v>444.86372066237368</v>
      </c>
      <c r="G10" s="993"/>
      <c r="H10" s="993">
        <f>H9/SUM('1501 Summary'!J30, '1501 Summary'!J49)</f>
        <v>354.44287224177111</v>
      </c>
      <c r="I10" s="993"/>
      <c r="J10" s="993">
        <f>J9/SUM('1501 Summary'!L30, '1501 Summary'!L49)</f>
        <v>230.38743833794129</v>
      </c>
      <c r="K10" s="993"/>
      <c r="L10" s="993">
        <f>L9/SUM('1501 Summary'!N30, '1501 Summary'!N49)</f>
        <v>167.92371374287592</v>
      </c>
      <c r="M10" s="993"/>
      <c r="N10" s="993">
        <f>N9/SUM('1501 Summary'!P30, '1501 Summary'!P49)</f>
        <v>118.68833619644846</v>
      </c>
      <c r="O10" s="993"/>
      <c r="P10" s="993">
        <f>P9/SUM('1501 Summary'!R30, '1501 Summary'!R49)</f>
        <v>117.5220561946151</v>
      </c>
      <c r="Q10" s="993"/>
      <c r="R10" s="993">
        <f>R9/SUM('1501 Summary'!T30, '1501 Summary'!T49)</f>
        <v>118.20290923010975</v>
      </c>
      <c r="S10" s="993"/>
      <c r="T10" s="993">
        <f>T9/SUM('1501 Summary'!V30, '1501 Summary'!V49)</f>
        <v>143.38776611762481</v>
      </c>
      <c r="U10" s="993"/>
      <c r="V10" s="993">
        <f>V9/SUM('1501 Summary'!X30, '1501 Summary'!X49)</f>
        <v>270.24171900277634</v>
      </c>
      <c r="W10" s="993"/>
      <c r="X10" s="993">
        <f>X9/SUM('1501 Summary'!Z30, '1501 Summary'!Z49)</f>
        <v>413.33240844134349</v>
      </c>
      <c r="Y10" s="993"/>
      <c r="Z10" s="994">
        <f>Z9/SUM('1501 Summary'!AB30, '1501 Summary'!AB49)</f>
        <v>539.20112234285591</v>
      </c>
      <c r="AA10" s="826"/>
      <c r="AC10" s="995">
        <v>43800</v>
      </c>
      <c r="AD10" s="991"/>
    </row>
    <row r="11" spans="2:31">
      <c r="B11" s="904">
        <v>7</v>
      </c>
      <c r="C11" s="982" t="s">
        <v>2967</v>
      </c>
      <c r="D11" s="983"/>
      <c r="E11" s="983"/>
      <c r="F11" s="983"/>
      <c r="G11" s="983"/>
      <c r="H11" s="983"/>
      <c r="I11" s="983"/>
      <c r="J11" s="983"/>
      <c r="K11" s="983"/>
      <c r="L11" s="983"/>
      <c r="M11" s="983"/>
      <c r="N11" s="983"/>
      <c r="O11" s="983"/>
      <c r="P11" s="983"/>
      <c r="Q11" s="983"/>
      <c r="R11" s="983"/>
      <c r="S11" s="983"/>
      <c r="T11" s="983"/>
      <c r="U11" s="983"/>
      <c r="V11" s="983"/>
      <c r="W11" s="983"/>
      <c r="X11" s="983"/>
      <c r="Y11" s="983"/>
      <c r="Z11" s="984"/>
      <c r="AA11" s="826"/>
      <c r="AC11" s="996" t="s">
        <v>2716</v>
      </c>
      <c r="AD11" s="997">
        <v>498106.94118807081</v>
      </c>
    </row>
    <row r="12" spans="2:31">
      <c r="B12" s="904">
        <v>8</v>
      </c>
      <c r="C12" s="979" t="s">
        <v>2968</v>
      </c>
      <c r="D12" s="980"/>
      <c r="E12" s="980"/>
      <c r="F12" s="980"/>
      <c r="G12" s="980"/>
      <c r="H12" s="980"/>
      <c r="I12" s="980"/>
      <c r="J12" s="980"/>
      <c r="K12" s="980"/>
      <c r="L12" s="980"/>
      <c r="M12" s="980"/>
      <c r="N12" s="980"/>
      <c r="O12" s="980"/>
      <c r="P12" s="980"/>
      <c r="Q12" s="980"/>
      <c r="R12" s="980"/>
      <c r="S12" s="980"/>
      <c r="T12" s="980"/>
      <c r="U12" s="980"/>
      <c r="V12" s="980"/>
      <c r="W12" s="980"/>
      <c r="X12" s="980"/>
      <c r="Y12" s="980"/>
      <c r="Z12" s="981"/>
      <c r="AA12" s="826"/>
      <c r="AC12" s="996" t="s">
        <v>2494</v>
      </c>
      <c r="AD12" s="997">
        <v>200000</v>
      </c>
    </row>
    <row r="13" spans="2:31">
      <c r="B13" s="904">
        <v>9</v>
      </c>
      <c r="C13" s="998" t="s">
        <v>2681</v>
      </c>
      <c r="D13" s="980">
        <f>'1501 Summary'!F181</f>
        <v>78.987171587025941</v>
      </c>
      <c r="E13" s="980"/>
      <c r="F13" s="980">
        <f>'1501 Summary'!H181</f>
        <v>7.0024088286370514</v>
      </c>
      <c r="G13" s="980"/>
      <c r="H13" s="980">
        <f>'1501 Summary'!J181</f>
        <v>0</v>
      </c>
      <c r="I13" s="980"/>
      <c r="J13" s="980">
        <f>'1501 Summary'!L181</f>
        <v>0</v>
      </c>
      <c r="K13" s="980"/>
      <c r="L13" s="980">
        <f>'1501 Summary'!N181</f>
        <v>128.00403338748529</v>
      </c>
      <c r="M13" s="980"/>
      <c r="N13" s="980">
        <f>'1501 Summary'!P181</f>
        <v>151.02795361604393</v>
      </c>
      <c r="O13" s="980"/>
      <c r="P13" s="980">
        <f>'1501 Summary'!R181</f>
        <v>0</v>
      </c>
      <c r="Q13" s="980"/>
      <c r="R13" s="980">
        <f>'1501 Summary'!T181</f>
        <v>163.01607753067054</v>
      </c>
      <c r="S13" s="980"/>
      <c r="T13" s="980">
        <f>'1501 Summary'!V181</f>
        <v>0</v>
      </c>
      <c r="U13" s="980"/>
      <c r="V13" s="980">
        <f>'1501 Summary'!X181</f>
        <v>411.01338860568035</v>
      </c>
      <c r="W13" s="980"/>
      <c r="X13" s="980">
        <f>'1501 Summary'!Z181</f>
        <v>317.01305249005662</v>
      </c>
      <c r="Y13" s="980"/>
      <c r="Z13" s="981">
        <f>'1501 Summary'!AB181</f>
        <v>491.00890706403004</v>
      </c>
      <c r="AA13" s="826"/>
      <c r="AC13" s="996" t="s">
        <v>2494</v>
      </c>
      <c r="AD13" s="997">
        <v>800636.39719453675</v>
      </c>
    </row>
    <row r="14" spans="2:31">
      <c r="B14" s="904">
        <v>10</v>
      </c>
      <c r="C14" s="998" t="s">
        <v>2682</v>
      </c>
      <c r="D14" s="980">
        <f>'1501 Summary'!F182</f>
        <v>229.23151414539669</v>
      </c>
      <c r="E14" s="980"/>
      <c r="F14" s="980">
        <f>'1501 Summary'!H182</f>
        <v>20.33616932973646</v>
      </c>
      <c r="G14" s="980"/>
      <c r="H14" s="980">
        <f>'1501 Summary'!J182</f>
        <v>0</v>
      </c>
      <c r="I14" s="980"/>
      <c r="J14" s="980">
        <f>'1501 Summary'!L182</f>
        <v>0</v>
      </c>
      <c r="K14" s="980"/>
      <c r="L14" s="980">
        <f>'1501 Summary'!N182</f>
        <v>371.44635816559452</v>
      </c>
      <c r="M14" s="980"/>
      <c r="N14" s="980">
        <f>'1501 Summary'!P182</f>
        <v>0</v>
      </c>
      <c r="O14" s="980"/>
      <c r="P14" s="980">
        <f>'1501 Summary'!R182</f>
        <v>0</v>
      </c>
      <c r="Q14" s="980"/>
      <c r="R14" s="980">
        <f>'1501 Summary'!T182</f>
        <v>0</v>
      </c>
      <c r="S14" s="980"/>
      <c r="T14" s="980">
        <f>'1501 Summary'!V182</f>
        <v>0</v>
      </c>
      <c r="U14" s="980"/>
      <c r="V14" s="980">
        <f>'1501 Summary'!X182</f>
        <v>0</v>
      </c>
      <c r="W14" s="980"/>
      <c r="X14" s="980">
        <f>'1501 Summary'!Z182</f>
        <v>0</v>
      </c>
      <c r="Y14" s="980"/>
      <c r="Z14" s="981">
        <f>'1501 Summary'!AB182</f>
        <v>0</v>
      </c>
      <c r="AA14" s="826"/>
      <c r="AC14" s="996" t="s">
        <v>2717</v>
      </c>
      <c r="AD14" s="999">
        <v>0</v>
      </c>
      <c r="AE14" s="613" t="s">
        <v>2437</v>
      </c>
    </row>
    <row r="15" spans="2:31">
      <c r="B15" s="904">
        <v>11</v>
      </c>
      <c r="C15" s="979">
        <v>505</v>
      </c>
      <c r="D15" s="980"/>
      <c r="E15" s="980"/>
      <c r="F15" s="980"/>
      <c r="G15" s="980"/>
      <c r="H15" s="980"/>
      <c r="I15" s="980"/>
      <c r="J15" s="980"/>
      <c r="K15" s="980"/>
      <c r="L15" s="980"/>
      <c r="M15" s="980"/>
      <c r="N15" s="980"/>
      <c r="O15" s="980"/>
      <c r="P15" s="980"/>
      <c r="Q15" s="980"/>
      <c r="R15" s="980"/>
      <c r="S15" s="980"/>
      <c r="T15" s="980"/>
      <c r="U15" s="980"/>
      <c r="V15" s="980"/>
      <c r="W15" s="980"/>
      <c r="X15" s="980"/>
      <c r="Y15" s="980"/>
      <c r="Z15" s="981"/>
      <c r="AA15" s="826"/>
      <c r="AC15" s="996" t="s">
        <v>51</v>
      </c>
      <c r="AD15" s="997">
        <f>SUM(AD11:AD14)</f>
        <v>1498743.3383826076</v>
      </c>
      <c r="AE15" s="826">
        <f>AD15-SUM(Z26:Z28)</f>
        <v>0</v>
      </c>
    </row>
    <row r="16" spans="2:31">
      <c r="B16" s="904">
        <v>12</v>
      </c>
      <c r="C16" s="998" t="s">
        <v>2681</v>
      </c>
      <c r="D16" s="980">
        <f>'1501 Summary'!F102</f>
        <v>191473.41885608647</v>
      </c>
      <c r="E16" s="980"/>
      <c r="F16" s="980">
        <f>'1501 Summary'!H102</f>
        <v>194768.36031594867</v>
      </c>
      <c r="G16" s="1000"/>
      <c r="H16" s="980">
        <f>'1501 Summary'!J102</f>
        <v>206171.19489104254</v>
      </c>
      <c r="I16" s="980"/>
      <c r="J16" s="980">
        <f>'1501 Summary'!L102</f>
        <v>180644.66976639963</v>
      </c>
      <c r="K16" s="980"/>
      <c r="L16" s="980">
        <f>'1501 Summary'!N102</f>
        <v>137895.52406027674</v>
      </c>
      <c r="M16" s="980"/>
      <c r="N16" s="980">
        <f>'1501 Summary'!P102</f>
        <v>105357.51498515491</v>
      </c>
      <c r="O16" s="980"/>
      <c r="P16" s="980">
        <f>'1501 Summary'!R102</f>
        <v>88550.221276118988</v>
      </c>
      <c r="Q16" s="980"/>
      <c r="R16" s="980">
        <f>'1501 Summary'!T102</f>
        <v>84408.100386532969</v>
      </c>
      <c r="S16" s="980"/>
      <c r="T16" s="980">
        <f>'1501 Summary'!V102</f>
        <v>90582.432356730715</v>
      </c>
      <c r="U16" s="980"/>
      <c r="V16" s="980">
        <f>'1501 Summary'!X102</f>
        <v>129677.44103971767</v>
      </c>
      <c r="W16" s="980"/>
      <c r="X16" s="980">
        <f>'1501 Summary'!Z102</f>
        <v>172551.95787350848</v>
      </c>
      <c r="Y16" s="980"/>
      <c r="Z16" s="981">
        <f>'1501 Summary'!AB102</f>
        <v>190723.32082236288</v>
      </c>
      <c r="AA16" s="826"/>
      <c r="AC16" s="995">
        <v>43770</v>
      </c>
      <c r="AD16" s="991"/>
    </row>
    <row r="17" spans="2:32">
      <c r="B17" s="904">
        <v>13</v>
      </c>
      <c r="C17" s="998" t="s">
        <v>2682</v>
      </c>
      <c r="D17" s="980">
        <f>'1501 Summary'!F103</f>
        <v>688140.62391920865</v>
      </c>
      <c r="E17" s="980"/>
      <c r="F17" s="980">
        <f>'1501 Summary'!H103</f>
        <v>709661.68638030009</v>
      </c>
      <c r="G17" s="980"/>
      <c r="H17" s="980">
        <f>'1501 Summary'!J103</f>
        <v>770116.48336446017</v>
      </c>
      <c r="I17" s="980"/>
      <c r="J17" s="980">
        <f>'1501 Summary'!L103</f>
        <v>577002.69765511516</v>
      </c>
      <c r="K17" s="980"/>
      <c r="L17" s="980">
        <f>'1501 Summary'!N103</f>
        <v>401254.8246524175</v>
      </c>
      <c r="M17" s="980"/>
      <c r="N17" s="980">
        <f>'1501 Summary'!P103</f>
        <v>300279.44940167386</v>
      </c>
      <c r="O17" s="980"/>
      <c r="P17" s="980">
        <f>'1501 Summary'!R103</f>
        <v>273632.56553918513</v>
      </c>
      <c r="Q17" s="980"/>
      <c r="R17" s="980">
        <f>'1501 Summary'!T103</f>
        <v>272914.15923082241</v>
      </c>
      <c r="S17" s="980"/>
      <c r="T17" s="980">
        <f>'1501 Summary'!V103</f>
        <v>293937.8847617071</v>
      </c>
      <c r="U17" s="980"/>
      <c r="V17" s="980">
        <f>'1501 Summary'!X103</f>
        <v>398691.08390399109</v>
      </c>
      <c r="W17" s="980"/>
      <c r="X17" s="980">
        <f>'1501 Summary'!Z103</f>
        <v>536978.55710036657</v>
      </c>
      <c r="Y17" s="980"/>
      <c r="Z17" s="981">
        <f>'1501 Summary'!AB103</f>
        <v>663264.02434806665</v>
      </c>
      <c r="AA17" s="826"/>
      <c r="AC17" s="996" t="s">
        <v>2716</v>
      </c>
      <c r="AD17" s="997">
        <v>450355.99175149901</v>
      </c>
      <c r="AF17" s="826"/>
    </row>
    <row r="18" spans="2:32">
      <c r="B18" s="904">
        <v>14</v>
      </c>
      <c r="C18" s="998" t="s">
        <v>2683</v>
      </c>
      <c r="D18" s="980">
        <f>'1501 Summary'!F104</f>
        <v>554113.81239242689</v>
      </c>
      <c r="E18" s="980"/>
      <c r="F18" s="980">
        <f>'1501 Summary'!H104</f>
        <v>711733.00344234076</v>
      </c>
      <c r="G18" s="980"/>
      <c r="H18" s="980">
        <f>'1501 Summary'!J104</f>
        <v>818456.18187033839</v>
      </c>
      <c r="I18" s="980"/>
      <c r="J18" s="980">
        <f>'1501 Summary'!L104</f>
        <v>573665.80608146871</v>
      </c>
      <c r="K18" s="980"/>
      <c r="L18" s="980">
        <f>'1501 Summary'!N104</f>
        <v>250735.08318990245</v>
      </c>
      <c r="M18" s="980"/>
      <c r="N18" s="980">
        <f>'1501 Summary'!P104</f>
        <v>173406.7699368904</v>
      </c>
      <c r="O18" s="980"/>
      <c r="P18" s="980">
        <f>'1501 Summary'!R104</f>
        <v>174990.89213998851</v>
      </c>
      <c r="Q18" s="980"/>
      <c r="R18" s="980">
        <f>'1501 Summary'!T104</f>
        <v>207087.06253585772</v>
      </c>
      <c r="S18" s="980"/>
      <c r="T18" s="980">
        <f>'1501 Summary'!V104</f>
        <v>267470.09466437175</v>
      </c>
      <c r="U18" s="980"/>
      <c r="V18" s="980">
        <f>'1501 Summary'!X104</f>
        <v>745993.83247274812</v>
      </c>
      <c r="W18" s="980"/>
      <c r="X18" s="980">
        <f>'1501 Summary'!Z104</f>
        <v>449103.98737808369</v>
      </c>
      <c r="Y18" s="980"/>
      <c r="Z18" s="981">
        <f>'1501 Summary'!AB104</f>
        <v>568661.79001721169</v>
      </c>
      <c r="AA18" s="826"/>
      <c r="AC18" s="996" t="s">
        <v>2494</v>
      </c>
      <c r="AD18" s="997">
        <v>200000</v>
      </c>
      <c r="AF18" s="826"/>
    </row>
    <row r="19" spans="2:32">
      <c r="B19" s="904">
        <v>15</v>
      </c>
      <c r="C19" s="979" t="s">
        <v>2969</v>
      </c>
      <c r="D19" s="980">
        <f>SUM(D12:D18)</f>
        <v>1434036.0738534546</v>
      </c>
      <c r="E19" s="980"/>
      <c r="F19" s="980">
        <f t="shared" ref="F19:Z19" si="0">SUM(F12:F18)</f>
        <v>1616190.388716748</v>
      </c>
      <c r="G19" s="980"/>
      <c r="H19" s="980">
        <f t="shared" si="0"/>
        <v>1794743.8601258411</v>
      </c>
      <c r="I19" s="980"/>
      <c r="J19" s="980">
        <f t="shared" si="0"/>
        <v>1331313.1735029835</v>
      </c>
      <c r="K19" s="980"/>
      <c r="L19" s="980">
        <f t="shared" si="0"/>
        <v>790384.88229414984</v>
      </c>
      <c r="M19" s="980"/>
      <c r="N19" s="980">
        <f t="shared" si="0"/>
        <v>579194.76227733516</v>
      </c>
      <c r="O19" s="980"/>
      <c r="P19" s="980">
        <f t="shared" si="0"/>
        <v>537173.67895529268</v>
      </c>
      <c r="Q19" s="980"/>
      <c r="R19" s="980">
        <f t="shared" si="0"/>
        <v>564572.33823074377</v>
      </c>
      <c r="S19" s="980"/>
      <c r="T19" s="980">
        <f t="shared" si="0"/>
        <v>651990.41178280953</v>
      </c>
      <c r="U19" s="980"/>
      <c r="V19" s="980">
        <f t="shared" si="0"/>
        <v>1274773.3708050626</v>
      </c>
      <c r="W19" s="980"/>
      <c r="X19" s="980">
        <f t="shared" si="0"/>
        <v>1158951.5154044488</v>
      </c>
      <c r="Y19" s="980"/>
      <c r="Z19" s="981">
        <f t="shared" si="0"/>
        <v>1423140.1440947051</v>
      </c>
      <c r="AA19" s="826"/>
      <c r="AC19" s="996" t="s">
        <v>2494</v>
      </c>
      <c r="AD19" s="997">
        <v>697005.16795865633</v>
      </c>
      <c r="AF19" s="826"/>
    </row>
    <row r="20" spans="2:32">
      <c r="B20" s="904">
        <v>16</v>
      </c>
      <c r="C20" s="979" t="s">
        <v>2970</v>
      </c>
      <c r="D20" s="980">
        <f>SUM(D16,D13)/SUM('1501 Summary'!F101,'1501 Summary'!F180)</f>
        <v>398.23785036938358</v>
      </c>
      <c r="E20" s="980"/>
      <c r="F20" s="980">
        <f>SUM(F16,F13)/SUM('1501 Summary'!H101,'1501 Summary'!H180)</f>
        <v>406.62914973857477</v>
      </c>
      <c r="G20" s="980"/>
      <c r="H20" s="980">
        <f>SUM(H16,H13)/SUM('1501 Summary'!J101,'1501 Summary'!J180)</f>
        <v>421.61798546225469</v>
      </c>
      <c r="I20" s="980"/>
      <c r="J20" s="980">
        <f>SUM(J16,J13)/SUM('1501 Summary'!L101,'1501 Summary'!L180)</f>
        <v>375.56064400498883</v>
      </c>
      <c r="K20" s="980"/>
      <c r="L20" s="980">
        <f>SUM(L16,L13)/SUM('1501 Summary'!N101,'1501 Summary'!N180)</f>
        <v>290.57584861824051</v>
      </c>
      <c r="M20" s="980"/>
      <c r="N20" s="980">
        <f>SUM(N16,N13)/SUM('1501 Summary'!P101,'1501 Summary'!P180)</f>
        <v>218.44418827902888</v>
      </c>
      <c r="O20" s="980"/>
      <c r="P20" s="980">
        <f>SUM(P16,P13)/SUM('1501 Summary'!R101,'1501 Summary'!R180)</f>
        <v>185.25150894585562</v>
      </c>
      <c r="Q20" s="980"/>
      <c r="R20" s="980">
        <f>SUM(R16,R13)/SUM('1501 Summary'!T101,'1501 Summary'!T180)</f>
        <v>172.94706843366797</v>
      </c>
      <c r="S20" s="980"/>
      <c r="T20" s="980">
        <f>SUM(T16,T13)/SUM('1501 Summary'!V101,'1501 Summary'!V180)</f>
        <v>188.713400743189</v>
      </c>
      <c r="U20" s="980"/>
      <c r="V20" s="980">
        <f>SUM(V16,V13)/SUM('1501 Summary'!X101,'1501 Summary'!X180)</f>
        <v>272.72212668411606</v>
      </c>
      <c r="W20" s="980"/>
      <c r="X20" s="980">
        <f>SUM(X16,X13)/SUM('1501 Summary'!Z101,'1501 Summary'!Z180)</f>
        <v>357.90677210351663</v>
      </c>
      <c r="Y20" s="980"/>
      <c r="Z20" s="981">
        <f>SUM(Z16,Z13)/SUM('1501 Summary'!AB101,'1501 Summary'!AB180)</f>
        <v>391.83264288816991</v>
      </c>
      <c r="AA20" s="826"/>
      <c r="AC20" s="996" t="s">
        <v>2717</v>
      </c>
      <c r="AD20" s="999">
        <v>0</v>
      </c>
      <c r="AE20" s="613" t="s">
        <v>2437</v>
      </c>
    </row>
    <row r="21" spans="2:32">
      <c r="B21" s="904">
        <v>17</v>
      </c>
      <c r="C21" s="979" t="s">
        <v>2971</v>
      </c>
      <c r="D21" s="980">
        <f>SUM(D17,D14)/SUM('1501 Summary'!F101,'1501 Summary'!F180)</f>
        <v>1431.1223605683035</v>
      </c>
      <c r="E21" s="980"/>
      <c r="F21" s="980">
        <f>SUM(F17,F14)/SUM('1501 Summary'!H101,'1501 Summary'!H180)</f>
        <v>1481.5908612727135</v>
      </c>
      <c r="G21" s="980"/>
      <c r="H21" s="980">
        <f>SUM(H17,H14)/SUM('1501 Summary'!J101,'1501 Summary'!J180)</f>
        <v>1574.8803340786508</v>
      </c>
      <c r="I21" s="980"/>
      <c r="J21" s="980">
        <f>SUM(J17,J14)/SUM('1501 Summary'!L101,'1501 Summary'!L180)</f>
        <v>1199.5898080147924</v>
      </c>
      <c r="K21" s="980"/>
      <c r="L21" s="980">
        <f>SUM(L17,L14)/SUM('1501 Summary'!N101,'1501 Summary'!N180)</f>
        <v>845.52899160122752</v>
      </c>
      <c r="M21" s="980"/>
      <c r="N21" s="980">
        <f>SUM(N17,N14)/SUM('1501 Summary'!P101,'1501 Summary'!P180)</f>
        <v>621.69658261216125</v>
      </c>
      <c r="O21" s="980"/>
      <c r="P21" s="980">
        <f>SUM(P17,P14)/SUM('1501 Summary'!R101,'1501 Summary'!R180)</f>
        <v>572.45306598155889</v>
      </c>
      <c r="Q21" s="980"/>
      <c r="R21" s="980">
        <f>SUM(R17,R14)/SUM('1501 Summary'!T101,'1501 Summary'!T180)</f>
        <v>558.1066650937064</v>
      </c>
      <c r="S21" s="980"/>
      <c r="T21" s="980">
        <f>SUM(T17,T14)/SUM('1501 Summary'!V101,'1501 Summary'!V180)</f>
        <v>612.37059325355642</v>
      </c>
      <c r="U21" s="980"/>
      <c r="V21" s="980">
        <f>SUM(V17,V14)/SUM('1501 Summary'!X101,'1501 Summary'!X180)</f>
        <v>835.83036457859771</v>
      </c>
      <c r="W21" s="980"/>
      <c r="X21" s="980">
        <f>SUM(X17,X14)/SUM('1501 Summary'!Z101,'1501 Summary'!Z180)</f>
        <v>1111.7568469986886</v>
      </c>
      <c r="Y21" s="980"/>
      <c r="Z21" s="981">
        <f>SUM(Z17,Z14)/SUM('1501 Summary'!AB101,'1501 Summary'!AB180)</f>
        <v>1359.1475908771858</v>
      </c>
      <c r="AA21" s="826"/>
      <c r="AC21" s="996"/>
      <c r="AD21" s="997">
        <v>1347361.1597101553</v>
      </c>
      <c r="AE21" s="826">
        <f>AD21-SUM(X26:X28)</f>
        <v>0</v>
      </c>
      <c r="AF21" s="826"/>
    </row>
    <row r="22" spans="2:32" ht="15" thickBot="1">
      <c r="B22" s="904">
        <v>18</v>
      </c>
      <c r="C22" s="979" t="s">
        <v>2972</v>
      </c>
      <c r="D22" s="980">
        <f>SUM(D18)/SUM('1501 Summary'!F101,'1501 Summary'!F180)</f>
        <v>1152.0037679676234</v>
      </c>
      <c r="E22" s="980"/>
      <c r="F22" s="980">
        <f>SUM(F18)/SUM('1501 Summary'!H101,'1501 Summary'!H180)</f>
        <v>1485.8726585435088</v>
      </c>
      <c r="G22" s="980"/>
      <c r="H22" s="980">
        <f>SUM(H18)/SUM('1501 Summary'!J101,'1501 Summary'!J180)</f>
        <v>1673.7345232522257</v>
      </c>
      <c r="I22" s="980"/>
      <c r="J22" s="980">
        <f>SUM(J18)/SUM('1501 Summary'!L101,'1501 Summary'!L180)</f>
        <v>1192.652403495777</v>
      </c>
      <c r="K22" s="980"/>
      <c r="L22" s="980">
        <f>SUM(L18)/SUM('1501 Summary'!N101,'1501 Summary'!N180)</f>
        <v>527.8633330313736</v>
      </c>
      <c r="M22" s="980"/>
      <c r="N22" s="980">
        <f>SUM(N18)/SUM('1501 Summary'!P101,'1501 Summary'!P180)</f>
        <v>359.02022761260952</v>
      </c>
      <c r="O22" s="980"/>
      <c r="P22" s="980">
        <f>SUM(P18)/SUM('1501 Summary'!R101,'1501 Summary'!R180)</f>
        <v>366.08973251043625</v>
      </c>
      <c r="Q22" s="980"/>
      <c r="R22" s="980">
        <f>SUM(R18)/SUM('1501 Summary'!T101,'1501 Summary'!T180)</f>
        <v>423.4909254312019</v>
      </c>
      <c r="S22" s="980"/>
      <c r="T22" s="980">
        <f>SUM(T18)/SUM('1501 Summary'!V101,'1501 Summary'!V180)</f>
        <v>557.22936388410778</v>
      </c>
      <c r="U22" s="980"/>
      <c r="V22" s="980">
        <f>SUM(V18)/SUM('1501 Summary'!X101,'1501 Summary'!X180)</f>
        <v>1563.9283699638324</v>
      </c>
      <c r="W22" s="980"/>
      <c r="X22" s="980">
        <f>SUM(X18)/SUM('1501 Summary'!Z101,'1501 Summary'!Z180)</f>
        <v>929.82192003744035</v>
      </c>
      <c r="Y22" s="980"/>
      <c r="Z22" s="1001">
        <f>SUM(Z18)/SUM('1501 Summary'!AB101,'1501 Summary'!AB180)</f>
        <v>1165.2905533139583</v>
      </c>
      <c r="AA22" s="834"/>
      <c r="AB22" s="830"/>
      <c r="AC22" s="1002"/>
      <c r="AD22" s="1003"/>
    </row>
    <row r="23" spans="2:32" s="1008" customFormat="1">
      <c r="B23" s="904">
        <v>19</v>
      </c>
      <c r="C23" s="982" t="s">
        <v>2973</v>
      </c>
      <c r="D23" s="1004">
        <f>D19/SUM('1501 Summary'!F101+'1501 Summary'!F180)</f>
        <v>2981.3639789053109</v>
      </c>
      <c r="E23" s="1004"/>
      <c r="F23" s="1004">
        <f>F19/SUM('1501 Summary'!H101+'1501 Summary'!H180)</f>
        <v>3374.0926695547973</v>
      </c>
      <c r="G23" s="1004"/>
      <c r="H23" s="1004">
        <f>H19/SUM('1501 Summary'!J101+'1501 Summary'!J180)</f>
        <v>3670.2328427931311</v>
      </c>
      <c r="I23" s="1004"/>
      <c r="J23" s="1004">
        <f>J19/SUM('1501 Summary'!L101+'1501 Summary'!L180)</f>
        <v>2767.8028555155583</v>
      </c>
      <c r="K23" s="1004"/>
      <c r="L23" s="1004">
        <f>L19/SUM('1501 Summary'!N101+'1501 Summary'!N180)</f>
        <v>1663.9681732508418</v>
      </c>
      <c r="M23" s="1004"/>
      <c r="N23" s="1004">
        <f>N19/SUM('1501 Summary'!P101+'1501 Summary'!P180)</f>
        <v>1199.1609985037994</v>
      </c>
      <c r="O23" s="1004"/>
      <c r="P23" s="1004">
        <f>P19/SUM('1501 Summary'!R101+'1501 Summary'!R180)</f>
        <v>1123.7943074378509</v>
      </c>
      <c r="Q23" s="1004"/>
      <c r="R23" s="1004">
        <f>R19/SUM('1501 Summary'!T101+'1501 Summary'!T180)</f>
        <v>1154.5446589585763</v>
      </c>
      <c r="S23" s="1004"/>
      <c r="T23" s="1004">
        <f>T19/SUM('1501 Summary'!V101+'1501 Summary'!V180)</f>
        <v>1358.3133578808531</v>
      </c>
      <c r="U23" s="1004"/>
      <c r="V23" s="1004">
        <f>V19/SUM('1501 Summary'!X101+'1501 Summary'!X180)</f>
        <v>2672.4808612265465</v>
      </c>
      <c r="W23" s="1004"/>
      <c r="X23" s="1004">
        <f>X19/SUM('1501 Summary'!Z101+'1501 Summary'!Z180)</f>
        <v>2399.4855391396454</v>
      </c>
      <c r="Y23" s="1004"/>
      <c r="Z23" s="1005">
        <f>Z19/SUM('1501 Summary'!AB101+'1501 Summary'!AB180)</f>
        <v>2916.2707870793138</v>
      </c>
      <c r="AA23" s="834"/>
      <c r="AB23" s="1006"/>
      <c r="AC23" s="1007"/>
    </row>
    <row r="24" spans="2:32">
      <c r="B24" s="904">
        <v>20</v>
      </c>
      <c r="C24" s="1009" t="s">
        <v>2974</v>
      </c>
      <c r="D24" s="988"/>
      <c r="E24" s="988"/>
      <c r="F24" s="988"/>
      <c r="G24" s="988"/>
      <c r="H24" s="988"/>
      <c r="I24" s="988"/>
      <c r="J24" s="988"/>
      <c r="K24" s="988"/>
      <c r="L24" s="988"/>
      <c r="M24" s="988"/>
      <c r="N24" s="988"/>
      <c r="O24" s="988"/>
      <c r="P24" s="988"/>
      <c r="Q24" s="988"/>
      <c r="R24" s="988"/>
      <c r="S24" s="988"/>
      <c r="T24" s="988"/>
      <c r="U24" s="988"/>
      <c r="V24" s="988"/>
      <c r="W24" s="988"/>
      <c r="X24" s="988"/>
      <c r="Y24" s="988"/>
      <c r="Z24" s="1010"/>
      <c r="AA24" s="834"/>
      <c r="AB24" s="830"/>
      <c r="AC24" s="825"/>
    </row>
    <row r="25" spans="2:32">
      <c r="B25" s="904">
        <v>21</v>
      </c>
      <c r="C25" s="1009" t="s">
        <v>2975</v>
      </c>
      <c r="D25" s="988"/>
      <c r="E25" s="988"/>
      <c r="F25" s="988"/>
      <c r="G25" s="988"/>
      <c r="H25" s="988"/>
      <c r="I25" s="988"/>
      <c r="J25" s="988"/>
      <c r="K25" s="988"/>
      <c r="L25" s="988"/>
      <c r="M25" s="988"/>
      <c r="N25" s="988"/>
      <c r="O25" s="988"/>
      <c r="P25" s="988"/>
      <c r="Q25" s="988"/>
      <c r="R25" s="988"/>
      <c r="S25" s="988"/>
      <c r="T25" s="988"/>
      <c r="U25" s="988"/>
      <c r="V25" s="988"/>
      <c r="W25" s="988"/>
      <c r="X25" s="988"/>
      <c r="Y25" s="988"/>
      <c r="Z25" s="1010"/>
      <c r="AA25" s="1886"/>
      <c r="AB25" s="1886"/>
      <c r="AC25" s="825"/>
    </row>
    <row r="26" spans="2:32">
      <c r="B26" s="904">
        <v>22</v>
      </c>
      <c r="C26" s="987" t="s">
        <v>2688</v>
      </c>
      <c r="D26" s="988">
        <f>'1501 Summary'!F75</f>
        <v>0</v>
      </c>
      <c r="E26" s="988"/>
      <c r="F26" s="988">
        <f>'1501 Summary'!H75</f>
        <v>0</v>
      </c>
      <c r="G26" s="988"/>
      <c r="H26" s="988">
        <f>'1501 Summary'!J75</f>
        <v>0</v>
      </c>
      <c r="I26" s="988"/>
      <c r="J26" s="988">
        <f>'1501 Summary'!L75</f>
        <v>0</v>
      </c>
      <c r="K26" s="988"/>
      <c r="L26" s="988">
        <f>'1501 Summary'!N75</f>
        <v>0</v>
      </c>
      <c r="M26" s="988"/>
      <c r="N26" s="988">
        <f>'1501 Summary'!P75</f>
        <v>0</v>
      </c>
      <c r="O26" s="988"/>
      <c r="P26" s="988">
        <f>'1501 Summary'!R75</f>
        <v>0</v>
      </c>
      <c r="Q26" s="988"/>
      <c r="R26" s="988">
        <f>'1501 Summary'!T75</f>
        <v>0</v>
      </c>
      <c r="S26" s="988"/>
      <c r="T26" s="988">
        <f>'1501 Summary'!V75</f>
        <v>0</v>
      </c>
      <c r="U26" s="988"/>
      <c r="V26" s="988">
        <f>'1501 Summary'!X75</f>
        <v>0</v>
      </c>
      <c r="W26" s="988"/>
      <c r="X26" s="988">
        <f>'1501 Summary'!Z75</f>
        <v>130279.97208653174</v>
      </c>
      <c r="Y26" s="988">
        <f>'1501 Summary'!AA75</f>
        <v>18669.12</v>
      </c>
      <c r="Z26" s="1010">
        <f>'1501 Summary'!AB75</f>
        <v>137081.99581297973</v>
      </c>
      <c r="AA26" s="899"/>
      <c r="AB26" s="899"/>
      <c r="AC26" s="1011"/>
    </row>
    <row r="27" spans="2:32">
      <c r="B27" s="904">
        <v>23</v>
      </c>
      <c r="C27" s="987" t="s">
        <v>2689</v>
      </c>
      <c r="D27" s="988">
        <f>'1501 Summary'!F76</f>
        <v>0</v>
      </c>
      <c r="E27" s="988"/>
      <c r="F27" s="988">
        <f>'1501 Summary'!H76</f>
        <v>0</v>
      </c>
      <c r="G27" s="988"/>
      <c r="H27" s="988">
        <f>'1501 Summary'!J76</f>
        <v>0</v>
      </c>
      <c r="I27" s="988"/>
      <c r="J27" s="988">
        <f>'1501 Summary'!L76</f>
        <v>0</v>
      </c>
      <c r="K27" s="988"/>
      <c r="L27" s="988">
        <f>'1501 Summary'!N76</f>
        <v>0</v>
      </c>
      <c r="M27" s="988"/>
      <c r="N27" s="988">
        <f>'1501 Summary'!P76</f>
        <v>0</v>
      </c>
      <c r="O27" s="988"/>
      <c r="P27" s="988">
        <f>'1501 Summary'!R76</f>
        <v>0</v>
      </c>
      <c r="Q27" s="988"/>
      <c r="R27" s="988">
        <f>'1501 Summary'!T76</f>
        <v>0</v>
      </c>
      <c r="S27" s="988"/>
      <c r="T27" s="988">
        <f>'1501 Summary'!V76</f>
        <v>0</v>
      </c>
      <c r="U27" s="988"/>
      <c r="V27" s="988">
        <f>'1501 Summary'!X76</f>
        <v>0</v>
      </c>
      <c r="W27" s="988"/>
      <c r="X27" s="988">
        <f>'1501 Summary'!Z76</f>
        <v>320076.01966496726</v>
      </c>
      <c r="Y27" s="988">
        <f>'1501 Summary'!AA76</f>
        <v>35157.15</v>
      </c>
      <c r="Z27" s="1010">
        <f>'1501 Summary'!AB76</f>
        <v>361024.94537509111</v>
      </c>
      <c r="AA27" s="899"/>
      <c r="AB27" s="899"/>
      <c r="AC27" s="1011"/>
    </row>
    <row r="28" spans="2:32">
      <c r="B28" s="904">
        <v>24</v>
      </c>
      <c r="C28" s="987" t="s">
        <v>2889</v>
      </c>
      <c r="D28" s="988">
        <f>'1501 Summary'!F77</f>
        <v>0</v>
      </c>
      <c r="E28" s="988"/>
      <c r="F28" s="988">
        <f>'1501 Summary'!H77</f>
        <v>0</v>
      </c>
      <c r="G28" s="988"/>
      <c r="H28" s="988">
        <f>'1501 Summary'!J77</f>
        <v>0</v>
      </c>
      <c r="I28" s="988"/>
      <c r="J28" s="988">
        <f>'1501 Summary'!L77</f>
        <v>0</v>
      </c>
      <c r="K28" s="988"/>
      <c r="L28" s="988">
        <f>'1501 Summary'!N77</f>
        <v>0</v>
      </c>
      <c r="M28" s="988"/>
      <c r="N28" s="988">
        <f>'1501 Summary'!P77</f>
        <v>0</v>
      </c>
      <c r="O28" s="988"/>
      <c r="P28" s="988">
        <f>'1501 Summary'!R77</f>
        <v>0</v>
      </c>
      <c r="Q28" s="988"/>
      <c r="R28" s="988">
        <f>'1501 Summary'!T77</f>
        <v>0</v>
      </c>
      <c r="S28" s="988"/>
      <c r="T28" s="988">
        <f>'1501 Summary'!V77</f>
        <v>0</v>
      </c>
      <c r="U28" s="988"/>
      <c r="V28" s="988">
        <f>'1501 Summary'!X77</f>
        <v>0</v>
      </c>
      <c r="W28" s="988"/>
      <c r="X28" s="988">
        <f>'1501 Summary'!Z77</f>
        <v>897005.16795865633</v>
      </c>
      <c r="Y28" s="988">
        <f>'1501 Summary'!AA77</f>
        <v>24299.87</v>
      </c>
      <c r="Z28" s="1010">
        <f>'1501 Summary'!AB77</f>
        <v>1000636.3971945368</v>
      </c>
      <c r="AA28" s="899"/>
      <c r="AB28" s="899"/>
      <c r="AC28" s="1011"/>
    </row>
    <row r="29" spans="2:32">
      <c r="B29" s="904">
        <v>25</v>
      </c>
      <c r="C29" s="1009">
        <v>511</v>
      </c>
      <c r="D29" s="988"/>
      <c r="E29" s="988"/>
      <c r="F29" s="988"/>
      <c r="G29" s="988"/>
      <c r="H29" s="988"/>
      <c r="I29" s="988"/>
      <c r="J29" s="988"/>
      <c r="K29" s="988"/>
      <c r="L29" s="988"/>
      <c r="M29" s="988"/>
      <c r="N29" s="988"/>
      <c r="O29" s="988"/>
      <c r="P29" s="988"/>
      <c r="Q29" s="988"/>
      <c r="R29" s="988"/>
      <c r="S29" s="988"/>
      <c r="T29" s="988"/>
      <c r="U29" s="988"/>
      <c r="V29" s="988"/>
      <c r="W29" s="988"/>
      <c r="X29" s="988"/>
      <c r="Y29" s="988"/>
      <c r="Z29" s="1010"/>
      <c r="AA29" s="834"/>
      <c r="AB29" s="830"/>
      <c r="AC29" s="1011"/>
    </row>
    <row r="30" spans="2:32">
      <c r="B30" s="904">
        <v>26</v>
      </c>
      <c r="C30" s="987" t="s">
        <v>2688</v>
      </c>
      <c r="D30" s="988">
        <f>SUM('1501 Summary'!F129,'1501 Summary'!F155)</f>
        <v>1127045.7780879275</v>
      </c>
      <c r="E30" s="988"/>
      <c r="F30" s="988">
        <f>SUM('1501 Summary'!H129,'1501 Summary'!H155)</f>
        <v>1162245.9176552687</v>
      </c>
      <c r="G30" s="988"/>
      <c r="H30" s="988">
        <f>SUM('1501 Summary'!J129,'1501 Summary'!J155)</f>
        <v>1220204.8848569433</v>
      </c>
      <c r="I30" s="988"/>
      <c r="J30" s="988">
        <f>SUM('1501 Summary'!L129,'1501 Summary'!L155)</f>
        <v>858775.64549895329</v>
      </c>
      <c r="K30" s="988"/>
      <c r="L30" s="988">
        <f>SUM('1501 Summary'!N129,'1501 Summary'!N155)</f>
        <v>594039.8464759246</v>
      </c>
      <c r="M30" s="988"/>
      <c r="N30" s="988">
        <f>SUM('1501 Summary'!P129,'1501 Summary'!P155)</f>
        <v>447418.28332170274</v>
      </c>
      <c r="O30" s="988"/>
      <c r="P30" s="988">
        <f>SUM('1501 Summary'!R129,'1501 Summary'!R155)</f>
        <v>404171.80739706906</v>
      </c>
      <c r="Q30" s="988"/>
      <c r="R30" s="988">
        <f>SUM('1501 Summary'!T129,'1501 Summary'!T155)</f>
        <v>419619.05094207951</v>
      </c>
      <c r="S30" s="988"/>
      <c r="T30" s="988">
        <f>SUM('1501 Summary'!V129,'1501 Summary'!V155)</f>
        <v>379301.18632240058</v>
      </c>
      <c r="U30" s="988"/>
      <c r="V30" s="988">
        <f>SUM('1501 Summary'!X129,'1501 Summary'!X155)</f>
        <v>625535.79902302858</v>
      </c>
      <c r="W30" s="988"/>
      <c r="X30" s="988">
        <f>SUM('1501 Summary'!Z129,'1501 Summary'!Z155)</f>
        <v>865530.14654570818</v>
      </c>
      <c r="Y30" s="988"/>
      <c r="Z30" s="989">
        <f>SUM('1501 Summary'!AB129,'1501 Summary'!AB155)</f>
        <v>1082224.2149337055</v>
      </c>
      <c r="AA30" s="826"/>
    </row>
    <row r="31" spans="2:32">
      <c r="B31" s="904">
        <v>27</v>
      </c>
      <c r="C31" s="987" t="s">
        <v>2689</v>
      </c>
      <c r="D31" s="988">
        <f>SUM('1501 Summary'!F130,'1501 Summary'!F156)</f>
        <v>526993.99126001471</v>
      </c>
      <c r="E31" s="988"/>
      <c r="F31" s="988">
        <f>SUM('1501 Summary'!H130,'1501 Summary'!H156)</f>
        <v>522909.1405680991</v>
      </c>
      <c r="G31" s="988"/>
      <c r="H31" s="988">
        <f>SUM('1501 Summary'!J130,'1501 Summary'!J156)</f>
        <v>571373.17916970141</v>
      </c>
      <c r="I31" s="988"/>
      <c r="J31" s="988">
        <f>SUM('1501 Summary'!L130,'1501 Summary'!L156)</f>
        <v>431499.08958485071</v>
      </c>
      <c r="K31" s="988"/>
      <c r="L31" s="988">
        <f>SUM('1501 Summary'!N130,'1501 Summary'!N156)</f>
        <v>342413.87472687545</v>
      </c>
      <c r="M31" s="988"/>
      <c r="N31" s="988">
        <f>SUM('1501 Summary'!P130,'1501 Summary'!P156)</f>
        <v>270032.7749453751</v>
      </c>
      <c r="O31" s="988"/>
      <c r="P31" s="988">
        <f>SUM('1501 Summary'!R130,'1501 Summary'!R156)</f>
        <v>257837.12672978878</v>
      </c>
      <c r="Q31" s="988"/>
      <c r="R31" s="988">
        <f>SUM('1501 Summary'!T130,'1501 Summary'!T156)</f>
        <v>276085.03277494537</v>
      </c>
      <c r="S31" s="988"/>
      <c r="T31" s="988">
        <f>SUM('1501 Summary'!V130,'1501 Summary'!V156)</f>
        <v>253239.89439184271</v>
      </c>
      <c r="U31" s="988"/>
      <c r="V31" s="988">
        <f>SUM('1501 Summary'!X130,'1501 Summary'!X156)</f>
        <v>414269.84705025493</v>
      </c>
      <c r="W31" s="988"/>
      <c r="X31" s="988">
        <f>SUM('1501 Summary'!Z130,'1501 Summary'!Z156)</f>
        <v>502079.02403495996</v>
      </c>
      <c r="Y31" s="988"/>
      <c r="Z31" s="989">
        <f>SUM('1501 Summary'!AB130,'1501 Summary'!AB156)</f>
        <v>425639.20247632917</v>
      </c>
      <c r="AA31" s="1887" t="s">
        <v>2976</v>
      </c>
      <c r="AB31" s="1888"/>
    </row>
    <row r="32" spans="2:32">
      <c r="B32" s="904">
        <v>28</v>
      </c>
      <c r="C32" s="987" t="s">
        <v>2889</v>
      </c>
      <c r="D32" s="988">
        <f>SUM('1501 Summary'!F131,'1501 Summary'!F157)</f>
        <v>154555.92469545957</v>
      </c>
      <c r="E32" s="988"/>
      <c r="F32" s="988">
        <f>SUM('1501 Summary'!H131,'1501 Summary'!H157)</f>
        <v>168306.01698043558</v>
      </c>
      <c r="G32" s="988"/>
      <c r="H32" s="988">
        <f>SUM('1501 Summary'!J131,'1501 Summary'!J157)</f>
        <v>202976.74418604653</v>
      </c>
      <c r="I32" s="988"/>
      <c r="J32" s="988">
        <f>SUM('1501 Summary'!L131,'1501 Summary'!L157)</f>
        <v>77614.248800295318</v>
      </c>
      <c r="K32" s="988"/>
      <c r="L32" s="988">
        <f>SUM('1501 Summary'!N131,'1501 Summary'!N157)</f>
        <v>23411.221853082316</v>
      </c>
      <c r="M32" s="988"/>
      <c r="N32" s="988">
        <f>SUM('1501 Summary'!P131,'1501 Summary'!P157)</f>
        <v>37534.883720930236</v>
      </c>
      <c r="O32" s="988"/>
      <c r="P32" s="988">
        <f>SUM('1501 Summary'!R131,'1501 Summary'!R157)</f>
        <v>59310.815799187891</v>
      </c>
      <c r="Q32" s="988"/>
      <c r="R32" s="988">
        <f>SUM('1501 Summary'!T131,'1501 Summary'!T157)</f>
        <v>56877.07641196013</v>
      </c>
      <c r="S32" s="988"/>
      <c r="T32" s="988">
        <f>SUM('1501 Summary'!V131,'1501 Summary'!V157)</f>
        <v>35145.07198228129</v>
      </c>
      <c r="U32" s="988"/>
      <c r="V32" s="988">
        <f>SUM('1501 Summary'!X131,'1501 Summary'!X157)</f>
        <v>74739.018087855293</v>
      </c>
      <c r="W32" s="988"/>
      <c r="X32" s="988">
        <f>SUM('1501 Summary'!Z131,'1501 Summary'!Z157)</f>
        <v>156497.9697305279</v>
      </c>
      <c r="Y32" s="988"/>
      <c r="Z32" s="989">
        <f>SUM('1501 Summary'!AB131,'1501 Summary'!AB157)</f>
        <v>137160.20671834625</v>
      </c>
      <c r="AA32" s="1012">
        <v>43770</v>
      </c>
      <c r="AB32" s="1012">
        <v>43800</v>
      </c>
    </row>
    <row r="33" spans="2:29">
      <c r="B33" s="904">
        <v>29</v>
      </c>
      <c r="C33" s="987" t="s">
        <v>2977</v>
      </c>
      <c r="D33" s="1013">
        <f>SUM(D30,D26)/SUM('1501 Summary'!$F$128, '1501 Summary'!$F$154,'1501 Summary'!$F$74)</f>
        <v>12807.338387362812</v>
      </c>
      <c r="E33" s="1013"/>
      <c r="F33" s="1013">
        <f>SUM(F30,F26)/SUM('1501 Summary'!$H$128, '1501 Summary'!$H$154,'1501 Summary'!$H$74)</f>
        <v>13207.339973355325</v>
      </c>
      <c r="G33" s="1013"/>
      <c r="H33" s="1013">
        <f>SUM(H30,H26)/SUM('1501 Summary'!$J$128, '1501 Summary'!$J$154,'1501 Summary'!$J$74)</f>
        <v>13557.832053966036</v>
      </c>
      <c r="I33" s="1013"/>
      <c r="J33" s="1013">
        <f>SUM(J30,J26)/SUM('1501 Summary'!$L$128, '1501 Summary'!$L$154,'1501 Summary'!$L$74)</f>
        <v>10103.24288822298</v>
      </c>
      <c r="K33" s="1013"/>
      <c r="L33" s="1013">
        <f>SUM(L30,L26)/SUM('1501 Summary'!$N$128, '1501 Summary'!$N$154,'1501 Summary'!$N$74)</f>
        <v>7071.9029342371978</v>
      </c>
      <c r="M33" s="1013"/>
      <c r="N33" s="1013">
        <f>SUM(N30,N26)/SUM('1501 Summary'!$P$128, '1501 Summary'!$P$154,'1501 Summary'!$P$74)</f>
        <v>5326.4081347821757</v>
      </c>
      <c r="O33" s="1013"/>
      <c r="P33" s="1013">
        <f>SUM(P30,P26)/SUM('1501 Summary'!$R$128, '1501 Summary'!$R$154,'1501 Summary'!$R$74)</f>
        <v>4754.9624399655186</v>
      </c>
      <c r="Q33" s="1013"/>
      <c r="R33" s="1013">
        <f>SUM(R30,R26)/SUM('1501 Summary'!$T$128, '1501 Summary'!$T$154,'1501 Summary'!$T$74)</f>
        <v>4714.8207971020174</v>
      </c>
      <c r="S33" s="1013"/>
      <c r="T33" s="1013">
        <f>SUM(T30,T26)/SUM('1501 Summary'!$V$128, '1501 Summary'!$V$154,'1501 Summary'!$V$74)</f>
        <v>4261.8110822741637</v>
      </c>
      <c r="U33" s="1013"/>
      <c r="V33" s="1013">
        <f>SUM(V30,V26)/SUM('1501 Summary'!$X$128, '1501 Summary'!$X$154,'1501 Summary'!$X$74)</f>
        <v>7028.4921238542538</v>
      </c>
      <c r="W33" s="1013"/>
      <c r="X33" s="1013">
        <f>SUM(X30,X26)/SUM('1501 Summary'!$Z$128, '1501 Summary'!$Z$154,'1501 Summary'!$Z$74)</f>
        <v>10161.327741145305</v>
      </c>
      <c r="Y33" s="1013"/>
      <c r="Z33" s="1013">
        <f>SUM(Z30,Z26)/SUM('1501 Summary'!$AB$128, '1501 Summary'!$AB$154,'1501 Summary'!$AB$74)</f>
        <v>12570.167121099848</v>
      </c>
      <c r="AA33" s="1014">
        <f>X30/SUM('1501 Summary'!$Z$128, '1501 Summary'!$Z$154)</f>
        <v>9511.3202917110793</v>
      </c>
      <c r="AB33" s="1014">
        <f>Z30/SUM('1501 Summary'!$AB$128, '1501 Summary'!$AB$154)</f>
        <v>12024.713499263395</v>
      </c>
    </row>
    <row r="34" spans="2:29">
      <c r="B34" s="904">
        <v>30</v>
      </c>
      <c r="C34" s="987" t="s">
        <v>2978</v>
      </c>
      <c r="D34" s="1013">
        <f>SUM(D31,D27)/SUM('1501 Summary'!$F$128, '1501 Summary'!$F$154,'1501 Summary'!$F$74)</f>
        <v>5988.5680825001673</v>
      </c>
      <c r="E34" s="1013"/>
      <c r="F34" s="1013">
        <f>SUM(F31,F27)/SUM('1501 Summary'!$H$128, '1501 Summary'!$H$154,'1501 Summary'!$H$74)</f>
        <v>5942.1493246374894</v>
      </c>
      <c r="G34" s="1013"/>
      <c r="H34" s="1013">
        <f>SUM(H31,H27)/SUM('1501 Summary'!$J$128, '1501 Summary'!$J$154,'1501 Summary'!$J$74)</f>
        <v>6348.5908796633494</v>
      </c>
      <c r="I34" s="1013"/>
      <c r="J34" s="1013">
        <f>SUM(J31,J27)/SUM('1501 Summary'!$L$128, '1501 Summary'!$L$154,'1501 Summary'!$L$74)</f>
        <v>5076.459877468832</v>
      </c>
      <c r="K34" s="1013"/>
      <c r="L34" s="1013">
        <f>SUM(L31,L27)/SUM('1501 Summary'!$N$128, '1501 Summary'!$N$154,'1501 Summary'!$N$74)</f>
        <v>4076.3556515104219</v>
      </c>
      <c r="M34" s="1013"/>
      <c r="N34" s="1013">
        <f>SUM(N31,N27)/SUM('1501 Summary'!$P$128, '1501 Summary'!$P$154,'1501 Summary'!$P$74)</f>
        <v>3214.6758922068466</v>
      </c>
      <c r="O34" s="1013"/>
      <c r="P34" s="1013">
        <f>SUM(P31,P27)/SUM('1501 Summary'!$R$128, '1501 Summary'!$R$154,'1501 Summary'!$R$74)</f>
        <v>3033.3779615269268</v>
      </c>
      <c r="Q34" s="1013"/>
      <c r="R34" s="1013">
        <f>SUM(R31,R27)/SUM('1501 Summary'!$T$128, '1501 Summary'!$T$154,'1501 Summary'!$T$74)</f>
        <v>3102.0790199432063</v>
      </c>
      <c r="S34" s="1013"/>
      <c r="T34" s="1013">
        <f>SUM(T31,T27)/SUM('1501 Summary'!$V$128, '1501 Summary'!$V$154,'1501 Summary'!$V$74)</f>
        <v>2845.3920718184572</v>
      </c>
      <c r="U34" s="1013"/>
      <c r="V34" s="1013">
        <f>SUM(V31,V27)/SUM('1501 Summary'!$X$128, '1501 Summary'!$X$154,'1501 Summary'!$X$74)</f>
        <v>4654.7173825871341</v>
      </c>
      <c r="W34" s="1013"/>
      <c r="X34" s="1013">
        <f>SUM(X31,X27)/SUM('1501 Summary'!$Z$128, '1501 Summary'!$Z$154,'1501 Summary'!$Z$74)</f>
        <v>8389.337180611501</v>
      </c>
      <c r="Y34" s="1013"/>
      <c r="Z34" s="1013">
        <f>SUM(Z31,Z27)/SUM('1501 Summary'!$AB$128, '1501 Summary'!$AB$154,'1501 Summary'!$AB$74)</f>
        <v>8109.9396685713436</v>
      </c>
      <c r="AA34" s="1014">
        <f>X31/SUM('1501 Summary'!$Z$128, '1501 Summary'!$Z$154)</f>
        <v>5517.3519124720879</v>
      </c>
      <c r="AB34" s="1014">
        <f>Z31/SUM('1501 Summary'!$AB$128, '1501 Summary'!$AB$154)</f>
        <v>4729.324471959213</v>
      </c>
    </row>
    <row r="35" spans="2:29">
      <c r="B35" s="904">
        <v>31</v>
      </c>
      <c r="C35" s="987" t="s">
        <v>2979</v>
      </c>
      <c r="D35" s="1013">
        <f>SUM(D32,D28)/SUM('1501 Summary'!$F$128, '1501 Summary'!$F$154,'1501 Summary'!$F$74)</f>
        <v>1756.317326084768</v>
      </c>
      <c r="E35" s="1013"/>
      <c r="F35" s="1013">
        <f>SUM(F32,F28)/SUM('1501 Summary'!$H$128, '1501 Summary'!$H$154,'1501 Summary'!$H$74)</f>
        <v>1912.568374777677</v>
      </c>
      <c r="G35" s="1013"/>
      <c r="H35" s="1013">
        <f>SUM(H32,H28)/SUM('1501 Summary'!$J$128, '1501 Summary'!$J$154,'1501 Summary'!$J$74)</f>
        <v>2255.2971576227392</v>
      </c>
      <c r="I35" s="1013"/>
      <c r="J35" s="1013">
        <f>SUM(J32,J28)/SUM('1501 Summary'!$L$128, '1501 Summary'!$L$154,'1501 Summary'!$L$74)</f>
        <v>913.10880941523908</v>
      </c>
      <c r="K35" s="1013"/>
      <c r="L35" s="1013">
        <f>SUM(L32,L28)/SUM('1501 Summary'!$N$128, '1501 Summary'!$N$154,'1501 Summary'!$N$74)</f>
        <v>278.70502206050378</v>
      </c>
      <c r="M35" s="1013"/>
      <c r="N35" s="1013">
        <f>SUM(N32,N28)/SUM('1501 Summary'!$P$128, '1501 Summary'!$P$154,'1501 Summary'!$P$74)</f>
        <v>446.84385382059804</v>
      </c>
      <c r="O35" s="1013"/>
      <c r="P35" s="1013">
        <f>SUM(P32,P28)/SUM('1501 Summary'!$R$128, '1501 Summary'!$R$154,'1501 Summary'!$R$74)</f>
        <v>697.77430351985754</v>
      </c>
      <c r="Q35" s="1013"/>
      <c r="R35" s="1013">
        <f>SUM(R32,R28)/SUM('1501 Summary'!$T$128, '1501 Summary'!$T$154,'1501 Summary'!$T$74)</f>
        <v>639.06827429168686</v>
      </c>
      <c r="S35" s="1013"/>
      <c r="T35" s="1013">
        <f>SUM(T32,T28)/SUM('1501 Summary'!$V$128, '1501 Summary'!$V$154,'1501 Summary'!$V$74)</f>
        <v>394.88844923911563</v>
      </c>
      <c r="U35" s="1013"/>
      <c r="V35" s="1013">
        <f>SUM(V32,V28)/SUM('1501 Summary'!$X$128, '1501 Summary'!$X$154,'1501 Summary'!$X$74)</f>
        <v>839.76424817814939</v>
      </c>
      <c r="W35" s="1013"/>
      <c r="X35" s="1013">
        <f>SUM(X32,X28)/SUM('1501 Summary'!$Z$128, '1501 Summary'!$Z$154,'1501 Summary'!$Z$74)</f>
        <v>10750.032017236574</v>
      </c>
      <c r="Y35" s="1013"/>
      <c r="Z35" s="1013">
        <f>SUM(Z32,Z28)/SUM('1501 Summary'!$AB$128, '1501 Summary'!$AB$154,'1501 Summary'!$AB$74)</f>
        <v>11729.861896009103</v>
      </c>
      <c r="AA35" s="1014">
        <f>X32/SUM('1501 Summary'!$Z$128, '1501 Summary'!$Z$154)</f>
        <v>1719.7579091266803</v>
      </c>
      <c r="AB35" s="1014">
        <f>Z32/SUM('1501 Summary'!$AB$128, '1501 Summary'!$AB$154)</f>
        <v>1524.0022968705139</v>
      </c>
    </row>
    <row r="36" spans="2:29" s="1008" customFormat="1">
      <c r="B36" s="904">
        <v>32</v>
      </c>
      <c r="C36" s="1009" t="s">
        <v>2980</v>
      </c>
      <c r="D36" s="1015">
        <f>SUM(D30:D32)/SUM('1501 Summary'!F128,'1501 Summary'!F154,'1501 Summary'!F74)</f>
        <v>20552.22379594775</v>
      </c>
      <c r="E36" s="1015"/>
      <c r="F36" s="1015">
        <f>SUM(F30:F32)/SUM('1501 Summary'!H128,'1501 Summary'!H154,'1501 Summary'!H74)</f>
        <v>21062.057672770494</v>
      </c>
      <c r="G36" s="1015"/>
      <c r="H36" s="1015">
        <f>SUM(H30:H32)/SUM('1501 Summary'!J128,'1501 Summary'!J154,'1501 Summary'!J74)</f>
        <v>22161.720091252126</v>
      </c>
      <c r="I36" s="1015"/>
      <c r="J36" s="1015">
        <f>SUM(J30:J32)/SUM('1501 Summary'!L128,'1501 Summary'!L154,'1501 Summary'!L74)</f>
        <v>16092.811575107053</v>
      </c>
      <c r="K36" s="1015"/>
      <c r="L36" s="1015">
        <f>SUM(L30:L32)/SUM('1501 Summary'!N128,'1501 Summary'!N154,'1501 Summary'!N74)</f>
        <v>11426.963607808124</v>
      </c>
      <c r="M36" s="1015"/>
      <c r="N36" s="1015">
        <f>SUM(N30:N32)/SUM('1501 Summary'!P128,'1501 Summary'!P154,'1501 Summary'!P74)</f>
        <v>8987.9278808096205</v>
      </c>
      <c r="O36" s="1015"/>
      <c r="P36" s="1015">
        <f>SUM(P30:P32)/SUM('1501 Summary'!R128,'1501 Summary'!R154,'1501 Summary'!R74)</f>
        <v>8486.1147050123036</v>
      </c>
      <c r="Q36" s="1015"/>
      <c r="R36" s="1015">
        <f>SUM(R30:R32)/SUM('1501 Summary'!T128,'1501 Summary'!T154,'1501 Summary'!T74)</f>
        <v>8455.9680913369102</v>
      </c>
      <c r="S36" s="1015"/>
      <c r="T36" s="1015">
        <f>SUM(T30:T32)/SUM('1501 Summary'!V128,'1501 Summary'!V154,'1501 Summary'!V74)</f>
        <v>7502.0916033317362</v>
      </c>
      <c r="U36" s="1015"/>
      <c r="V36" s="1015">
        <f>SUM(V30:V32)/SUM('1501 Summary'!X128,'1501 Summary'!X154,'1501 Summary'!X74)</f>
        <v>12522.973754619536</v>
      </c>
      <c r="W36" s="1015"/>
      <c r="X36" s="1016">
        <f>SUM(X26:X32)/SUM('1501 Summary'!Z128,'1501 Summary'!Z154,'1501 Summary'!Z74)</f>
        <v>29300.69693899338</v>
      </c>
      <c r="Y36" s="1017"/>
      <c r="Z36" s="1016">
        <f>SUM(Z26:Z32)/SUM('1501 Summary'!AB128,'1501 Summary'!AB154,'1501 Summary'!AB74)</f>
        <v>32409.968685680291</v>
      </c>
      <c r="AA36" s="1016">
        <f>SUM(X30:X32)/SUM('1501 Summary'!Z128,'1501 Summary'!Z154)</f>
        <v>16748.430113309845</v>
      </c>
      <c r="AB36" s="1018">
        <f>SUM(Z30:Z32)/SUM('1501 Summary'!AB128,'1501 Summary'!AB154)</f>
        <v>18278.040268093122</v>
      </c>
    </row>
    <row r="37" spans="2:29">
      <c r="B37" s="904">
        <v>33</v>
      </c>
      <c r="C37" s="982">
        <v>570</v>
      </c>
      <c r="D37" s="980"/>
      <c r="E37" s="980"/>
      <c r="F37" s="980"/>
      <c r="G37" s="980"/>
      <c r="H37" s="980"/>
      <c r="I37" s="980"/>
      <c r="J37" s="980"/>
      <c r="K37" s="980"/>
      <c r="L37" s="980"/>
      <c r="M37" s="980"/>
      <c r="N37" s="980"/>
      <c r="O37" s="980"/>
      <c r="P37" s="980"/>
      <c r="Q37" s="980"/>
      <c r="R37" s="980"/>
      <c r="S37" s="980"/>
      <c r="T37" s="980"/>
      <c r="U37" s="980"/>
      <c r="V37" s="980"/>
      <c r="W37" s="980"/>
      <c r="X37" s="980"/>
      <c r="Y37" s="980"/>
      <c r="Z37" s="981"/>
      <c r="AA37" s="826"/>
    </row>
    <row r="38" spans="2:29">
      <c r="B38" s="904">
        <v>34</v>
      </c>
      <c r="C38" s="998" t="s">
        <v>2709</v>
      </c>
      <c r="D38" s="980">
        <f>'1501 Summary'!F200</f>
        <v>121886.13046231792</v>
      </c>
      <c r="E38" s="980"/>
      <c r="F38" s="980">
        <f>'1501 Summary'!H200</f>
        <v>121680.05066497781</v>
      </c>
      <c r="G38" s="980"/>
      <c r="H38" s="980">
        <f>'1501 Summary'!J200</f>
        <v>123408.99303356554</v>
      </c>
      <c r="I38" s="980"/>
      <c r="J38" s="980">
        <f>'1501 Summary'!L200</f>
        <v>118029.8923369221</v>
      </c>
      <c r="K38" s="980"/>
      <c r="L38" s="980">
        <f>'1501 Summary'!N200</f>
        <v>102877.89740341988</v>
      </c>
      <c r="M38" s="980"/>
      <c r="N38" s="980">
        <f>'1501 Summary'!P200</f>
        <v>90281.950601646604</v>
      </c>
      <c r="O38" s="980"/>
      <c r="P38" s="980">
        <f>'1501 Summary'!R200</f>
        <v>80372.007599746677</v>
      </c>
      <c r="Q38" s="980"/>
      <c r="R38" s="980">
        <f>'1501 Summary'!T200</f>
        <v>99416.972767574407</v>
      </c>
      <c r="S38" s="980"/>
      <c r="T38" s="980">
        <f>'1501 Summary'!V200</f>
        <v>76300.949968334389</v>
      </c>
      <c r="U38" s="980"/>
      <c r="V38" s="980">
        <f>'1501 Summary'!X200</f>
        <v>80596.960101329954</v>
      </c>
      <c r="W38" s="980"/>
      <c r="X38" s="980">
        <f>'1501 Summary'!Z200</f>
        <v>134706.01646611778</v>
      </c>
      <c r="Y38" s="980"/>
      <c r="Z38" s="981">
        <f>'1501 Summary'!AB200</f>
        <v>112878.91070297657</v>
      </c>
      <c r="AA38" s="826"/>
    </row>
    <row r="39" spans="2:29">
      <c r="B39" s="904">
        <v>35</v>
      </c>
      <c r="C39" s="998" t="s">
        <v>2710</v>
      </c>
      <c r="D39" s="980">
        <f>'1501 Summary'!F201</f>
        <v>138595.64056939504</v>
      </c>
      <c r="E39" s="980"/>
      <c r="F39" s="980">
        <f>'1501 Summary'!H201</f>
        <v>137130.78291814946</v>
      </c>
      <c r="G39" s="980"/>
      <c r="H39" s="980">
        <f>'1501 Summary'!J201</f>
        <v>146774.91103202847</v>
      </c>
      <c r="I39" s="980"/>
      <c r="J39" s="980">
        <f>'1501 Summary'!L201</f>
        <v>130114.76868327403</v>
      </c>
      <c r="K39" s="980"/>
      <c r="L39" s="980">
        <f>'1501 Summary'!N201</f>
        <v>88588.967971530248</v>
      </c>
      <c r="M39" s="980"/>
      <c r="N39" s="980">
        <f>'1501 Summary'!P201</f>
        <v>51974.199288256234</v>
      </c>
      <c r="O39" s="980"/>
      <c r="P39" s="980">
        <f>'1501 Summary'!R201</f>
        <v>30615.213523131675</v>
      </c>
      <c r="Q39" s="980"/>
      <c r="R39" s="980">
        <f>'1501 Summary'!T201</f>
        <v>20611.20996441281</v>
      </c>
      <c r="S39" s="980"/>
      <c r="T39" s="980">
        <f>'1501 Summary'!V201</f>
        <v>17325.177935943062</v>
      </c>
      <c r="U39" s="980"/>
      <c r="V39" s="980">
        <f>'1501 Summary'!X201</f>
        <v>30845.195729537365</v>
      </c>
      <c r="W39" s="980"/>
      <c r="X39" s="980">
        <f>'1501 Summary'!Z201</f>
        <v>98114.32384341638</v>
      </c>
      <c r="Y39" s="980"/>
      <c r="Z39" s="981">
        <f>'1501 Summary'!AB201</f>
        <v>117354.09252669038</v>
      </c>
      <c r="AA39" s="826"/>
    </row>
    <row r="40" spans="2:29">
      <c r="B40" s="904">
        <v>36</v>
      </c>
      <c r="C40" s="998" t="s">
        <v>2981</v>
      </c>
      <c r="D40" s="1019">
        <f>D38/'1501 Summary'!F199</f>
        <v>15235.76630778974</v>
      </c>
      <c r="E40" s="1019"/>
      <c r="F40" s="1019">
        <f>F38/'1501 Summary'!H199</f>
        <v>15210.006333122226</v>
      </c>
      <c r="G40" s="1019"/>
      <c r="H40" s="1019">
        <f>H38/'1501 Summary'!J199</f>
        <v>15426.124129195692</v>
      </c>
      <c r="I40" s="1019"/>
      <c r="J40" s="1019">
        <f>J38/'1501 Summary'!L199</f>
        <v>14753.736542115263</v>
      </c>
      <c r="K40" s="1019"/>
      <c r="L40" s="1019">
        <f>L38/'1501 Summary'!N199</f>
        <v>14696.842486202839</v>
      </c>
      <c r="M40" s="1019"/>
      <c r="N40" s="1019">
        <f>N38/'1501 Summary'!P199</f>
        <v>12897.421514520944</v>
      </c>
      <c r="O40" s="1019"/>
      <c r="P40" s="1019">
        <f>P38/'1501 Summary'!R199</f>
        <v>11481.715371392382</v>
      </c>
      <c r="Q40" s="1019"/>
      <c r="R40" s="1019">
        <f>R38/'1501 Summary'!T199</f>
        <v>12427.121595946801</v>
      </c>
      <c r="S40" s="1019"/>
      <c r="T40" s="1019">
        <f>T38/'1501 Summary'!V199</f>
        <v>9537.6187460417987</v>
      </c>
      <c r="U40" s="1019"/>
      <c r="V40" s="1019">
        <f>V38/'1501 Summary'!X199</f>
        <v>10074.620012666244</v>
      </c>
      <c r="W40" s="1019"/>
      <c r="X40" s="1019">
        <f>X38/'1501 Summary'!Z199</f>
        <v>16838.252058264723</v>
      </c>
      <c r="Y40" s="1019"/>
      <c r="Z40" s="1020">
        <f>Z38/'1501 Summary'!AB199</f>
        <v>14109.863837872072</v>
      </c>
      <c r="AA40" s="826"/>
    </row>
    <row r="41" spans="2:29">
      <c r="B41" s="904">
        <v>37</v>
      </c>
      <c r="C41" s="998" t="s">
        <v>2982</v>
      </c>
      <c r="D41" s="1019">
        <f>D39/'1501 Summary'!F199</f>
        <v>17324.45507117438</v>
      </c>
      <c r="E41" s="1019"/>
      <c r="F41" s="1019">
        <f>F39/'1501 Summary'!H199</f>
        <v>17141.347864768682</v>
      </c>
      <c r="G41" s="1019"/>
      <c r="H41" s="1019">
        <f>H39/'1501 Summary'!J199</f>
        <v>18346.863879003558</v>
      </c>
      <c r="I41" s="1019"/>
      <c r="J41" s="1019">
        <f>J39/'1501 Summary'!L199</f>
        <v>16264.346085409254</v>
      </c>
      <c r="K41" s="1019"/>
      <c r="L41" s="1019">
        <f>L39/'1501 Summary'!N199</f>
        <v>12655.56685307575</v>
      </c>
      <c r="M41" s="1019"/>
      <c r="N41" s="1019">
        <f>N39/'1501 Summary'!P199</f>
        <v>7424.8856126080336</v>
      </c>
      <c r="O41" s="1019"/>
      <c r="P41" s="1019">
        <f>P39/'1501 Summary'!R199</f>
        <v>4373.6019318759536</v>
      </c>
      <c r="Q41" s="1019"/>
      <c r="R41" s="1019">
        <f>R39/'1501 Summary'!T199</f>
        <v>2576.4012455516013</v>
      </c>
      <c r="S41" s="1019"/>
      <c r="T41" s="1019">
        <f>T39/'1501 Summary'!V199</f>
        <v>2165.6472419928828</v>
      </c>
      <c r="U41" s="1019"/>
      <c r="V41" s="1019">
        <f>V39/'1501 Summary'!X199</f>
        <v>3855.6494661921706</v>
      </c>
      <c r="W41" s="1019"/>
      <c r="X41" s="1019">
        <f>X39/'1501 Summary'!Z199</f>
        <v>12264.290480427047</v>
      </c>
      <c r="Y41" s="1019"/>
      <c r="Z41" s="1020">
        <f>Z39/'1501 Summary'!AB199</f>
        <v>14669.261565836297</v>
      </c>
      <c r="AA41" s="826"/>
    </row>
    <row r="42" spans="2:29" s="1008" customFormat="1">
      <c r="B42" s="904">
        <v>38</v>
      </c>
      <c r="C42" s="982" t="s">
        <v>2983</v>
      </c>
      <c r="D42" s="1021">
        <f>SUM(D38:D39)/SUM('1501 Summary'!F199)</f>
        <v>32560.221378964117</v>
      </c>
      <c r="E42" s="1021"/>
      <c r="F42" s="1021">
        <f>SUM(F38:F39)/SUM('1501 Summary'!H199)</f>
        <v>32351.354197890909</v>
      </c>
      <c r="G42" s="1021"/>
      <c r="H42" s="1021">
        <f>SUM(H38:H39)/SUM('1501 Summary'!J199)</f>
        <v>33772.988008199252</v>
      </c>
      <c r="I42" s="1021"/>
      <c r="J42" s="1021">
        <f>SUM(J38:J39)/SUM('1501 Summary'!L199)</f>
        <v>31018.082627524516</v>
      </c>
      <c r="K42" s="1021"/>
      <c r="L42" s="1021">
        <f>SUM(L38:L39)/SUM('1501 Summary'!N199)</f>
        <v>27352.409339278587</v>
      </c>
      <c r="M42" s="1021"/>
      <c r="N42" s="1021">
        <f>SUM(N38:N39)/SUM('1501 Summary'!P199)</f>
        <v>20322.307127128977</v>
      </c>
      <c r="O42" s="1021"/>
      <c r="P42" s="1021">
        <f>SUM(P38:P39)/SUM('1501 Summary'!R199)</f>
        <v>15855.317303268337</v>
      </c>
      <c r="Q42" s="1021"/>
      <c r="R42" s="1021">
        <f>SUM(R38:R39)/SUM('1501 Summary'!T199)</f>
        <v>15003.522841498401</v>
      </c>
      <c r="S42" s="1021"/>
      <c r="T42" s="1021">
        <f>SUM(T38:T39)/SUM('1501 Summary'!V199)</f>
        <v>11703.265988034682</v>
      </c>
      <c r="U42" s="1021"/>
      <c r="V42" s="1021">
        <f>SUM(V38:V39)/SUM('1501 Summary'!X199)</f>
        <v>13930.269478858416</v>
      </c>
      <c r="W42" s="1021"/>
      <c r="X42" s="1021">
        <f>SUM(X38:X39)/SUM('1501 Summary'!Z199)</f>
        <v>29102.54253869177</v>
      </c>
      <c r="Y42" s="1021"/>
      <c r="Z42" s="1022">
        <f>SUM(Z38:Z39)/SUM('1501 Summary'!AB199)</f>
        <v>28779.125403708371</v>
      </c>
      <c r="AA42" s="826"/>
    </row>
    <row r="43" spans="2:29" s="1008" customFormat="1">
      <c r="B43" s="904">
        <v>39</v>
      </c>
      <c r="C43" s="1009" t="s">
        <v>2984</v>
      </c>
      <c r="D43" s="1023"/>
      <c r="E43" s="1023"/>
      <c r="F43" s="1023"/>
      <c r="G43" s="1023"/>
      <c r="H43" s="1023"/>
      <c r="I43" s="1023"/>
      <c r="J43" s="1023"/>
      <c r="K43" s="1023"/>
      <c r="L43" s="1023"/>
      <c r="M43" s="1023"/>
      <c r="N43" s="1023"/>
      <c r="O43" s="1023"/>
      <c r="P43" s="1023"/>
      <c r="Q43" s="1023"/>
      <c r="R43" s="1023"/>
      <c r="S43" s="1023"/>
      <c r="T43" s="1023"/>
      <c r="U43" s="1023"/>
      <c r="V43" s="1023"/>
      <c r="W43" s="1023"/>
      <c r="X43" s="1023"/>
      <c r="Y43" s="1024"/>
      <c r="Z43" s="1024"/>
      <c r="AA43" s="1889" t="s">
        <v>2985</v>
      </c>
      <c r="AB43" s="1890"/>
    </row>
    <row r="44" spans="2:29" s="1008" customFormat="1">
      <c r="B44" s="904">
        <v>40</v>
      </c>
      <c r="C44" s="987" t="s">
        <v>2716</v>
      </c>
      <c r="D44" s="1025">
        <f>'1501 Summary'!F223</f>
        <v>7862115.3629712993</v>
      </c>
      <c r="E44" s="1025"/>
      <c r="F44" s="1025">
        <f>'1501 Summary'!H223</f>
        <v>8453276.8711311202</v>
      </c>
      <c r="G44" s="1025"/>
      <c r="H44" s="1025">
        <f>'1501 Summary'!J223</f>
        <v>8557635.9032076523</v>
      </c>
      <c r="I44" s="1025"/>
      <c r="J44" s="1025">
        <f>'1501 Summary'!L223</f>
        <v>8253032.0765334833</v>
      </c>
      <c r="K44" s="1025"/>
      <c r="L44" s="1025">
        <f>'1501 Summary'!N223</f>
        <v>7503525.792534234</v>
      </c>
      <c r="M44" s="1025"/>
      <c r="N44" s="1025">
        <f>'1501 Summary'!P223</f>
        <v>7181359.7824048027</v>
      </c>
      <c r="O44" s="1025"/>
      <c r="P44" s="1025">
        <f>'1501 Summary'!R223</f>
        <v>7238910.3357718997</v>
      </c>
      <c r="Q44" s="1025"/>
      <c r="R44" s="1025">
        <f>'1501 Summary'!T223</f>
        <v>7149827.9872444198</v>
      </c>
      <c r="S44" s="1025"/>
      <c r="T44" s="1025">
        <f>'1501 Summary'!V223</f>
        <v>7170331.4575126609</v>
      </c>
      <c r="U44" s="1025"/>
      <c r="V44" s="1025">
        <f>'1501 Summary'!X223</f>
        <v>8230819.9212155314</v>
      </c>
      <c r="W44" s="1025"/>
      <c r="X44" s="1025">
        <f>'1501 Summary'!Z223</f>
        <v>8763705.8713187017</v>
      </c>
      <c r="Y44" s="1025"/>
      <c r="Z44" s="1026">
        <f>'1501 Summary'!AB223</f>
        <v>7999591.071093603</v>
      </c>
      <c r="AA44" s="1027">
        <f>X44+AD17</f>
        <v>9214061.8630702011</v>
      </c>
      <c r="AB44" s="1027">
        <f>Z44+AD11</f>
        <v>8497698.012281673</v>
      </c>
      <c r="AC44" s="1028"/>
    </row>
    <row r="45" spans="2:29" s="1008" customFormat="1">
      <c r="B45" s="904">
        <v>41</v>
      </c>
      <c r="C45" s="987" t="s">
        <v>2494</v>
      </c>
      <c r="D45" s="1025">
        <f>'1501 Summary'!F224</f>
        <v>5476198.4575835476</v>
      </c>
      <c r="E45" s="1025"/>
      <c r="F45" s="1025">
        <f>'1501 Summary'!H224</f>
        <v>5770126.992287918</v>
      </c>
      <c r="G45" s="1025"/>
      <c r="H45" s="1025">
        <f>'1501 Summary'!J224</f>
        <v>5321246.7866323907</v>
      </c>
      <c r="I45" s="1025"/>
      <c r="J45" s="1025">
        <f>'1501 Summary'!L224</f>
        <v>5312761.4395886892</v>
      </c>
      <c r="K45" s="1025"/>
      <c r="L45" s="1025">
        <f>'1501 Summary'!N224</f>
        <v>5304661.1825192804</v>
      </c>
      <c r="M45" s="1025"/>
      <c r="N45" s="1025">
        <f>'1501 Summary'!P224</f>
        <v>5195831.3624678664</v>
      </c>
      <c r="O45" s="1025"/>
      <c r="P45" s="1025">
        <f>'1501 Summary'!R224</f>
        <v>6592056.5552699231</v>
      </c>
      <c r="Q45" s="1025"/>
      <c r="R45" s="1025">
        <f>'1501 Summary'!T224</f>
        <v>4648257.5835475586</v>
      </c>
      <c r="S45" s="1025"/>
      <c r="T45" s="1025">
        <f>'1501 Summary'!V224</f>
        <v>4665568.6375321336</v>
      </c>
      <c r="U45" s="1025"/>
      <c r="V45" s="1025">
        <f>'1501 Summary'!X224</f>
        <v>5363985.6041131113</v>
      </c>
      <c r="W45" s="1025"/>
      <c r="X45" s="1025">
        <f>'1501 Summary'!Z224</f>
        <v>6149301.2853470445</v>
      </c>
      <c r="Y45" s="1025"/>
      <c r="Z45" s="1026">
        <f>'1501 Summary'!AB224</f>
        <v>4930934.7043701801</v>
      </c>
      <c r="AA45" s="1027">
        <f>X45+AD18</f>
        <v>6349301.2853470445</v>
      </c>
      <c r="AB45" s="1027">
        <f>Z45+AD12</f>
        <v>5130934.7043701801</v>
      </c>
    </row>
    <row r="46" spans="2:29">
      <c r="B46" s="904">
        <v>42</v>
      </c>
      <c r="C46" s="987" t="s">
        <v>2494</v>
      </c>
      <c r="D46" s="1025">
        <f>'1501 Summary'!F225</f>
        <v>2797255.4991539759</v>
      </c>
      <c r="E46" s="1025"/>
      <c r="F46" s="1025">
        <f>'1501 Summary'!H225</f>
        <v>2945891.708967851</v>
      </c>
      <c r="G46" s="1025"/>
      <c r="H46" s="1025">
        <f>'1501 Summary'!J225</f>
        <v>2863669.2047377327</v>
      </c>
      <c r="I46" s="1025"/>
      <c r="J46" s="1025">
        <f>'1501 Summary'!L225</f>
        <v>2573247.8849407784</v>
      </c>
      <c r="K46" s="1025"/>
      <c r="L46" s="1025">
        <f>'1501 Summary'!N225</f>
        <v>2547390.8629441625</v>
      </c>
      <c r="M46" s="1025"/>
      <c r="N46" s="1025">
        <f>'1501 Summary'!P225</f>
        <v>2762310.4906937391</v>
      </c>
      <c r="O46" s="1025"/>
      <c r="P46" s="1025">
        <f>'1501 Summary'!R225</f>
        <v>0</v>
      </c>
      <c r="Q46" s="1025"/>
      <c r="R46" s="1025">
        <f>'1501 Summary'!T225</f>
        <v>2180871.4043993233</v>
      </c>
      <c r="S46" s="1025"/>
      <c r="T46" s="1025">
        <f>'1501 Summary'!V225</f>
        <v>2310089.6785109979</v>
      </c>
      <c r="U46" s="1025"/>
      <c r="V46" s="1025">
        <f>'1501 Summary'!X225</f>
        <v>2455660.7445008457</v>
      </c>
      <c r="W46" s="1025"/>
      <c r="X46" s="1025">
        <f>'1501 Summary'!Z225</f>
        <v>2629170.8967851098</v>
      </c>
      <c r="Y46" s="1025"/>
      <c r="Z46" s="1026">
        <f>'1501 Summary'!AB225</f>
        <v>2231098.9847715735</v>
      </c>
      <c r="AA46" s="1027">
        <f>X46+AD19</f>
        <v>3326176.0647437661</v>
      </c>
      <c r="AB46" s="1027">
        <f>Z46+AD13</f>
        <v>3031735.3819661103</v>
      </c>
    </row>
    <row r="47" spans="2:29">
      <c r="B47" s="904">
        <v>43</v>
      </c>
      <c r="C47" s="987" t="s">
        <v>2717</v>
      </c>
      <c r="D47" s="1025">
        <f>'1501 Summary'!F226</f>
        <v>13211284.697508896</v>
      </c>
      <c r="E47" s="1025"/>
      <c r="F47" s="1025">
        <f>'1501 Summary'!H226</f>
        <v>13907637.010676157</v>
      </c>
      <c r="G47" s="1025"/>
      <c r="H47" s="1025">
        <f>'1501 Summary'!J226</f>
        <v>13482677.935943061</v>
      </c>
      <c r="I47" s="1025"/>
      <c r="J47" s="1025">
        <f>'1501 Summary'!L226</f>
        <v>13298076.512455516</v>
      </c>
      <c r="K47" s="1025"/>
      <c r="L47" s="1025">
        <f>'1501 Summary'!N226</f>
        <v>12506341.637010677</v>
      </c>
      <c r="M47" s="1025"/>
      <c r="N47" s="1025">
        <f>'1501 Summary'!P226</f>
        <v>14683366.548042705</v>
      </c>
      <c r="O47" s="1025"/>
      <c r="P47" s="1025">
        <f>'1501 Summary'!R226</f>
        <v>12263814.946619216</v>
      </c>
      <c r="Q47" s="1025"/>
      <c r="R47" s="1025">
        <f>'1501 Summary'!T226</f>
        <v>12690279.359430604</v>
      </c>
      <c r="S47" s="1025"/>
      <c r="T47" s="1025">
        <f>'1501 Summary'!V226</f>
        <v>14033218.861209964</v>
      </c>
      <c r="U47" s="1025"/>
      <c r="V47" s="1025">
        <f>'1501 Summary'!X226</f>
        <v>15854873.665480427</v>
      </c>
      <c r="W47" s="1025"/>
      <c r="X47" s="1025">
        <f>'1501 Summary'!Z226</f>
        <v>16079957.295373665</v>
      </c>
      <c r="Y47" s="1025"/>
      <c r="Z47" s="1026">
        <f>'1501 Summary'!AB226</f>
        <v>14656001.77935943</v>
      </c>
      <c r="AA47" s="1027">
        <f>X47+AD20</f>
        <v>16079957.295373665</v>
      </c>
      <c r="AB47" s="1027">
        <f>Z47+AD14</f>
        <v>14656001.77935943</v>
      </c>
    </row>
    <row r="48" spans="2:29">
      <c r="B48" s="904">
        <v>44</v>
      </c>
      <c r="C48" s="987" t="s">
        <v>2986</v>
      </c>
      <c r="D48" s="1029">
        <f>D44/'1501 Summary'!F220</f>
        <v>42269.437435329564</v>
      </c>
      <c r="E48" s="1029"/>
      <c r="F48" s="1029">
        <f>F44/'1501 Summary'!H220</f>
        <v>45447.725113608176</v>
      </c>
      <c r="G48" s="1029"/>
      <c r="H48" s="1029">
        <f>H44/'1501 Summary'!J220</f>
        <v>46257.491368690011</v>
      </c>
      <c r="I48" s="1029"/>
      <c r="J48" s="1029">
        <f>J44/'1501 Summary'!L220</f>
        <v>44610.98419747829</v>
      </c>
      <c r="K48" s="1029"/>
      <c r="L48" s="1029">
        <f>L44/'1501 Summary'!N220</f>
        <v>40125.806377188419</v>
      </c>
      <c r="M48" s="1029"/>
      <c r="N48" s="1029">
        <f>N44/'1501 Summary'!P220</f>
        <v>37996.612605316419</v>
      </c>
      <c r="O48" s="1029"/>
      <c r="P48" s="1029">
        <f>P44/'1501 Summary'!R220</f>
        <v>38504.842211552655</v>
      </c>
      <c r="Q48" s="1029"/>
      <c r="R48" s="1029">
        <f>R44/'1501 Summary'!T220</f>
        <v>38030.999932151171</v>
      </c>
      <c r="S48" s="1029"/>
      <c r="T48" s="1029">
        <f>T44/'1501 Summary'!V220</f>
        <v>38344.018489372516</v>
      </c>
      <c r="U48" s="1029"/>
      <c r="V48" s="1029">
        <f>V44/'1501 Summary'!X220</f>
        <v>44251.720006535113</v>
      </c>
      <c r="W48" s="1029"/>
      <c r="X48" s="1029">
        <f>X44/'1501 Summary'!Z220</f>
        <v>48959.250677758107</v>
      </c>
      <c r="Y48" s="1029"/>
      <c r="Z48" s="1030">
        <f>Z44/'1501 Summary'!AB220</f>
        <v>44196.635751898357</v>
      </c>
      <c r="AA48" s="1027">
        <f>AA44/SUM('1501 Summary'!$Z$220,'1501 Summary'!$Z$74)</f>
        <v>49537.967005753766</v>
      </c>
      <c r="AB48" s="1027">
        <f>AB44/SUM('1501 Summary'!$AB$220,'1501 Summary'!$AB$74)</f>
        <v>45200.521341923792</v>
      </c>
    </row>
    <row r="49" spans="2:28">
      <c r="B49" s="904">
        <v>45</v>
      </c>
      <c r="C49" s="987" t="s">
        <v>2987</v>
      </c>
      <c r="D49" s="1029">
        <f>D45/'1501 Summary'!F220</f>
        <v>29441.927191309394</v>
      </c>
      <c r="E49" s="1029"/>
      <c r="F49" s="1029">
        <f>F45/'1501 Summary'!H220</f>
        <v>31022.188130580205</v>
      </c>
      <c r="G49" s="1029"/>
      <c r="H49" s="1029">
        <f>H45/'1501 Summary'!J220</f>
        <v>28763.49614395887</v>
      </c>
      <c r="I49" s="1029"/>
      <c r="J49" s="1029">
        <f>J45/'1501 Summary'!L220</f>
        <v>28717.629403182105</v>
      </c>
      <c r="K49" s="1029"/>
      <c r="L49" s="1029">
        <f>L45/'1501 Summary'!N220</f>
        <v>28367.172099033585</v>
      </c>
      <c r="M49" s="1029"/>
      <c r="N49" s="1029">
        <f>N45/'1501 Summary'!P220</f>
        <v>27491.171229988711</v>
      </c>
      <c r="O49" s="1029"/>
      <c r="P49" s="1029">
        <f>P45/'1501 Summary'!R220</f>
        <v>35064.130613137888</v>
      </c>
      <c r="Q49" s="1029"/>
      <c r="R49" s="1029">
        <f>R45/'1501 Summary'!T220</f>
        <v>24724.774380572122</v>
      </c>
      <c r="S49" s="1029"/>
      <c r="T49" s="1029">
        <f>T45/'1501 Summary'!V220</f>
        <v>24949.564906588948</v>
      </c>
      <c r="U49" s="1029"/>
      <c r="V49" s="1029">
        <f>V45/'1501 Summary'!X220</f>
        <v>28838.632280178019</v>
      </c>
      <c r="W49" s="1029"/>
      <c r="X49" s="1029">
        <f>X45/'1501 Summary'!Z220</f>
        <v>34353.638465625947</v>
      </c>
      <c r="Y49" s="1029"/>
      <c r="Z49" s="1030">
        <f>Z45/'1501 Summary'!AB220</f>
        <v>27242.733173315912</v>
      </c>
      <c r="AA49" s="1027">
        <f>AA45/SUM('1501 Summary'!$Z$220,'1501 Summary'!$Z$74)</f>
        <v>34136.028415844325</v>
      </c>
      <c r="AB49" s="1027">
        <f>AB45/SUM('1501 Summary'!$AB$220,'1501 Summary'!$AB$74)</f>
        <v>27292.205874309468</v>
      </c>
    </row>
    <row r="50" spans="2:28">
      <c r="B50" s="904">
        <v>46</v>
      </c>
      <c r="C50" s="987" t="s">
        <v>2987</v>
      </c>
      <c r="D50" s="1029">
        <f>D46/'1501 Summary'!F220</f>
        <v>15039.008059967613</v>
      </c>
      <c r="E50" s="1029"/>
      <c r="F50" s="1029">
        <f>F46/'1501 Summary'!H220</f>
        <v>15838.127467569091</v>
      </c>
      <c r="G50" s="1029"/>
      <c r="H50" s="1029">
        <f>H46/'1501 Summary'!J220</f>
        <v>15479.292998582339</v>
      </c>
      <c r="I50" s="1029"/>
      <c r="J50" s="1029">
        <f>J46/'1501 Summary'!L220</f>
        <v>13909.44802670691</v>
      </c>
      <c r="K50" s="1029"/>
      <c r="L50" s="1029">
        <f>L46/'1501 Summary'!N220</f>
        <v>13622.411031786965</v>
      </c>
      <c r="M50" s="1029"/>
      <c r="N50" s="1029">
        <f>N46/'1501 Summary'!P220</f>
        <v>14615.399421659995</v>
      </c>
      <c r="O50" s="1029"/>
      <c r="P50" s="1029">
        <f>P46/'1501 Summary'!R220</f>
        <v>0</v>
      </c>
      <c r="Q50" s="1029"/>
      <c r="R50" s="1029">
        <f>R46/'1501 Summary'!T220</f>
        <v>11600.379810634699</v>
      </c>
      <c r="S50" s="1029"/>
      <c r="T50" s="1029">
        <f>T46/'1501 Summary'!V220</f>
        <v>12353.420740700523</v>
      </c>
      <c r="U50" s="1029"/>
      <c r="V50" s="1029">
        <f>V46/'1501 Summary'!X220</f>
        <v>13202.477120972289</v>
      </c>
      <c r="W50" s="1029"/>
      <c r="X50" s="1029">
        <f>X46/'1501 Summary'!Z220</f>
        <v>14688.105568631898</v>
      </c>
      <c r="Y50" s="1029"/>
      <c r="Z50" s="1030">
        <f>Z46/'1501 Summary'!AB220</f>
        <v>12326.513728019743</v>
      </c>
      <c r="AA50" s="1027">
        <f>AA46/SUM('1501 Summary'!$Z$220,'1501 Summary'!$Z$74)</f>
        <v>17882.667014751431</v>
      </c>
      <c r="AB50" s="1027">
        <f>AB46/SUM('1501 Summary'!$AB$220,'1501 Summary'!$AB$74)</f>
        <v>16126.25203173463</v>
      </c>
    </row>
    <row r="51" spans="2:28">
      <c r="B51" s="904">
        <v>47</v>
      </c>
      <c r="C51" s="987" t="s">
        <v>2988</v>
      </c>
      <c r="D51" s="1029">
        <f>D47/'1501 Summary'!F220</f>
        <v>71028.412352198371</v>
      </c>
      <c r="E51" s="1029"/>
      <c r="F51" s="1029">
        <f>F47/'1501 Summary'!H220</f>
        <v>74772.241992882569</v>
      </c>
      <c r="G51" s="1029"/>
      <c r="H51" s="1029">
        <f>H47/'1501 Summary'!J220</f>
        <v>72879.340194286822</v>
      </c>
      <c r="I51" s="1029"/>
      <c r="J51" s="1029">
        <f>J47/'1501 Summary'!L220</f>
        <v>71881.494661921708</v>
      </c>
      <c r="K51" s="1029"/>
      <c r="L51" s="1029">
        <f>L47/'1501 Summary'!N220</f>
        <v>66878.832283479554</v>
      </c>
      <c r="M51" s="1029"/>
      <c r="N51" s="1029">
        <f>N47/'1501 Summary'!P220</f>
        <v>77689.770095464046</v>
      </c>
      <c r="O51" s="1029"/>
      <c r="P51" s="1029">
        <f>P47/'1501 Summary'!R220</f>
        <v>65233.058226697962</v>
      </c>
      <c r="Q51" s="1029"/>
      <c r="R51" s="1029">
        <f>R47/'1501 Summary'!T220</f>
        <v>67501.485954418109</v>
      </c>
      <c r="S51" s="1029"/>
      <c r="T51" s="1029">
        <f>T47/'1501 Summary'!V220</f>
        <v>75043.951129465044</v>
      </c>
      <c r="U51" s="1029"/>
      <c r="V51" s="1029">
        <f>V47/'1501 Summary'!X220</f>
        <v>85241.256266023804</v>
      </c>
      <c r="W51" s="1029"/>
      <c r="X51" s="1029">
        <f>X47/'1501 Summary'!Z220</f>
        <v>89832.163661305385</v>
      </c>
      <c r="Y51" s="1029"/>
      <c r="Z51" s="1030">
        <f>Z47/'1501 Summary'!AB220</f>
        <v>80972.385521322823</v>
      </c>
      <c r="AA51" s="1027">
        <f>AA47/SUM('1501 Summary'!$Z$220,'1501 Summary'!$Z$74)</f>
        <v>86451.383308460572</v>
      </c>
      <c r="AB51" s="1027">
        <f>AB47/SUM('1501 Summary'!$AB$220,'1501 Summary'!$AB$74)</f>
        <v>77957.456273188451</v>
      </c>
    </row>
    <row r="52" spans="2:28">
      <c r="B52" s="904">
        <v>48</v>
      </c>
      <c r="C52" s="1009" t="s">
        <v>2989</v>
      </c>
      <c r="D52" s="1015">
        <f>SUM(D44:D47)/'1501 Summary'!F220</f>
        <v>157778.78503880493</v>
      </c>
      <c r="E52" s="1015"/>
      <c r="F52" s="1015">
        <f>SUM(F44:F47)/'1501 Summary'!H220</f>
        <v>167080.28270464001</v>
      </c>
      <c r="G52" s="1015"/>
      <c r="H52" s="1015">
        <f>SUM(H44:H47)/'1501 Summary'!J220</f>
        <v>163379.62070551806</v>
      </c>
      <c r="I52" s="1015"/>
      <c r="J52" s="1015">
        <f>SUM(J44:J47)/'1501 Summary'!L220</f>
        <v>159119.556289289</v>
      </c>
      <c r="K52" s="1015"/>
      <c r="L52" s="1015">
        <f>SUM(L44:L47)/'1501 Summary'!N220</f>
        <v>148994.22179148853</v>
      </c>
      <c r="M52" s="1015"/>
      <c r="N52" s="1015">
        <f>SUM(N44:N47)/'1501 Summary'!P220</f>
        <v>157792.95335242918</v>
      </c>
      <c r="O52" s="1015"/>
      <c r="P52" s="1015">
        <f>SUM(P44:P47)/'1501 Summary'!R220</f>
        <v>138802.03105138851</v>
      </c>
      <c r="Q52" s="1015"/>
      <c r="R52" s="1015">
        <f>SUM(R44:R47)/'1501 Summary'!T220</f>
        <v>141857.6400777761</v>
      </c>
      <c r="S52" s="1015"/>
      <c r="T52" s="1015">
        <f>SUM(T44:T47)/'1501 Summary'!V220</f>
        <v>150690.95526612704</v>
      </c>
      <c r="U52" s="1015"/>
      <c r="V52" s="1015">
        <f>SUM(V44:V47)/'1501 Summary'!X220</f>
        <v>171534.08567370923</v>
      </c>
      <c r="W52" s="1015"/>
      <c r="X52" s="1015">
        <f>SUM(X44:X47)/'1501 Summary'!Z220</f>
        <v>187833.15837332135</v>
      </c>
      <c r="Y52" s="1015"/>
      <c r="Z52" s="1031">
        <f>SUM(Z44:Z47)/'1501 Summary'!AB220</f>
        <v>164738.26817455681</v>
      </c>
      <c r="AA52" s="1032">
        <f>SUM(AA44:AA47)/SUM('1501 Summary'!Z220,'1501 Summary'!Z74)</f>
        <v>188008.04574481008</v>
      </c>
      <c r="AB52" s="1033">
        <f>SUM(AB44:AB47)/SUM('1501 Summary'!AB220,'1501 Summary'!AB74)</f>
        <v>166576.43552115635</v>
      </c>
    </row>
    <row r="53" spans="2:28">
      <c r="B53" s="904">
        <v>49</v>
      </c>
      <c r="C53" s="1034" t="s">
        <v>2990</v>
      </c>
      <c r="D53" s="1035"/>
      <c r="E53" s="1035"/>
      <c r="F53" s="1036"/>
      <c r="G53" s="1037"/>
      <c r="H53" s="1038"/>
      <c r="I53" s="1038"/>
      <c r="J53" s="1039"/>
      <c r="K53" s="1039"/>
      <c r="L53" s="1038"/>
      <c r="M53" s="1038"/>
      <c r="N53" s="1038"/>
      <c r="O53" s="1038"/>
      <c r="P53" s="1039"/>
      <c r="Q53" s="1039"/>
      <c r="R53" s="1038"/>
      <c r="S53" s="1038"/>
      <c r="T53" s="1038"/>
      <c r="U53" s="1038"/>
      <c r="V53" s="1038"/>
      <c r="W53" s="1038"/>
      <c r="X53" s="1038"/>
      <c r="Y53" s="1040"/>
      <c r="Z53" s="1041"/>
      <c r="AA53" s="826"/>
    </row>
    <row r="54" spans="2:28">
      <c r="B54" s="904">
        <v>50</v>
      </c>
      <c r="C54" s="979" t="s">
        <v>2716</v>
      </c>
      <c r="D54" s="1042">
        <f>'1501 Summary'!F322</f>
        <v>100000</v>
      </c>
      <c r="E54" s="1042"/>
      <c r="F54" s="1042">
        <f>'1501 Summary'!H322</f>
        <v>100000</v>
      </c>
      <c r="G54" s="1042"/>
      <c r="H54" s="1042">
        <f>'1501 Summary'!J322</f>
        <v>100000</v>
      </c>
      <c r="I54" s="1042"/>
      <c r="J54" s="1042">
        <f>'1501 Summary'!L322</f>
        <v>100000</v>
      </c>
      <c r="K54" s="1042"/>
      <c r="L54" s="1042">
        <f>'1501 Summary'!N322</f>
        <v>100000</v>
      </c>
      <c r="M54" s="1042"/>
      <c r="N54" s="1042">
        <f>'1501 Summary'!P322</f>
        <v>100000</v>
      </c>
      <c r="O54" s="1042"/>
      <c r="P54" s="1042">
        <f>'1501 Summary'!R322</f>
        <v>100000</v>
      </c>
      <c r="Q54" s="1042"/>
      <c r="R54" s="1042">
        <f>'1501 Summary'!T322</f>
        <v>100000</v>
      </c>
      <c r="S54" s="1042"/>
      <c r="T54" s="1042">
        <f>'1501 Summary'!V322</f>
        <v>100000</v>
      </c>
      <c r="U54" s="1042"/>
      <c r="V54" s="1042">
        <f>'1501 Summary'!X322</f>
        <v>100000</v>
      </c>
      <c r="W54" s="1042"/>
      <c r="X54" s="1042">
        <f>'1501 Summary'!Z322</f>
        <v>100000</v>
      </c>
      <c r="Y54" s="1042"/>
      <c r="Z54" s="1043">
        <f>'1501 Summary'!AB322</f>
        <v>100000</v>
      </c>
      <c r="AA54" s="826"/>
    </row>
    <row r="55" spans="2:28">
      <c r="B55" s="904">
        <v>51</v>
      </c>
      <c r="C55" s="979" t="s">
        <v>2494</v>
      </c>
      <c r="D55" s="1042">
        <f>'1501 Summary'!F323</f>
        <v>200000.00000000003</v>
      </c>
      <c r="E55" s="1042"/>
      <c r="F55" s="1042">
        <f>'1501 Summary'!H323</f>
        <v>200000.00000000003</v>
      </c>
      <c r="G55" s="1042"/>
      <c r="H55" s="1042">
        <f>'1501 Summary'!J323</f>
        <v>200000.00000000003</v>
      </c>
      <c r="I55" s="1042"/>
      <c r="J55" s="1042">
        <f>'1501 Summary'!L323</f>
        <v>200000.00000000003</v>
      </c>
      <c r="K55" s="1042"/>
      <c r="L55" s="1042">
        <f>'1501 Summary'!N323</f>
        <v>200000.00000000003</v>
      </c>
      <c r="M55" s="1042"/>
      <c r="N55" s="1042">
        <f>'1501 Summary'!P323</f>
        <v>200000.00000000003</v>
      </c>
      <c r="O55" s="1042"/>
      <c r="P55" s="1042">
        <f>'1501 Summary'!R323</f>
        <v>321542.41645244218</v>
      </c>
      <c r="Q55" s="1042"/>
      <c r="R55" s="1042">
        <f>'1501 Summary'!T323</f>
        <v>200000.00000000003</v>
      </c>
      <c r="S55" s="1042"/>
      <c r="T55" s="1042">
        <f>'1501 Summary'!V323</f>
        <v>200000.00000000003</v>
      </c>
      <c r="U55" s="1042"/>
      <c r="V55" s="1042">
        <f>'1501 Summary'!X323</f>
        <v>200000.00000000003</v>
      </c>
      <c r="W55" s="1042"/>
      <c r="X55" s="1042">
        <f>'1501 Summary'!Z323</f>
        <v>200000.00000000003</v>
      </c>
      <c r="Y55" s="1042"/>
      <c r="Z55" s="1043">
        <f>'1501 Summary'!AB323</f>
        <v>200000.00000000003</v>
      </c>
      <c r="AA55" s="826"/>
    </row>
    <row r="56" spans="2:28">
      <c r="B56" s="904">
        <v>52</v>
      </c>
      <c r="C56" s="979" t="s">
        <v>2494</v>
      </c>
      <c r="D56" s="1042">
        <f>'1501 Summary'!F324</f>
        <v>200000</v>
      </c>
      <c r="E56" s="1042"/>
      <c r="F56" s="1042">
        <f>'1501 Summary'!H324</f>
        <v>200000</v>
      </c>
      <c r="G56" s="1042"/>
      <c r="H56" s="1042">
        <f>'1501 Summary'!J324</f>
        <v>200000</v>
      </c>
      <c r="I56" s="1042"/>
      <c r="J56" s="1042">
        <f>'1501 Summary'!L324</f>
        <v>200000</v>
      </c>
      <c r="K56" s="1042"/>
      <c r="L56" s="1042">
        <f>'1501 Summary'!N324</f>
        <v>200000</v>
      </c>
      <c r="M56" s="1042"/>
      <c r="N56" s="1042">
        <f>'1501 Summary'!P324</f>
        <v>200000</v>
      </c>
      <c r="O56" s="1042"/>
      <c r="P56" s="1042">
        <f>'1501 Summary'!R324</f>
        <v>0</v>
      </c>
      <c r="Q56" s="1042"/>
      <c r="R56" s="1042">
        <f>'1501 Summary'!T324</f>
        <v>200000</v>
      </c>
      <c r="S56" s="1042"/>
      <c r="T56" s="1042">
        <f>'1501 Summary'!V324</f>
        <v>200000</v>
      </c>
      <c r="U56" s="1042"/>
      <c r="V56" s="1042">
        <f>'1501 Summary'!X324</f>
        <v>200000</v>
      </c>
      <c r="W56" s="1042"/>
      <c r="X56" s="1042">
        <f>'1501 Summary'!Z324</f>
        <v>200000</v>
      </c>
      <c r="Y56" s="1042"/>
      <c r="Z56" s="1043">
        <f>'1501 Summary'!AB324</f>
        <v>200000</v>
      </c>
      <c r="AA56" s="826"/>
    </row>
    <row r="57" spans="2:28">
      <c r="B57" s="904">
        <v>53</v>
      </c>
      <c r="C57" s="979" t="s">
        <v>2717</v>
      </c>
      <c r="D57" s="1042">
        <f>'1501 Summary'!F325</f>
        <v>13882578.291814946</v>
      </c>
      <c r="E57" s="1042"/>
      <c r="F57" s="1042">
        <f>'1501 Summary'!H325</f>
        <v>14444498.22064057</v>
      </c>
      <c r="G57" s="1042"/>
      <c r="H57" s="1042">
        <f>'1501 Summary'!J325</f>
        <v>6908861.2099644132</v>
      </c>
      <c r="I57" s="1042"/>
      <c r="J57" s="1042">
        <f>'1501 Summary'!L325</f>
        <v>9317658.3629893232</v>
      </c>
      <c r="K57" s="1042"/>
      <c r="L57" s="1042">
        <f>'1501 Summary'!N325</f>
        <v>7094206.4056939511</v>
      </c>
      <c r="M57" s="1042"/>
      <c r="N57" s="1042">
        <f>'1501 Summary'!P325</f>
        <v>4840649.466192171</v>
      </c>
      <c r="O57" s="1042"/>
      <c r="P57" s="1042">
        <f>'1501 Summary'!R325</f>
        <v>7324546.263345195</v>
      </c>
      <c r="Q57" s="1042"/>
      <c r="R57" s="1042">
        <f>'1501 Summary'!T325</f>
        <v>14001183.274021352</v>
      </c>
      <c r="S57" s="1042"/>
      <c r="T57" s="1042">
        <f>'1501 Summary'!V325</f>
        <v>15664686.832740212</v>
      </c>
      <c r="U57" s="1042"/>
      <c r="V57" s="1042">
        <f>'1501 Summary'!X325</f>
        <v>15153555.160142347</v>
      </c>
      <c r="W57" s="1042"/>
      <c r="X57" s="1042">
        <f>'1501 Summary'!Z325</f>
        <v>10566763.345195729</v>
      </c>
      <c r="Y57" s="1042"/>
      <c r="Z57" s="1043">
        <f>'1501 Summary'!AB325</f>
        <v>12199044.483985767</v>
      </c>
      <c r="AA57" s="826"/>
    </row>
    <row r="58" spans="2:28">
      <c r="B58" s="904">
        <v>54</v>
      </c>
      <c r="C58" s="979" t="s">
        <v>2986</v>
      </c>
      <c r="D58" s="1042">
        <f>D54/'1501 Summary'!F319</f>
        <v>50000</v>
      </c>
      <c r="E58" s="1042"/>
      <c r="F58" s="1042">
        <f>F54/'1501 Summary'!H319</f>
        <v>50000</v>
      </c>
      <c r="G58" s="1042"/>
      <c r="H58" s="1042">
        <f>H54/'1501 Summary'!J319</f>
        <v>50000</v>
      </c>
      <c r="I58" s="1042"/>
      <c r="J58" s="1042">
        <f>J54/'1501 Summary'!L319</f>
        <v>50000</v>
      </c>
      <c r="K58" s="1042"/>
      <c r="L58" s="1042">
        <f>L54/'1501 Summary'!N319</f>
        <v>50000</v>
      </c>
      <c r="M58" s="1042"/>
      <c r="N58" s="1042">
        <f>N54/'1501 Summary'!P319</f>
        <v>50000</v>
      </c>
      <c r="O58" s="1042"/>
      <c r="P58" s="1042">
        <f>P54/'1501 Summary'!R319</f>
        <v>50000</v>
      </c>
      <c r="Q58" s="1042"/>
      <c r="R58" s="1042">
        <f>R54/'1501 Summary'!T319</f>
        <v>50000</v>
      </c>
      <c r="S58" s="1042"/>
      <c r="T58" s="1042">
        <f>T54/'1501 Summary'!V319</f>
        <v>50000</v>
      </c>
      <c r="U58" s="1042"/>
      <c r="V58" s="1042">
        <f>V54/'1501 Summary'!X319</f>
        <v>50000</v>
      </c>
      <c r="W58" s="1042"/>
      <c r="X58" s="1042">
        <f>X54/'1501 Summary'!Z319</f>
        <v>50000</v>
      </c>
      <c r="Y58" s="1042"/>
      <c r="Z58" s="1043">
        <f>Z54/'1501 Summary'!AB319</f>
        <v>50000</v>
      </c>
      <c r="AA58" s="826"/>
    </row>
    <row r="59" spans="2:28">
      <c r="B59" s="904">
        <v>55</v>
      </c>
      <c r="C59" s="979" t="s">
        <v>2987</v>
      </c>
      <c r="D59" s="1042">
        <f>D55/'1501 Summary'!F319</f>
        <v>100000.00000000001</v>
      </c>
      <c r="E59" s="1042"/>
      <c r="F59" s="1042">
        <f>F55/'1501 Summary'!H319</f>
        <v>100000.00000000001</v>
      </c>
      <c r="G59" s="1042"/>
      <c r="H59" s="1042">
        <f>H55/'1501 Summary'!J319</f>
        <v>100000.00000000001</v>
      </c>
      <c r="I59" s="1042"/>
      <c r="J59" s="1042">
        <f>J55/'1501 Summary'!L319</f>
        <v>100000.00000000001</v>
      </c>
      <c r="K59" s="1042"/>
      <c r="L59" s="1042">
        <f>L55/'1501 Summary'!N319</f>
        <v>100000.00000000001</v>
      </c>
      <c r="M59" s="1042"/>
      <c r="N59" s="1042">
        <f>N55/'1501 Summary'!P319</f>
        <v>100000.00000000001</v>
      </c>
      <c r="O59" s="1042"/>
      <c r="P59" s="1042">
        <f>P55/'1501 Summary'!R319</f>
        <v>160771.20822622109</v>
      </c>
      <c r="Q59" s="1042"/>
      <c r="R59" s="1042">
        <f>R55/'1501 Summary'!T319</f>
        <v>100000.00000000001</v>
      </c>
      <c r="S59" s="1042"/>
      <c r="T59" s="1042">
        <f>T55/'1501 Summary'!V319</f>
        <v>100000.00000000001</v>
      </c>
      <c r="U59" s="1042"/>
      <c r="V59" s="1042">
        <f>V55/'1501 Summary'!X319</f>
        <v>100000.00000000001</v>
      </c>
      <c r="W59" s="1042"/>
      <c r="X59" s="1042">
        <f>X55/'1501 Summary'!Z319</f>
        <v>100000.00000000001</v>
      </c>
      <c r="Y59" s="1042"/>
      <c r="Z59" s="1043">
        <f>Z55/'1501 Summary'!AB319</f>
        <v>100000.00000000001</v>
      </c>
      <c r="AA59" s="826"/>
    </row>
    <row r="60" spans="2:28">
      <c r="B60" s="904">
        <v>56</v>
      </c>
      <c r="C60" s="979" t="s">
        <v>2987</v>
      </c>
      <c r="D60" s="1042">
        <f>D56/'1501 Summary'!F319</f>
        <v>100000</v>
      </c>
      <c r="E60" s="1042"/>
      <c r="F60" s="1042">
        <f>F56/'1501 Summary'!H319</f>
        <v>100000</v>
      </c>
      <c r="G60" s="1042"/>
      <c r="H60" s="1042">
        <f>H56/'1501 Summary'!J319</f>
        <v>100000</v>
      </c>
      <c r="I60" s="1042"/>
      <c r="J60" s="1042">
        <f>J56/'1501 Summary'!L319</f>
        <v>100000</v>
      </c>
      <c r="K60" s="1042"/>
      <c r="L60" s="1042">
        <f>L56/'1501 Summary'!N319</f>
        <v>100000</v>
      </c>
      <c r="M60" s="1042"/>
      <c r="N60" s="1042">
        <f>N56/'1501 Summary'!P319</f>
        <v>100000</v>
      </c>
      <c r="O60" s="1042"/>
      <c r="P60" s="1042">
        <f>P56/'1501 Summary'!R319</f>
        <v>0</v>
      </c>
      <c r="Q60" s="1042"/>
      <c r="R60" s="1042">
        <f>R56/'1501 Summary'!T319</f>
        <v>100000</v>
      </c>
      <c r="S60" s="1042"/>
      <c r="T60" s="1042">
        <f>T56/'1501 Summary'!V319</f>
        <v>100000</v>
      </c>
      <c r="U60" s="1042"/>
      <c r="V60" s="1042">
        <f>V56/'1501 Summary'!X319</f>
        <v>100000</v>
      </c>
      <c r="W60" s="1042"/>
      <c r="X60" s="1042">
        <f>X56/'1501 Summary'!Z319</f>
        <v>100000</v>
      </c>
      <c r="Y60" s="1042"/>
      <c r="Z60" s="1043">
        <f>Z56/'1501 Summary'!AB319</f>
        <v>100000</v>
      </c>
      <c r="AA60" s="826"/>
    </row>
    <row r="61" spans="2:28">
      <c r="B61" s="904">
        <v>57</v>
      </c>
      <c r="C61" s="979" t="s">
        <v>2988</v>
      </c>
      <c r="D61" s="1042">
        <f>D57/'1501 Summary'!F319</f>
        <v>6941289.1459074728</v>
      </c>
      <c r="E61" s="1042"/>
      <c r="F61" s="1042">
        <f>F57/'1501 Summary'!H319</f>
        <v>7222249.110320285</v>
      </c>
      <c r="G61" s="1042"/>
      <c r="H61" s="1042">
        <f>H57/'1501 Summary'!J319</f>
        <v>3454430.6049822066</v>
      </c>
      <c r="I61" s="1042"/>
      <c r="J61" s="1042">
        <f>J57/'1501 Summary'!L319</f>
        <v>4658829.1814946616</v>
      </c>
      <c r="K61" s="1042"/>
      <c r="L61" s="1042">
        <f>L57/'1501 Summary'!N319</f>
        <v>3547103.2028469755</v>
      </c>
      <c r="M61" s="1042"/>
      <c r="N61" s="1042">
        <f>N57/'1501 Summary'!P319</f>
        <v>2420324.7330960855</v>
      </c>
      <c r="O61" s="1042"/>
      <c r="P61" s="1042">
        <f>P57/'1501 Summary'!R319</f>
        <v>3662273.1316725975</v>
      </c>
      <c r="Q61" s="1042"/>
      <c r="R61" s="1042">
        <f>R57/'1501 Summary'!T319</f>
        <v>7000591.6370106759</v>
      </c>
      <c r="S61" s="1042"/>
      <c r="T61" s="1042">
        <f>T57/'1501 Summary'!V319</f>
        <v>7832343.4163701059</v>
      </c>
      <c r="U61" s="1042"/>
      <c r="V61" s="1042">
        <f>V57/'1501 Summary'!X319</f>
        <v>7576777.5800711736</v>
      </c>
      <c r="W61" s="1042"/>
      <c r="X61" s="1042">
        <f>X57/'1501 Summary'!Z319</f>
        <v>5283381.6725978646</v>
      </c>
      <c r="Y61" s="1042"/>
      <c r="Z61" s="1043">
        <f>Z57/'1501 Summary'!AB319</f>
        <v>6099522.2419928834</v>
      </c>
      <c r="AA61" s="826"/>
    </row>
    <row r="62" spans="2:28">
      <c r="B62" s="904">
        <v>58</v>
      </c>
      <c r="C62" s="982" t="s">
        <v>2991</v>
      </c>
      <c r="D62" s="983">
        <f>SUM(D54:D57)/'1501 Summary'!F319</f>
        <v>7191289.1459074728</v>
      </c>
      <c r="E62" s="983"/>
      <c r="F62" s="983">
        <f>SUM(F54:F57)/'1501 Summary'!H319</f>
        <v>7472249.110320285</v>
      </c>
      <c r="G62" s="983"/>
      <c r="H62" s="983">
        <f>SUM(H54:H57)/'1501 Summary'!J319</f>
        <v>3704430.6049822066</v>
      </c>
      <c r="I62" s="983"/>
      <c r="J62" s="983">
        <f>SUM(J54:J57)/'1501 Summary'!L319</f>
        <v>4908829.1814946616</v>
      </c>
      <c r="K62" s="983"/>
      <c r="L62" s="983">
        <f>SUM(L54:L57)/'1501 Summary'!N319</f>
        <v>3797103.2028469755</v>
      </c>
      <c r="M62" s="983"/>
      <c r="N62" s="983">
        <f>SUM(N54:N57)/'1501 Summary'!P319</f>
        <v>2670324.7330960855</v>
      </c>
      <c r="O62" s="983"/>
      <c r="P62" s="983">
        <f>SUM(P54:P57)/'1501 Summary'!R319</f>
        <v>3873044.3398988186</v>
      </c>
      <c r="Q62" s="983"/>
      <c r="R62" s="983">
        <f>SUM(R54:R57)/'1501 Summary'!T319</f>
        <v>7250591.6370106759</v>
      </c>
      <c r="S62" s="983"/>
      <c r="T62" s="983">
        <f>SUM(T54:T57)/'1501 Summary'!V319</f>
        <v>8082343.4163701059</v>
      </c>
      <c r="U62" s="983"/>
      <c r="V62" s="983">
        <f>SUM(V54:V57)/'1501 Summary'!X319</f>
        <v>7826777.5800711736</v>
      </c>
      <c r="W62" s="983"/>
      <c r="X62" s="983">
        <f>SUM(X54:X57)/'1501 Summary'!Z319</f>
        <v>5533381.6725978646</v>
      </c>
      <c r="Y62" s="983"/>
      <c r="Z62" s="984">
        <f>SUM(Z54:Z57)/'1501 Summary'!AB319</f>
        <v>6349522.2419928834</v>
      </c>
      <c r="AA62" s="826"/>
    </row>
    <row r="63" spans="2:28">
      <c r="B63" s="904">
        <v>59</v>
      </c>
      <c r="C63" s="982">
        <v>6633</v>
      </c>
      <c r="D63" s="980"/>
      <c r="E63" s="980"/>
      <c r="F63" s="980"/>
      <c r="G63" s="1044"/>
      <c r="H63" s="1019"/>
      <c r="I63" s="1019"/>
      <c r="J63" s="1019"/>
      <c r="K63" s="1019"/>
      <c r="L63" s="1019"/>
      <c r="M63" s="1019"/>
      <c r="N63" s="1019"/>
      <c r="O63" s="1019"/>
      <c r="P63" s="1019"/>
      <c r="Q63" s="1019"/>
      <c r="R63" s="1019"/>
      <c r="S63" s="1019"/>
      <c r="T63" s="1019"/>
      <c r="U63" s="1019"/>
      <c r="V63" s="1019"/>
      <c r="W63" s="1019"/>
      <c r="X63" s="1019"/>
      <c r="Y63" s="1045"/>
      <c r="Z63" s="1020"/>
      <c r="AA63" s="826"/>
    </row>
    <row r="64" spans="2:28">
      <c r="B64" s="904">
        <v>60</v>
      </c>
      <c r="C64" s="979" t="s">
        <v>2716</v>
      </c>
      <c r="D64" s="980">
        <f>'1501 Summary'!F342</f>
        <v>100000</v>
      </c>
      <c r="E64" s="980"/>
      <c r="F64" s="980">
        <f>'1501 Summary'!H342</f>
        <v>100000</v>
      </c>
      <c r="G64" s="980"/>
      <c r="H64" s="980">
        <f>'1501 Summary'!J342</f>
        <v>100000</v>
      </c>
      <c r="I64" s="980"/>
      <c r="J64" s="980">
        <f>'1501 Summary'!L342</f>
        <v>100000</v>
      </c>
      <c r="K64" s="980"/>
      <c r="L64" s="980">
        <f>'1501 Summary'!N342</f>
        <v>100000</v>
      </c>
      <c r="M64" s="980"/>
      <c r="N64" s="980">
        <f>'1501 Summary'!P342</f>
        <v>100000</v>
      </c>
      <c r="O64" s="980"/>
      <c r="P64" s="980">
        <f>'1501 Summary'!R342</f>
        <v>100000</v>
      </c>
      <c r="Q64" s="980"/>
      <c r="R64" s="980">
        <f>'1501 Summary'!T342</f>
        <v>100000</v>
      </c>
      <c r="S64" s="980"/>
      <c r="T64" s="980">
        <f>'1501 Summary'!V342</f>
        <v>100000</v>
      </c>
      <c r="U64" s="980"/>
      <c r="V64" s="980">
        <f>'1501 Summary'!X342</f>
        <v>100000</v>
      </c>
      <c r="W64" s="980"/>
      <c r="X64" s="980">
        <f>'1501 Summary'!Z342</f>
        <v>100000</v>
      </c>
      <c r="Y64" s="980"/>
      <c r="Z64" s="981">
        <f>'1501 Summary'!AB342</f>
        <v>100000</v>
      </c>
      <c r="AA64" s="826"/>
    </row>
    <row r="65" spans="2:27">
      <c r="B65" s="904">
        <v>61</v>
      </c>
      <c r="C65" s="1046" t="s">
        <v>2494</v>
      </c>
      <c r="D65" s="1047">
        <f>'1501 Summary'!F343</f>
        <v>200000.00000000003</v>
      </c>
      <c r="E65" s="1047"/>
      <c r="F65" s="1047">
        <f>'1501 Summary'!H343</f>
        <v>200000.00000000003</v>
      </c>
      <c r="G65" s="1047"/>
      <c r="H65" s="1047">
        <f>'1501 Summary'!J343</f>
        <v>200000.00000000003</v>
      </c>
      <c r="I65" s="1047"/>
      <c r="J65" s="1047">
        <f>'1501 Summary'!L343</f>
        <v>200000.00000000003</v>
      </c>
      <c r="K65" s="1047"/>
      <c r="L65" s="1047">
        <f>'1501 Summary'!N343</f>
        <v>200000.00000000003</v>
      </c>
      <c r="M65" s="1047"/>
      <c r="N65" s="1047">
        <f>'1501 Summary'!P343</f>
        <v>200000.00000000003</v>
      </c>
      <c r="O65" s="1047"/>
      <c r="P65" s="1047">
        <f>'1501 Summary'!R343</f>
        <v>200000.00000000003</v>
      </c>
      <c r="Q65" s="1047"/>
      <c r="R65" s="1047">
        <f>'1501 Summary'!T343</f>
        <v>200000.00000000003</v>
      </c>
      <c r="S65" s="1047"/>
      <c r="T65" s="1047">
        <f>'1501 Summary'!V343</f>
        <v>200000.00000000003</v>
      </c>
      <c r="U65" s="1047"/>
      <c r="V65" s="1047">
        <f>'1501 Summary'!X343</f>
        <v>200000.00000000003</v>
      </c>
      <c r="W65" s="1047"/>
      <c r="X65" s="1047">
        <f>'1501 Summary'!Z343</f>
        <v>200000.00000000003</v>
      </c>
      <c r="Y65" s="1047"/>
      <c r="Z65" s="1048">
        <f>'1501 Summary'!AB343</f>
        <v>200000.00000000003</v>
      </c>
      <c r="AA65" s="826"/>
    </row>
    <row r="66" spans="2:27">
      <c r="B66" s="904">
        <v>62</v>
      </c>
      <c r="C66" s="1046" t="s">
        <v>2494</v>
      </c>
      <c r="D66" s="1047">
        <f>'1501 Summary'!F344</f>
        <v>200000</v>
      </c>
      <c r="E66" s="1047"/>
      <c r="F66" s="1047">
        <f>'1501 Summary'!H344</f>
        <v>200000</v>
      </c>
      <c r="G66" s="1047"/>
      <c r="H66" s="1047">
        <f>'1501 Summary'!J344</f>
        <v>200000</v>
      </c>
      <c r="I66" s="1047"/>
      <c r="J66" s="1047">
        <f>'1501 Summary'!L344</f>
        <v>200000</v>
      </c>
      <c r="K66" s="1047"/>
      <c r="L66" s="1047">
        <f>'1501 Summary'!N344</f>
        <v>200000</v>
      </c>
      <c r="M66" s="1047"/>
      <c r="N66" s="1047">
        <f>'1501 Summary'!P344</f>
        <v>81981.387478849399</v>
      </c>
      <c r="O66" s="1047"/>
      <c r="P66" s="1047">
        <f>'1501 Summary'!R344</f>
        <v>200000</v>
      </c>
      <c r="Q66" s="1047"/>
      <c r="R66" s="1047">
        <f>'1501 Summary'!T344</f>
        <v>200000</v>
      </c>
      <c r="S66" s="1047"/>
      <c r="T66" s="1047">
        <f>'1501 Summary'!V344</f>
        <v>200000</v>
      </c>
      <c r="U66" s="1047"/>
      <c r="V66" s="1047">
        <f>'1501 Summary'!X344</f>
        <v>200000</v>
      </c>
      <c r="W66" s="1047"/>
      <c r="X66" s="1047">
        <f>'1501 Summary'!Z344</f>
        <v>200000</v>
      </c>
      <c r="Y66" s="1047"/>
      <c r="Z66" s="1048">
        <f>'1501 Summary'!AB344</f>
        <v>200000</v>
      </c>
      <c r="AA66" s="826"/>
    </row>
    <row r="67" spans="2:27">
      <c r="B67" s="904">
        <v>63</v>
      </c>
      <c r="C67" s="1046" t="s">
        <v>2717</v>
      </c>
      <c r="D67" s="1047">
        <f>'1501 Summary'!F345</f>
        <v>3950624.555160142</v>
      </c>
      <c r="E67" s="1047"/>
      <c r="F67" s="1047">
        <f>'1501 Summary'!H345</f>
        <v>3588087.1886120997</v>
      </c>
      <c r="G67" s="1047"/>
      <c r="H67" s="1047">
        <f>'1501 Summary'!J345</f>
        <v>5346715.3024911033</v>
      </c>
      <c r="I67" s="1047"/>
      <c r="J67" s="1047">
        <f>'1501 Summary'!L345</f>
        <v>2588142.3487544484</v>
      </c>
      <c r="K67" s="1047"/>
      <c r="L67" s="1047">
        <f>'1501 Summary'!N345</f>
        <v>2051096.0854092527</v>
      </c>
      <c r="M67" s="1047"/>
      <c r="N67" s="1047">
        <f>'1501 Summary'!P345</f>
        <v>-42820.284697508898</v>
      </c>
      <c r="O67" s="1047"/>
      <c r="P67" s="1047">
        <f>'1501 Summary'!R345</f>
        <v>6276820.2846975094</v>
      </c>
      <c r="Q67" s="1047"/>
      <c r="R67" s="1047">
        <f>'1501 Summary'!T345</f>
        <v>13622838.078291817</v>
      </c>
      <c r="S67" s="1047"/>
      <c r="T67" s="1047">
        <f>'1501 Summary'!V345</f>
        <v>15105297.153024912</v>
      </c>
      <c r="U67" s="1047"/>
      <c r="V67" s="1047">
        <f>'1501 Summary'!X345</f>
        <v>14012834.519572955</v>
      </c>
      <c r="W67" s="1047"/>
      <c r="X67" s="1047">
        <f>'1501 Summary'!Z345</f>
        <v>167138.79003558721</v>
      </c>
      <c r="Y67" s="1047"/>
      <c r="Z67" s="1048">
        <f>'1501 Summary'!AB345</f>
        <v>5456005.3380782921</v>
      </c>
      <c r="AA67" s="826"/>
    </row>
    <row r="68" spans="2:27">
      <c r="B68" s="904">
        <v>64</v>
      </c>
      <c r="C68" s="1046" t="s">
        <v>2986</v>
      </c>
      <c r="D68" s="1047">
        <f>D64/'1501 Summary'!F339</f>
        <v>100000</v>
      </c>
      <c r="E68" s="1047"/>
      <c r="F68" s="1047">
        <f>F64/'1501 Summary'!H339</f>
        <v>100000</v>
      </c>
      <c r="G68" s="1047"/>
      <c r="H68" s="1047">
        <f>H64/'1501 Summary'!J339</f>
        <v>100000</v>
      </c>
      <c r="I68" s="1047"/>
      <c r="J68" s="1047">
        <f>J64/'1501 Summary'!L339</f>
        <v>100000</v>
      </c>
      <c r="K68" s="1047"/>
      <c r="L68" s="1047">
        <f>L64/'1501 Summary'!N339</f>
        <v>100000</v>
      </c>
      <c r="M68" s="1047"/>
      <c r="N68" s="1047">
        <f>N64/'1501 Summary'!P339</f>
        <v>100000</v>
      </c>
      <c r="O68" s="1047"/>
      <c r="P68" s="1047">
        <f>P64/'1501 Summary'!R339</f>
        <v>100000</v>
      </c>
      <c r="Q68" s="1047"/>
      <c r="R68" s="1047">
        <f>R64/'1501 Summary'!T339</f>
        <v>100000</v>
      </c>
      <c r="S68" s="1047"/>
      <c r="T68" s="1047">
        <f>T64/'1501 Summary'!V339</f>
        <v>100000</v>
      </c>
      <c r="U68" s="1047"/>
      <c r="V68" s="1047">
        <f>V64/'1501 Summary'!X339</f>
        <v>100000</v>
      </c>
      <c r="W68" s="1047"/>
      <c r="X68" s="1047">
        <f>X64/'1501 Summary'!Z339</f>
        <v>100000</v>
      </c>
      <c r="Y68" s="1047"/>
      <c r="Z68" s="1048">
        <f>Z64/'1501 Summary'!AB339</f>
        <v>100000</v>
      </c>
      <c r="AA68" s="826"/>
    </row>
    <row r="69" spans="2:27">
      <c r="B69" s="904">
        <v>65</v>
      </c>
      <c r="C69" s="1046" t="s">
        <v>2987</v>
      </c>
      <c r="D69" s="1047">
        <f>D65/'1501 Summary'!F339</f>
        <v>200000.00000000003</v>
      </c>
      <c r="E69" s="1047"/>
      <c r="F69" s="1047">
        <f>F65/'1501 Summary'!H339</f>
        <v>200000.00000000003</v>
      </c>
      <c r="G69" s="1047"/>
      <c r="H69" s="1047">
        <f>H65/'1501 Summary'!J339</f>
        <v>200000.00000000003</v>
      </c>
      <c r="I69" s="1047"/>
      <c r="J69" s="1047">
        <f>J65/'1501 Summary'!L339</f>
        <v>200000.00000000003</v>
      </c>
      <c r="K69" s="1047"/>
      <c r="L69" s="1047">
        <f>L65/'1501 Summary'!N339</f>
        <v>200000.00000000003</v>
      </c>
      <c r="M69" s="1047"/>
      <c r="N69" s="1047">
        <f>N65/'1501 Summary'!P339</f>
        <v>200000.00000000003</v>
      </c>
      <c r="O69" s="1047"/>
      <c r="P69" s="1047">
        <f>P65/'1501 Summary'!R339</f>
        <v>200000.00000000003</v>
      </c>
      <c r="Q69" s="1047"/>
      <c r="R69" s="1047">
        <f>R65/'1501 Summary'!T339</f>
        <v>200000.00000000003</v>
      </c>
      <c r="S69" s="1047"/>
      <c r="T69" s="1047">
        <f>T65/'1501 Summary'!V339</f>
        <v>200000.00000000003</v>
      </c>
      <c r="U69" s="1047"/>
      <c r="V69" s="1047">
        <f>V65/'1501 Summary'!X339</f>
        <v>200000.00000000003</v>
      </c>
      <c r="W69" s="1047"/>
      <c r="X69" s="1047">
        <f>X65/'1501 Summary'!Z339</f>
        <v>200000.00000000003</v>
      </c>
      <c r="Y69" s="1047"/>
      <c r="Z69" s="1048">
        <f>Z65/'1501 Summary'!AB339</f>
        <v>200000.00000000003</v>
      </c>
      <c r="AA69" s="826"/>
    </row>
    <row r="70" spans="2:27">
      <c r="B70" s="904">
        <v>66</v>
      </c>
      <c r="C70" s="1046" t="s">
        <v>2987</v>
      </c>
      <c r="D70" s="1047">
        <f>D66/'1501 Summary'!F339</f>
        <v>200000</v>
      </c>
      <c r="E70" s="1047"/>
      <c r="F70" s="1047">
        <f>F66/'1501 Summary'!H339</f>
        <v>200000</v>
      </c>
      <c r="G70" s="1047"/>
      <c r="H70" s="1047">
        <f>H66/'1501 Summary'!J339</f>
        <v>200000</v>
      </c>
      <c r="I70" s="1047"/>
      <c r="J70" s="1047">
        <f>J66/'1501 Summary'!L339</f>
        <v>200000</v>
      </c>
      <c r="K70" s="1047"/>
      <c r="L70" s="1047">
        <f>L66/'1501 Summary'!N339</f>
        <v>200000</v>
      </c>
      <c r="M70" s="1047"/>
      <c r="N70" s="1047">
        <f>N66/'1501 Summary'!P339</f>
        <v>81981.387478849399</v>
      </c>
      <c r="O70" s="1047"/>
      <c r="P70" s="1047">
        <f>P66/'1501 Summary'!R339</f>
        <v>200000</v>
      </c>
      <c r="Q70" s="1047"/>
      <c r="R70" s="1047">
        <f>R66/'1501 Summary'!T339</f>
        <v>200000</v>
      </c>
      <c r="S70" s="1047"/>
      <c r="T70" s="1047">
        <f>T66/'1501 Summary'!V339</f>
        <v>200000</v>
      </c>
      <c r="U70" s="1047"/>
      <c r="V70" s="1047">
        <f>V66/'1501 Summary'!X339</f>
        <v>200000</v>
      </c>
      <c r="W70" s="1047"/>
      <c r="X70" s="1047">
        <f>X66/'1501 Summary'!Z339</f>
        <v>200000</v>
      </c>
      <c r="Y70" s="1047"/>
      <c r="Z70" s="1048">
        <f>Z66/'1501 Summary'!AB339</f>
        <v>200000</v>
      </c>
      <c r="AA70" s="826"/>
    </row>
    <row r="71" spans="2:27">
      <c r="B71" s="904">
        <v>67</v>
      </c>
      <c r="C71" s="1046" t="s">
        <v>2988</v>
      </c>
      <c r="D71" s="1047">
        <f>D67/'1501 Summary'!F339</f>
        <v>3950624.555160142</v>
      </c>
      <c r="E71" s="1047"/>
      <c r="F71" s="1047">
        <f>F67/'1501 Summary'!H339</f>
        <v>3588087.1886120997</v>
      </c>
      <c r="G71" s="1047"/>
      <c r="H71" s="1047">
        <f>H67/'1501 Summary'!J339</f>
        <v>5346715.3024911033</v>
      </c>
      <c r="I71" s="1047"/>
      <c r="J71" s="1047">
        <f>J67/'1501 Summary'!L339</f>
        <v>2588142.3487544484</v>
      </c>
      <c r="K71" s="1047"/>
      <c r="L71" s="1047">
        <f>L67/'1501 Summary'!N339</f>
        <v>2051096.0854092527</v>
      </c>
      <c r="M71" s="1047"/>
      <c r="N71" s="1047">
        <f>N67/'1501 Summary'!P339</f>
        <v>-42820.284697508898</v>
      </c>
      <c r="O71" s="1047"/>
      <c r="P71" s="1047">
        <f>P67/'1501 Summary'!R339</f>
        <v>6276820.2846975094</v>
      </c>
      <c r="Q71" s="1047"/>
      <c r="R71" s="1047">
        <f>R67/'1501 Summary'!T339</f>
        <v>13622838.078291817</v>
      </c>
      <c r="S71" s="1047"/>
      <c r="T71" s="1047">
        <f>T67/'1501 Summary'!V339</f>
        <v>15105297.153024912</v>
      </c>
      <c r="U71" s="1047"/>
      <c r="V71" s="1047">
        <f>V67/'1501 Summary'!X339</f>
        <v>14012834.519572955</v>
      </c>
      <c r="W71" s="1047"/>
      <c r="X71" s="1047">
        <f>X67/'1501 Summary'!Z339</f>
        <v>167138.79003558721</v>
      </c>
      <c r="Y71" s="1047"/>
      <c r="Z71" s="1048">
        <f>Z67/'1501 Summary'!AB339</f>
        <v>5456005.3380782921</v>
      </c>
      <c r="AA71" s="826"/>
    </row>
    <row r="72" spans="2:27">
      <c r="B72" s="904">
        <v>68</v>
      </c>
      <c r="C72" s="1049" t="s">
        <v>2992</v>
      </c>
      <c r="D72" s="1050">
        <f>SUM(D68:D71)</f>
        <v>4450624.5551601425</v>
      </c>
      <c r="E72" s="1050"/>
      <c r="F72" s="1050">
        <f t="shared" ref="F72:Z72" si="1">SUM(F68:F71)</f>
        <v>4088087.1886120997</v>
      </c>
      <c r="G72" s="1050"/>
      <c r="H72" s="1050">
        <f t="shared" si="1"/>
        <v>5846715.3024911033</v>
      </c>
      <c r="I72" s="1050"/>
      <c r="J72" s="1050">
        <f t="shared" si="1"/>
        <v>3088142.3487544484</v>
      </c>
      <c r="K72" s="1050"/>
      <c r="L72" s="1050">
        <f t="shared" si="1"/>
        <v>2551096.0854092529</v>
      </c>
      <c r="M72" s="1050"/>
      <c r="N72" s="1050">
        <f t="shared" si="1"/>
        <v>339161.10278134048</v>
      </c>
      <c r="O72" s="1050"/>
      <c r="P72" s="1050">
        <f t="shared" si="1"/>
        <v>6776820.2846975094</v>
      </c>
      <c r="Q72" s="1050"/>
      <c r="R72" s="1050">
        <f t="shared" si="1"/>
        <v>14122838.078291817</v>
      </c>
      <c r="S72" s="1050"/>
      <c r="T72" s="1050">
        <f t="shared" si="1"/>
        <v>15605297.153024912</v>
      </c>
      <c r="U72" s="1050"/>
      <c r="V72" s="1050">
        <f t="shared" si="1"/>
        <v>14512834.519572955</v>
      </c>
      <c r="W72" s="1050"/>
      <c r="X72" s="1050">
        <f t="shared" si="1"/>
        <v>667138.79003558727</v>
      </c>
      <c r="Y72" s="1050"/>
      <c r="Z72" s="1051">
        <f t="shared" si="1"/>
        <v>5956005.3380782921</v>
      </c>
      <c r="AA72" s="826"/>
    </row>
    <row r="73" spans="2:27">
      <c r="B73" s="904">
        <v>69</v>
      </c>
      <c r="C73" s="1049">
        <v>6635</v>
      </c>
      <c r="D73" s="1052"/>
      <c r="E73" s="1052"/>
      <c r="F73" s="1052"/>
      <c r="G73" s="1052"/>
      <c r="H73" s="1052"/>
      <c r="I73" s="1052"/>
      <c r="J73" s="1052"/>
      <c r="K73" s="1052"/>
      <c r="L73" s="1052"/>
      <c r="M73" s="1052"/>
      <c r="N73" s="1052"/>
      <c r="O73" s="1052"/>
      <c r="P73" s="1052"/>
      <c r="Q73" s="1052"/>
      <c r="R73" s="1052"/>
      <c r="S73" s="1052"/>
      <c r="T73" s="1052"/>
      <c r="U73" s="1052"/>
      <c r="V73" s="1052"/>
      <c r="W73" s="1052"/>
      <c r="X73" s="1052"/>
      <c r="Y73" s="1052"/>
      <c r="Z73" s="1053"/>
      <c r="AA73" s="826"/>
    </row>
    <row r="74" spans="2:27">
      <c r="B74" s="904">
        <v>70</v>
      </c>
      <c r="C74" s="1046" t="s">
        <v>2716</v>
      </c>
      <c r="D74" s="1047">
        <f>'1501 Summary'!F360</f>
        <v>57483.023822922529</v>
      </c>
      <c r="E74" s="1047"/>
      <c r="F74" s="1047">
        <f>'1501 Summary'!H360</f>
        <v>100000</v>
      </c>
      <c r="G74" s="1047"/>
      <c r="H74" s="1047">
        <f>'1501 Summary'!J360</f>
        <v>100000</v>
      </c>
      <c r="I74" s="1047"/>
      <c r="J74" s="1047">
        <f>'1501 Summary'!L360</f>
        <v>0</v>
      </c>
      <c r="K74" s="1047"/>
      <c r="L74" s="1047">
        <f>'1501 Summary'!N360</f>
        <v>24269.930594635149</v>
      </c>
      <c r="M74" s="1047"/>
      <c r="N74" s="1047">
        <f>'1501 Summary'!P360</f>
        <v>100000</v>
      </c>
      <c r="O74" s="1047"/>
      <c r="P74" s="1047">
        <f>'1501 Summary'!R360</f>
        <v>100000</v>
      </c>
      <c r="Q74" s="1047"/>
      <c r="R74" s="1047">
        <f>'1501 Summary'!T360</f>
        <v>100000</v>
      </c>
      <c r="S74" s="1047"/>
      <c r="T74" s="1047">
        <f>'1501 Summary'!V360</f>
        <v>100000</v>
      </c>
      <c r="U74" s="1047"/>
      <c r="V74" s="1047">
        <f>'1501 Summary'!X360</f>
        <v>100000</v>
      </c>
      <c r="W74" s="1047"/>
      <c r="X74" s="1047">
        <f>'1501 Summary'!Z360</f>
        <v>100000</v>
      </c>
      <c r="Y74" s="1047"/>
      <c r="Z74" s="1048">
        <f>'1501 Summary'!AB360</f>
        <v>100000</v>
      </c>
      <c r="AA74" s="826"/>
    </row>
    <row r="75" spans="2:27">
      <c r="B75" s="904">
        <v>71</v>
      </c>
      <c r="C75" s="1046" t="s">
        <v>2494</v>
      </c>
      <c r="D75" s="1047">
        <f>'1501 Summary'!F361</f>
        <v>0</v>
      </c>
      <c r="E75" s="1047"/>
      <c r="F75" s="1047">
        <f>'1501 Summary'!H361</f>
        <v>6085.8611825192811</v>
      </c>
      <c r="G75" s="1047"/>
      <c r="H75" s="1047">
        <f>'1501 Summary'!J361</f>
        <v>128696.1439588689</v>
      </c>
      <c r="I75" s="1047"/>
      <c r="J75" s="1047">
        <f>'1501 Summary'!L361</f>
        <v>0</v>
      </c>
      <c r="K75" s="1047"/>
      <c r="L75" s="1047">
        <f>'1501 Summary'!N361</f>
        <v>0</v>
      </c>
      <c r="M75" s="1047"/>
      <c r="N75" s="1047">
        <f>'1501 Summary'!P361</f>
        <v>134043.18766066839</v>
      </c>
      <c r="O75" s="1047"/>
      <c r="P75" s="1047">
        <f>'1501 Summary'!R361</f>
        <v>200000.00000000003</v>
      </c>
      <c r="Q75" s="1047"/>
      <c r="R75" s="1047">
        <f>'1501 Summary'!T361</f>
        <v>200000.00000000003</v>
      </c>
      <c r="S75" s="1047"/>
      <c r="T75" s="1047">
        <f>'1501 Summary'!V361</f>
        <v>200000.00000000003</v>
      </c>
      <c r="U75" s="1047"/>
      <c r="V75" s="1047">
        <f>'1501 Summary'!X361</f>
        <v>200000.00000000003</v>
      </c>
      <c r="W75" s="1047"/>
      <c r="X75" s="1047">
        <f>'1501 Summary'!Z361</f>
        <v>200000.00000000003</v>
      </c>
      <c r="Y75" s="1047"/>
      <c r="Z75" s="1048">
        <f>'1501 Summary'!AB361</f>
        <v>111268.89460154242</v>
      </c>
      <c r="AA75" s="826"/>
    </row>
    <row r="76" spans="2:27">
      <c r="B76" s="904">
        <v>72</v>
      </c>
      <c r="C76" s="1046" t="s">
        <v>2494</v>
      </c>
      <c r="D76" s="1047">
        <f>'1501 Summary'!F362</f>
        <v>0</v>
      </c>
      <c r="E76" s="1047"/>
      <c r="F76" s="1047">
        <f>'1501 Summary'!H362</f>
        <v>0</v>
      </c>
      <c r="G76" s="1047"/>
      <c r="H76" s="1047">
        <f>'1501 Summary'!J362</f>
        <v>0</v>
      </c>
      <c r="I76" s="1047"/>
      <c r="J76" s="1047">
        <f>'1501 Summary'!L362</f>
        <v>0</v>
      </c>
      <c r="K76" s="1047"/>
      <c r="L76" s="1047">
        <f>'1501 Summary'!N362</f>
        <v>0</v>
      </c>
      <c r="M76" s="1047"/>
      <c r="N76" s="1047">
        <f>'1501 Summary'!P362</f>
        <v>0</v>
      </c>
      <c r="O76" s="1047"/>
      <c r="P76" s="1047">
        <f>'1501 Summary'!R362</f>
        <v>200000</v>
      </c>
      <c r="Q76" s="1047"/>
      <c r="R76" s="1047">
        <f>'1501 Summary'!T362</f>
        <v>200000</v>
      </c>
      <c r="S76" s="1047"/>
      <c r="T76" s="1047">
        <f>'1501 Summary'!V362</f>
        <v>200000</v>
      </c>
      <c r="U76" s="1047"/>
      <c r="V76" s="1047">
        <f>'1501 Summary'!X362</f>
        <v>200000</v>
      </c>
      <c r="W76" s="1047"/>
      <c r="X76" s="1047">
        <f>'1501 Summary'!Z362</f>
        <v>200000</v>
      </c>
      <c r="Y76" s="1047"/>
      <c r="Z76" s="1048">
        <f>'1501 Summary'!AB362</f>
        <v>0</v>
      </c>
      <c r="AA76" s="826"/>
    </row>
    <row r="77" spans="2:27">
      <c r="B77" s="904">
        <v>73</v>
      </c>
      <c r="C77" s="1046" t="s">
        <v>2717</v>
      </c>
      <c r="D77" s="1047">
        <f>'1501 Summary'!F363</f>
        <v>0</v>
      </c>
      <c r="E77" s="1047"/>
      <c r="F77" s="1047">
        <f>'1501 Summary'!H363</f>
        <v>0</v>
      </c>
      <c r="G77" s="1047"/>
      <c r="H77" s="1047">
        <f>'1501 Summary'!J363</f>
        <v>0</v>
      </c>
      <c r="I77" s="1047"/>
      <c r="J77" s="1047">
        <f>'1501 Summary'!L363</f>
        <v>0</v>
      </c>
      <c r="K77" s="1047"/>
      <c r="L77" s="1047">
        <f>'1501 Summary'!N363</f>
        <v>0</v>
      </c>
      <c r="M77" s="1047"/>
      <c r="N77" s="1047">
        <f>'1501 Summary'!P363</f>
        <v>0</v>
      </c>
      <c r="O77" s="1047"/>
      <c r="P77" s="1047">
        <f>'1501 Summary'!R363</f>
        <v>612893.23843416374</v>
      </c>
      <c r="Q77" s="1047"/>
      <c r="R77" s="1047">
        <f>'1501 Summary'!T363</f>
        <v>4550507.1174377222</v>
      </c>
      <c r="S77" s="1047"/>
      <c r="T77" s="1047">
        <f>'1501 Summary'!V363</f>
        <v>9000953.736654805</v>
      </c>
      <c r="U77" s="1047"/>
      <c r="V77" s="1047">
        <f>'1501 Summary'!X363</f>
        <v>4352567.6156583633</v>
      </c>
      <c r="W77" s="1047"/>
      <c r="X77" s="1047">
        <f>'1501 Summary'!Z363</f>
        <v>397403.91459074733</v>
      </c>
      <c r="Y77" s="1047"/>
      <c r="Z77" s="1048">
        <f>'1501 Summary'!AB363</f>
        <v>0</v>
      </c>
      <c r="AA77" s="826"/>
    </row>
    <row r="78" spans="2:27">
      <c r="B78" s="904">
        <v>74</v>
      </c>
      <c r="C78" s="1046" t="s">
        <v>2986</v>
      </c>
      <c r="D78" s="1047">
        <f>D74/'1501 Summary'!F358</f>
        <v>57483.023822922529</v>
      </c>
      <c r="E78" s="1047"/>
      <c r="F78" s="1047">
        <f>F74/'1501 Summary'!H358</f>
        <v>100000</v>
      </c>
      <c r="G78" s="1047"/>
      <c r="H78" s="1047">
        <f>H74/'1501 Summary'!J358</f>
        <v>100000</v>
      </c>
      <c r="I78" s="1047"/>
      <c r="J78" s="1047">
        <f>J74/'1501 Summary'!L358</f>
        <v>0</v>
      </c>
      <c r="K78" s="1047"/>
      <c r="L78" s="1047">
        <f>L74/'1501 Summary'!N358</f>
        <v>24269.930594635149</v>
      </c>
      <c r="M78" s="1047"/>
      <c r="N78" s="1047">
        <f>N74/'1501 Summary'!P358</f>
        <v>100000</v>
      </c>
      <c r="O78" s="1047"/>
      <c r="P78" s="1047">
        <f>P74/'1501 Summary'!R358</f>
        <v>100000</v>
      </c>
      <c r="Q78" s="1047"/>
      <c r="R78" s="1047">
        <f>R74/'1501 Summary'!T358</f>
        <v>100000</v>
      </c>
      <c r="S78" s="1047"/>
      <c r="T78" s="1047">
        <f>T74/'1501 Summary'!V358</f>
        <v>100000</v>
      </c>
      <c r="U78" s="1047"/>
      <c r="V78" s="1047">
        <f>V74/'1501 Summary'!X358</f>
        <v>100000</v>
      </c>
      <c r="W78" s="1047"/>
      <c r="X78" s="1047">
        <f>X74/'1501 Summary'!Z358</f>
        <v>100000</v>
      </c>
      <c r="Y78" s="1047"/>
      <c r="Z78" s="1048">
        <f>Z74/'1501 Summary'!AB358</f>
        <v>100000</v>
      </c>
      <c r="AA78" s="826"/>
    </row>
    <row r="79" spans="2:27">
      <c r="B79" s="904">
        <v>75</v>
      </c>
      <c r="C79" s="1046" t="s">
        <v>2987</v>
      </c>
      <c r="D79" s="1047">
        <f>D75/'1501 Summary'!F358</f>
        <v>0</v>
      </c>
      <c r="E79" s="1047"/>
      <c r="F79" s="1047">
        <f>F75/'1501 Summary'!H358</f>
        <v>6085.8611825192811</v>
      </c>
      <c r="G79" s="1047"/>
      <c r="H79" s="1047">
        <f>H75/'1501 Summary'!J358</f>
        <v>128696.1439588689</v>
      </c>
      <c r="I79" s="1047"/>
      <c r="J79" s="1047">
        <f>J75/'1501 Summary'!L358</f>
        <v>0</v>
      </c>
      <c r="K79" s="1047"/>
      <c r="L79" s="1047">
        <f>L75/'1501 Summary'!N358</f>
        <v>0</v>
      </c>
      <c r="M79" s="1047"/>
      <c r="N79" s="1047">
        <f>N75/'1501 Summary'!P358</f>
        <v>134043.18766066839</v>
      </c>
      <c r="O79" s="1047"/>
      <c r="P79" s="1047">
        <f>P75/'1501 Summary'!R358</f>
        <v>200000.00000000003</v>
      </c>
      <c r="Q79" s="1047"/>
      <c r="R79" s="1047">
        <f>R75/'1501 Summary'!T358</f>
        <v>200000.00000000003</v>
      </c>
      <c r="S79" s="1047"/>
      <c r="T79" s="1047">
        <f>T75/'1501 Summary'!V358</f>
        <v>200000.00000000003</v>
      </c>
      <c r="U79" s="1047"/>
      <c r="V79" s="1047">
        <f>V75/'1501 Summary'!X358</f>
        <v>200000.00000000003</v>
      </c>
      <c r="W79" s="1047"/>
      <c r="X79" s="1047">
        <f>X75/'1501 Summary'!Z358</f>
        <v>200000.00000000003</v>
      </c>
      <c r="Y79" s="1047"/>
      <c r="Z79" s="1048">
        <f>Z75/'1501 Summary'!AB358</f>
        <v>111268.89460154242</v>
      </c>
      <c r="AA79" s="826"/>
    </row>
    <row r="80" spans="2:27">
      <c r="B80" s="904">
        <v>76</v>
      </c>
      <c r="C80" s="1046" t="s">
        <v>2987</v>
      </c>
      <c r="D80" s="1047">
        <f>D76/'1501 Summary'!F358</f>
        <v>0</v>
      </c>
      <c r="E80" s="1047"/>
      <c r="F80" s="1047">
        <f>F76/'1501 Summary'!H358</f>
        <v>0</v>
      </c>
      <c r="G80" s="1047"/>
      <c r="H80" s="1047">
        <f>H76/'1501 Summary'!J358</f>
        <v>0</v>
      </c>
      <c r="I80" s="1047"/>
      <c r="J80" s="1047">
        <f>J76/'1501 Summary'!L358</f>
        <v>0</v>
      </c>
      <c r="K80" s="1047"/>
      <c r="L80" s="1047">
        <f>L76/'1501 Summary'!N358</f>
        <v>0</v>
      </c>
      <c r="M80" s="1047"/>
      <c r="N80" s="1047">
        <f>N76/'1501 Summary'!P358</f>
        <v>0</v>
      </c>
      <c r="O80" s="1047"/>
      <c r="P80" s="1047">
        <f>P76/'1501 Summary'!R358</f>
        <v>200000</v>
      </c>
      <c r="Q80" s="1047"/>
      <c r="R80" s="1047">
        <f>R76/'1501 Summary'!T358</f>
        <v>200000</v>
      </c>
      <c r="S80" s="1047"/>
      <c r="T80" s="1047">
        <f>T76/'1501 Summary'!V358</f>
        <v>200000</v>
      </c>
      <c r="U80" s="1047"/>
      <c r="V80" s="1047">
        <f>V76/'1501 Summary'!X358</f>
        <v>200000</v>
      </c>
      <c r="W80" s="1047"/>
      <c r="X80" s="1047">
        <f>X76/'1501 Summary'!Z358</f>
        <v>200000</v>
      </c>
      <c r="Y80" s="1047"/>
      <c r="Z80" s="1048">
        <f>Z76/'1501 Summary'!AB358</f>
        <v>0</v>
      </c>
      <c r="AA80" s="826"/>
    </row>
    <row r="81" spans="2:28">
      <c r="B81" s="904">
        <v>77</v>
      </c>
      <c r="C81" s="1046" t="s">
        <v>2988</v>
      </c>
      <c r="D81" s="1047">
        <f>D77/'1501 Summary'!F358</f>
        <v>0</v>
      </c>
      <c r="E81" s="1047"/>
      <c r="F81" s="1047">
        <f>F77/'1501 Summary'!H358</f>
        <v>0</v>
      </c>
      <c r="G81" s="1047"/>
      <c r="H81" s="1047">
        <f>H77/'1501 Summary'!J358</f>
        <v>0</v>
      </c>
      <c r="I81" s="1047"/>
      <c r="J81" s="1047">
        <f>J77/'1501 Summary'!L358</f>
        <v>0</v>
      </c>
      <c r="K81" s="1047"/>
      <c r="L81" s="1047">
        <f>L77/'1501 Summary'!N358</f>
        <v>0</v>
      </c>
      <c r="M81" s="1047"/>
      <c r="N81" s="1047">
        <f>N77/'1501 Summary'!P358</f>
        <v>0</v>
      </c>
      <c r="O81" s="1047"/>
      <c r="P81" s="1047">
        <f>P77/'1501 Summary'!R358</f>
        <v>612893.23843416374</v>
      </c>
      <c r="Q81" s="1047"/>
      <c r="R81" s="1047">
        <f>R77/'1501 Summary'!T358</f>
        <v>4550507.1174377222</v>
      </c>
      <c r="S81" s="1047"/>
      <c r="T81" s="1047">
        <f>T77/'1501 Summary'!V358</f>
        <v>9000953.736654805</v>
      </c>
      <c r="U81" s="1047"/>
      <c r="V81" s="1047">
        <f>V77/'1501 Summary'!X358</f>
        <v>4352567.6156583633</v>
      </c>
      <c r="W81" s="1047"/>
      <c r="X81" s="1047">
        <f>X77/'1501 Summary'!Z358</f>
        <v>397403.91459074733</v>
      </c>
      <c r="Y81" s="1047"/>
      <c r="Z81" s="1048">
        <f>Z77/'1501 Summary'!AB358</f>
        <v>0</v>
      </c>
      <c r="AA81" s="826"/>
    </row>
    <row r="82" spans="2:28">
      <c r="B82" s="904">
        <v>78</v>
      </c>
      <c r="C82" s="1054" t="s">
        <v>2993</v>
      </c>
      <c r="D82" s="1055">
        <v>-9355</v>
      </c>
      <c r="E82" s="1055"/>
      <c r="F82" s="1055">
        <v>-91658</v>
      </c>
      <c r="G82" s="1055"/>
      <c r="H82" s="1055">
        <v>-92891</v>
      </c>
      <c r="I82" s="1055"/>
      <c r="J82" s="1055">
        <v>-93856</v>
      </c>
      <c r="K82" s="1055"/>
      <c r="L82" s="1055">
        <v>-93736</v>
      </c>
      <c r="M82" s="1055"/>
      <c r="N82" s="1055">
        <v>-87451</v>
      </c>
      <c r="O82" s="1055"/>
      <c r="P82" s="1055">
        <v>-91178</v>
      </c>
      <c r="Q82" s="1055"/>
      <c r="R82" s="1055">
        <v>-87456</v>
      </c>
      <c r="S82" s="1055"/>
      <c r="T82" s="1055">
        <v>-88987</v>
      </c>
      <c r="U82" s="1055"/>
      <c r="V82" s="1055">
        <v>-96465</v>
      </c>
      <c r="W82" s="1055"/>
      <c r="X82" s="1055">
        <v>-97394</v>
      </c>
      <c r="Y82" s="1055"/>
      <c r="Z82" s="1056">
        <v>-99941</v>
      </c>
      <c r="AA82" s="826"/>
    </row>
    <row r="83" spans="2:28">
      <c r="B83" s="904">
        <v>79</v>
      </c>
      <c r="C83" s="1049" t="s">
        <v>2994</v>
      </c>
      <c r="D83" s="1050">
        <f>SUM(D74:D77)/'1501 Summary'!F358</f>
        <v>57483.023822922529</v>
      </c>
      <c r="E83" s="1050"/>
      <c r="F83" s="1050">
        <f>SUM(F74:F77)/'1501 Summary'!H358</f>
        <v>106085.86118251928</v>
      </c>
      <c r="G83" s="1050"/>
      <c r="H83" s="1050">
        <f>SUM(H74:H77)/'1501 Summary'!J358</f>
        <v>228696.1439588689</v>
      </c>
      <c r="I83" s="1050"/>
      <c r="J83" s="1050">
        <f>SUM(J74:J77)/'1501 Summary'!L358</f>
        <v>0</v>
      </c>
      <c r="K83" s="1050"/>
      <c r="L83" s="1050">
        <f>SUM(L74:L77)/'1501 Summary'!N358</f>
        <v>24269.930594635149</v>
      </c>
      <c r="M83" s="1050"/>
      <c r="N83" s="1050">
        <f>SUM(N74:N77)/'1501 Summary'!P358</f>
        <v>234043.18766066839</v>
      </c>
      <c r="O83" s="1050"/>
      <c r="P83" s="1050">
        <f>SUM(P74:P77)/'1501 Summary'!R358</f>
        <v>1112893.2384341639</v>
      </c>
      <c r="Q83" s="1050"/>
      <c r="R83" s="1050">
        <f>SUM(R74:R77)/'1501 Summary'!T358</f>
        <v>5050507.1174377222</v>
      </c>
      <c r="S83" s="1050"/>
      <c r="T83" s="1050">
        <f>SUM(T74:T77)/'1501 Summary'!V358</f>
        <v>9500953.736654805</v>
      </c>
      <c r="U83" s="1050"/>
      <c r="V83" s="1050">
        <f>SUM(V74:V77)/'1501 Summary'!X358</f>
        <v>4852567.6156583633</v>
      </c>
      <c r="W83" s="1050"/>
      <c r="X83" s="1050">
        <f>SUM(X74:X77)/'1501 Summary'!Z358</f>
        <v>897403.91459074733</v>
      </c>
      <c r="Y83" s="1050"/>
      <c r="Z83" s="1051">
        <f>SUM(Z74:Z77)/'1501 Summary'!AB358</f>
        <v>211268.89460154242</v>
      </c>
      <c r="AA83" s="826"/>
    </row>
    <row r="84" spans="2:28">
      <c r="B84" s="904">
        <v>80</v>
      </c>
      <c r="C84" s="1049">
        <v>906</v>
      </c>
      <c r="D84" s="1050"/>
      <c r="E84" s="1050"/>
      <c r="F84" s="1050"/>
      <c r="G84" s="1050"/>
      <c r="H84" s="1050"/>
      <c r="I84" s="1050"/>
      <c r="J84" s="1050"/>
      <c r="K84" s="1050"/>
      <c r="L84" s="1050"/>
      <c r="M84" s="1050"/>
      <c r="N84" s="1050"/>
      <c r="O84" s="1050"/>
      <c r="P84" s="1050"/>
      <c r="Q84" s="1050"/>
      <c r="R84" s="1050"/>
      <c r="S84" s="1050"/>
      <c r="T84" s="1050"/>
      <c r="U84" s="1050"/>
      <c r="V84" s="1050"/>
      <c r="W84" s="1050"/>
      <c r="X84" s="1050"/>
      <c r="Y84" s="1050"/>
      <c r="Z84" s="1051"/>
    </row>
    <row r="85" spans="2:28">
      <c r="B85" s="904">
        <v>81</v>
      </c>
      <c r="C85" s="1046" t="s">
        <v>2716</v>
      </c>
      <c r="D85" s="1057">
        <f>'1501 Summary'!F252</f>
        <v>2617900</v>
      </c>
      <c r="E85" s="1057"/>
      <c r="F85" s="1057">
        <f>'1501 Summary'!H252</f>
        <v>3202150</v>
      </c>
      <c r="G85" s="1057"/>
      <c r="H85" s="1057">
        <f>'1501 Summary'!J252</f>
        <v>2316550</v>
      </c>
      <c r="I85" s="1057"/>
      <c r="J85" s="1057">
        <f>'1501 Summary'!L252</f>
        <v>2298400</v>
      </c>
      <c r="K85" s="1057"/>
      <c r="L85" s="1057">
        <f>'1501 Summary'!N252</f>
        <v>2069824.9999999998</v>
      </c>
      <c r="M85" s="1057"/>
      <c r="N85" s="1057">
        <f>'1501 Summary'!P252</f>
        <v>1973650</v>
      </c>
      <c r="O85" s="1057"/>
      <c r="P85" s="1057">
        <f>'1501 Summary'!R252</f>
        <v>2265725</v>
      </c>
      <c r="Q85" s="1057"/>
      <c r="R85" s="1057">
        <f>'1501 Summary'!T252</f>
        <v>2468675</v>
      </c>
      <c r="S85" s="1057"/>
      <c r="T85" s="1057">
        <f>'1501 Summary'!V252</f>
        <v>2310625</v>
      </c>
      <c r="U85" s="1057"/>
      <c r="V85" s="1057">
        <f>'1501 Summary'!X252</f>
        <v>2238150</v>
      </c>
      <c r="W85" s="1057"/>
      <c r="X85" s="1057">
        <f>'1501 Summary'!Z252</f>
        <v>2832250</v>
      </c>
      <c r="Y85" s="1057"/>
      <c r="Z85" s="1058">
        <f>'1501 Summary'!AB252</f>
        <v>3143974.9999999995</v>
      </c>
    </row>
    <row r="86" spans="2:28">
      <c r="B86" s="904">
        <v>82</v>
      </c>
      <c r="C86" s="1046" t="s">
        <v>2995</v>
      </c>
      <c r="D86" s="1057">
        <f>'1501 Summary'!F253</f>
        <v>2545058.179517509</v>
      </c>
      <c r="E86" s="1057"/>
      <c r="F86" s="1057">
        <f>'1501 Summary'!H253</f>
        <v>3006870.1345143453</v>
      </c>
      <c r="G86" s="1057"/>
      <c r="H86" s="1057">
        <f>'1501 Summary'!J253</f>
        <v>2292202.1566308145</v>
      </c>
      <c r="I86" s="1057"/>
      <c r="J86" s="1057">
        <f>'1501 Summary'!L253</f>
        <v>2283506.8632575027</v>
      </c>
      <c r="K86" s="1057"/>
      <c r="L86" s="1057">
        <f>'1501 Summary'!N253</f>
        <v>2069825.7365279344</v>
      </c>
      <c r="M86" s="1057"/>
      <c r="N86" s="1057">
        <f>'1501 Summary'!P253</f>
        <v>1973659.6704536076</v>
      </c>
      <c r="O86" s="1057"/>
      <c r="P86" s="1057">
        <f>'1501 Summary'!R253</f>
        <v>2265713.2836354636</v>
      </c>
      <c r="Q86" s="1057"/>
      <c r="R86" s="1057">
        <f>'1501 Summary'!T253</f>
        <v>2468668.1245018495</v>
      </c>
      <c r="S86" s="1057"/>
      <c r="T86" s="1057">
        <f>'1501 Summary'!V253</f>
        <v>2310614.9475792442</v>
      </c>
      <c r="U86" s="1057"/>
      <c r="V86" s="1057">
        <f>'1501 Summary'!X253</f>
        <v>2238144.1894368259</v>
      </c>
      <c r="W86" s="1057"/>
      <c r="X86" s="1057">
        <f>'1501 Summary'!Z253</f>
        <v>2855886.1798587129</v>
      </c>
      <c r="Y86" s="1057"/>
      <c r="Z86" s="1058">
        <f>'1501 Summary'!AB253</f>
        <v>3224084.2546987939</v>
      </c>
    </row>
    <row r="87" spans="2:28">
      <c r="B87" s="904">
        <v>83</v>
      </c>
      <c r="C87" s="1046" t="s">
        <v>2986</v>
      </c>
      <c r="D87" s="1057">
        <f>D85/'1501 Summary'!F249</f>
        <v>2617900</v>
      </c>
      <c r="E87" s="1057"/>
      <c r="F87" s="1057">
        <f>F85/'1501 Summary'!H249</f>
        <v>3202150</v>
      </c>
      <c r="G87" s="1057"/>
      <c r="H87" s="1057">
        <f>H85/'1501 Summary'!J249</f>
        <v>2316550</v>
      </c>
      <c r="I87" s="1057"/>
      <c r="J87" s="1057">
        <f>J85/'1501 Summary'!L249</f>
        <v>2298400</v>
      </c>
      <c r="K87" s="1057"/>
      <c r="L87" s="1057">
        <f>L85/'1501 Summary'!N249</f>
        <v>2069824.9999999998</v>
      </c>
      <c r="M87" s="1057"/>
      <c r="N87" s="1057">
        <f>N85/'1501 Summary'!P249</f>
        <v>1973650</v>
      </c>
      <c r="O87" s="1057"/>
      <c r="P87" s="1057">
        <f>P85/'1501 Summary'!R249</f>
        <v>2265725</v>
      </c>
      <c r="Q87" s="1057"/>
      <c r="R87" s="1057">
        <f>R85/'1501 Summary'!T249</f>
        <v>2468675</v>
      </c>
      <c r="S87" s="1057"/>
      <c r="T87" s="1057">
        <f>T85/'1501 Summary'!V249</f>
        <v>2310625</v>
      </c>
      <c r="U87" s="1057"/>
      <c r="V87" s="1057">
        <f>V85/'1501 Summary'!X249</f>
        <v>2238150</v>
      </c>
      <c r="W87" s="1057"/>
      <c r="X87" s="1057">
        <f>X85/'1501 Summary'!Z249</f>
        <v>2832250</v>
      </c>
      <c r="Y87" s="1057"/>
      <c r="Z87" s="1058">
        <f>Z85/'1501 Summary'!AB249</f>
        <v>3143974.9999999995</v>
      </c>
    </row>
    <row r="88" spans="2:28">
      <c r="B88" s="904">
        <v>84</v>
      </c>
      <c r="C88" s="1046" t="s">
        <v>2996</v>
      </c>
      <c r="D88" s="1057">
        <f>D86/'1501 Summary'!F249</f>
        <v>2545058.179517509</v>
      </c>
      <c r="E88" s="1057"/>
      <c r="F88" s="1057">
        <f>F86/'1501 Summary'!H249</f>
        <v>3006870.1345143453</v>
      </c>
      <c r="G88" s="1057"/>
      <c r="H88" s="1057">
        <f>H86/'1501 Summary'!J249</f>
        <v>2292202.1566308145</v>
      </c>
      <c r="I88" s="1057"/>
      <c r="J88" s="1057">
        <f>J86/'1501 Summary'!L249</f>
        <v>2283506.8632575027</v>
      </c>
      <c r="K88" s="1057"/>
      <c r="L88" s="1057">
        <f>L86/'1501 Summary'!N249</f>
        <v>2069825.7365279344</v>
      </c>
      <c r="M88" s="1057"/>
      <c r="N88" s="1057">
        <f>N86/'1501 Summary'!P249</f>
        <v>1973659.6704536076</v>
      </c>
      <c r="O88" s="1057"/>
      <c r="P88" s="1057">
        <f>P86/'1501 Summary'!R249</f>
        <v>2265713.2836354636</v>
      </c>
      <c r="Q88" s="1057"/>
      <c r="R88" s="1057">
        <f>R86/'1501 Summary'!T249</f>
        <v>2468668.1245018495</v>
      </c>
      <c r="S88" s="1057"/>
      <c r="T88" s="1057">
        <f>T86/'1501 Summary'!V249</f>
        <v>2310614.9475792442</v>
      </c>
      <c r="U88" s="1057"/>
      <c r="V88" s="1057">
        <f>V86/'1501 Summary'!X249</f>
        <v>2238144.1894368259</v>
      </c>
      <c r="W88" s="1057"/>
      <c r="X88" s="1057">
        <f>X86/'1501 Summary'!Z249</f>
        <v>2855886.1798587129</v>
      </c>
      <c r="Y88" s="1057"/>
      <c r="Z88" s="1058">
        <f>Z86/'1501 Summary'!AB249</f>
        <v>3224084.2546987939</v>
      </c>
    </row>
    <row r="89" spans="2:28">
      <c r="B89" s="904">
        <v>85</v>
      </c>
      <c r="C89" s="1049" t="s">
        <v>2997</v>
      </c>
      <c r="D89" s="1050">
        <f>SUM(D85:D86)/'1501 Summary'!F249</f>
        <v>5162958.1795175094</v>
      </c>
      <c r="E89" s="1050"/>
      <c r="F89" s="1050">
        <f>SUM(F85:F86)/'1501 Summary'!H249</f>
        <v>6209020.1345143449</v>
      </c>
      <c r="G89" s="1050"/>
      <c r="H89" s="1050">
        <f>SUM(H85:H86)/'1501 Summary'!J249</f>
        <v>4608752.1566308141</v>
      </c>
      <c r="I89" s="1050"/>
      <c r="J89" s="1050">
        <f>SUM(J85:J86)/'1501 Summary'!L249</f>
        <v>4581906.8632575031</v>
      </c>
      <c r="K89" s="1050"/>
      <c r="L89" s="1050">
        <f>SUM(L85:L86)/'1501 Summary'!N249</f>
        <v>4139650.7365279342</v>
      </c>
      <c r="M89" s="1050"/>
      <c r="N89" s="1050">
        <f>SUM(N85:N86)/'1501 Summary'!P249</f>
        <v>3947309.6704536076</v>
      </c>
      <c r="O89" s="1050"/>
      <c r="P89" s="1050">
        <f>SUM(P85:P86)/'1501 Summary'!R249</f>
        <v>4531438.2836354636</v>
      </c>
      <c r="Q89" s="1050"/>
      <c r="R89" s="1050">
        <f>SUM(R85:R86)/'1501 Summary'!T249</f>
        <v>4937343.1245018495</v>
      </c>
      <c r="S89" s="1050"/>
      <c r="T89" s="1050">
        <f>SUM(T85:T86)/'1501 Summary'!V249</f>
        <v>4621239.9475792442</v>
      </c>
      <c r="U89" s="1050"/>
      <c r="V89" s="1050">
        <f>SUM(V85:V86)/'1501 Summary'!X249</f>
        <v>4476294.1894368259</v>
      </c>
      <c r="W89" s="1050"/>
      <c r="X89" s="1050">
        <f>SUM(X85:X86)/'1501 Summary'!Z249</f>
        <v>5688136.1798587125</v>
      </c>
      <c r="Y89" s="1050"/>
      <c r="Z89" s="1051">
        <f>SUM(Z85:Z86)/'1501 Summary'!AB249</f>
        <v>6368059.2546987934</v>
      </c>
      <c r="AA89" s="1889" t="s">
        <v>2985</v>
      </c>
      <c r="AB89" s="1890"/>
    </row>
    <row r="90" spans="2:28">
      <c r="B90" s="904">
        <v>86</v>
      </c>
      <c r="C90" s="1049" t="s">
        <v>2998</v>
      </c>
      <c r="D90" s="1050">
        <f>SUM(D44,D54,D64,D74,D85)/SUM('1501 Summary'!F220,'1501 Summary'!F319,'1501 Summary'!F339,'1501 Summary'!F358,'1501 Summary'!F249)</f>
        <v>56217.269040807441</v>
      </c>
      <c r="E90" s="1050"/>
      <c r="F90" s="1050">
        <f>SUM(F44,F54,F64,F74,F85)/SUM('1501 Summary'!H220,'1501 Summary'!H319,'1501 Summary'!H339,'1501 Summary'!H358,'1501 Summary'!H249)</f>
        <v>62593.857964037277</v>
      </c>
      <c r="G90" s="1050"/>
      <c r="H90" s="1050">
        <f>SUM(H44,H54,H64,H74,H85)/SUM('1501 Summary'!J220,'1501 Summary'!J319,'1501 Summary'!J339,'1501 Summary'!J358,'1501 Summary'!J249)</f>
        <v>58811.504753724483</v>
      </c>
      <c r="I90" s="1050"/>
      <c r="J90" s="1050">
        <f>SUM(J44,J54,J64,J74,J85)/SUM('1501 Summary'!L220,'1501 Summary'!L319,'1501 Summary'!L339,'1501 Summary'!L358,'1501 Summary'!L249)</f>
        <v>56586.48461333412</v>
      </c>
      <c r="K90" s="1050"/>
      <c r="L90" s="1050">
        <f>SUM(L44,L54,L64,L74,L85)/SUM('1501 Summary'!N220,'1501 Summary'!N319,'1501 Summary'!N339,'1501 Summary'!N358,'1501 Summary'!N249)</f>
        <v>51029.27459962952</v>
      </c>
      <c r="M90" s="1050"/>
      <c r="N90" s="1050">
        <f>SUM(N44,N54,N64,N74,N85)/SUM('1501 Summary'!P220,'1501 Summary'!P319,'1501 Summary'!P339,'1501 Summary'!P358,'1501 Summary'!P249)</f>
        <v>48737.163826828881</v>
      </c>
      <c r="O90" s="1050"/>
      <c r="P90" s="1050">
        <f>SUM(P44,P54,P64,P74,P85)/SUM('1501 Summary'!R220,'1501 Summary'!R319,'1501 Summary'!R339,'1501 Summary'!R358,'1501 Summary'!R249)</f>
        <v>50801.219356331087</v>
      </c>
      <c r="Q90" s="1050"/>
      <c r="R90" s="1050">
        <f>SUM(R44,R54,R64,R74,R85)/SUM('1501 Summary'!T220,'1501 Summary'!T319,'1501 Summary'!T339,'1501 Summary'!T358,'1501 Summary'!T249)</f>
        <v>51391.20718779492</v>
      </c>
      <c r="S90" s="1050"/>
      <c r="T90" s="1050">
        <f>SUM(T44,T54,T64,T74,T85)/SUM('1501 Summary'!V220,'1501 Summary'!V319,'1501 Summary'!V339,'1501 Summary'!V358,'1501 Summary'!V249)</f>
        <v>50942.481549545111</v>
      </c>
      <c r="U90" s="1050"/>
      <c r="V90" s="1050">
        <f>SUM(V44,V54,V64,V74,V85)/SUM('1501 Summary'!X220,'1501 Summary'!X319,'1501 Summary'!X339,'1501 Summary'!X358,'1501 Summary'!X249)</f>
        <v>56382.041472332618</v>
      </c>
      <c r="W90" s="1050"/>
      <c r="X90" s="1050">
        <f>SUM(X44,X54,X64,X74,X85)/SUM('1501 Summary'!Z220,'1501 Summary'!Z319,'1501 Summary'!Z339,'1501 Summary'!Z358,'1501 Summary'!Z249)</f>
        <v>64651.934083253815</v>
      </c>
      <c r="Y90" s="1050"/>
      <c r="Z90" s="1059">
        <f>SUM(Z44,Z54,Z64,Z74,Z85)/SUM('1501 Summary'!AB220,'1501 Summary'!AB319,'1501 Summary'!AB339,'1501 Summary'!AB358,'1501 Summary'!AB249)</f>
        <v>61524.548769320441</v>
      </c>
      <c r="AA90" s="1060">
        <f>SUM(AA44,X54,X64,X74,X85)/SUM('1501 Summary'!Z220,'1501 Summary'!Z319,'1501 Summary'!Z339,'1501 Summary'!Z358,'1501 Summary'!Z249,'1501 Summary'!Z74)</f>
        <v>64640.376246440843</v>
      </c>
      <c r="AB90" s="1061">
        <f>SUM(AB44,Z54,Z64,Z74,Z85)/SUM('1501 Summary'!AB220,'1501 Summary'!AB319,'1501 Summary'!AB339,'1501 Summary'!AB358,'1501 Summary'!AB249,'1501 Summary'!AB74)</f>
        <v>61873.953431511261</v>
      </c>
    </row>
    <row r="91" spans="2:28">
      <c r="B91" s="904">
        <v>87</v>
      </c>
      <c r="C91" s="1049" t="s">
        <v>2999</v>
      </c>
      <c r="D91" s="1050">
        <f>SUM(D45,D55,D65,D75,D86)/SUM('1501 Summary'!F220,'1501 Summary'!F319,'1501 Summary'!F339,'1501 Summary'!F358,'1501 Summary'!F249)</f>
        <v>44090.34888534584</v>
      </c>
      <c r="E91" s="1050"/>
      <c r="F91" s="1050">
        <f>SUM(F45,F55,F65,F75,F86)/SUM('1501 Summary'!H220,'1501 Summary'!H319,'1501 Summary'!H339,'1501 Summary'!H358,'1501 Summary'!H249)</f>
        <v>48078.968523480537</v>
      </c>
      <c r="G91" s="1050"/>
      <c r="H91" s="1050">
        <f>SUM(H45,H55,H65,H75,H86)/SUM('1501 Summary'!J220,'1501 Summary'!J319,'1501 Summary'!J339,'1501 Summary'!J358,'1501 Summary'!J249)</f>
        <v>42853.39519590565</v>
      </c>
      <c r="I91" s="1050"/>
      <c r="J91" s="1050">
        <f>SUM(J45,J55,J65,J75,J86)/SUM('1501 Summary'!L220,'1501 Summary'!L319,'1501 Summary'!L339,'1501 Summary'!L358,'1501 Summary'!L249)</f>
        <v>42085.622646558899</v>
      </c>
      <c r="K91" s="1050"/>
      <c r="L91" s="1050">
        <f>SUM(L45,L55,L65,L75,L86)/SUM('1501 Summary'!N220,'1501 Summary'!N319,'1501 Summary'!N339,'1501 Summary'!N358,'1501 Summary'!N249)</f>
        <v>40492.119370037581</v>
      </c>
      <c r="M91" s="1050"/>
      <c r="N91" s="1050">
        <f>SUM(N45,N55,N65,N75,N86)/SUM('1501 Summary'!P220,'1501 Summary'!P319,'1501 Summary'!P339,'1501 Summary'!P358,'1501 Summary'!P249)</f>
        <v>39708.939281351253</v>
      </c>
      <c r="O91" s="1050"/>
      <c r="P91" s="1050">
        <f>SUM(P45,P55,P65,P75,P86)/SUM('1501 Summary'!R220,'1501 Summary'!R319,'1501 Summary'!R339,'1501 Summary'!R358,'1501 Summary'!R249)</f>
        <v>49633.742255740042</v>
      </c>
      <c r="Q91" s="1050"/>
      <c r="R91" s="1050">
        <f>SUM(R45,R55,R65,R75,R86)/SUM('1501 Summary'!T220,'1501 Summary'!T319,'1501 Summary'!T339,'1501 Summary'!T358,'1501 Summary'!T249)</f>
        <v>39984.071026162739</v>
      </c>
      <c r="S91" s="1050"/>
      <c r="T91" s="1050">
        <f>SUM(T45,T55,T65,T75,T86)/SUM('1501 Summary'!V220,'1501 Summary'!V319,'1501 Summary'!V339,'1501 Summary'!V358,'1501 Summary'!V249)</f>
        <v>39459.289505788423</v>
      </c>
      <c r="U91" s="1050"/>
      <c r="V91" s="1050">
        <f>SUM(V45,V55,V65,V75,V86)/SUM('1501 Summary'!X220,'1501 Summary'!X319,'1501 Summary'!X339,'1501 Summary'!X358,'1501 Summary'!X249)</f>
        <v>42943.087924345222</v>
      </c>
      <c r="W91" s="1050"/>
      <c r="X91" s="1050">
        <f>SUM(X45,X55,X65,X75,X86)/SUM('1501 Summary'!Z220,'1501 Summary'!Z319,'1501 Summary'!Z339,'1501 Summary'!Z358,'1501 Summary'!Z249)</f>
        <v>52202.105789161724</v>
      </c>
      <c r="Y91" s="1050"/>
      <c r="Z91" s="1059">
        <f>SUM(Z45,Z55,Z65,Z75,Z86)/SUM('1501 Summary'!AB220,'1501 Summary'!AB319,'1501 Summary'!AB339,'1501 Summary'!AB358,'1501 Summary'!AB249)</f>
        <v>46592.945449841493</v>
      </c>
      <c r="AA91" s="1060">
        <f>SUM(AA45,X55,X65,X75,X86)/SUM('1501 Summary'!Z220,'1501 Summary'!Z319,'1501 Summary'!Z339,'1501 Summary'!Z358,'1501 Summary'!Z249,'1501 Summary'!Z74)</f>
        <v>51336.060027255269</v>
      </c>
      <c r="AB91" s="1061">
        <f>SUM(AB45,Z55,Z65,Z75,Z86)/SUM('1501 Summary'!AB220,'1501 Summary'!AB319,'1501 Summary'!AB339,'1501 Summary'!AB358,'1501 Summary'!AB249,'1501 Summary'!AB74)</f>
        <v>45939.315303992313</v>
      </c>
    </row>
    <row r="92" spans="2:28">
      <c r="B92" s="904">
        <v>88</v>
      </c>
      <c r="C92" s="1049" t="s">
        <v>2999</v>
      </c>
      <c r="D92" s="1050">
        <f>SUM(D46,D56,D66,D76)/SUM('1501 Summary'!F220,'1501 Summary'!F319,'1501 Summary'!F339,'1501 Summary'!F358)</f>
        <v>16827.660521863032</v>
      </c>
      <c r="E92" s="1050"/>
      <c r="F92" s="1050">
        <f>SUM(F46,F56,F66,F76)/SUM('1501 Summary'!H220,'1501 Summary'!H319,'1501 Summary'!H339,'1501 Summary'!H358)</f>
        <v>17609.956362988691</v>
      </c>
      <c r="G92" s="1050"/>
      <c r="H92" s="1050">
        <f>SUM(H46,H56,H66,H76)/SUM('1501 Summary'!J220,'1501 Summary'!J319,'1501 Summary'!J339,'1501 Summary'!J358)</f>
        <v>17268.091030358373</v>
      </c>
      <c r="I92" s="1050"/>
      <c r="J92" s="1050">
        <f>SUM(J46,J56,J66,J76)/SUM('1501 Summary'!L220,'1501 Summary'!L319,'1501 Summary'!L339,'1501 Summary'!L358)</f>
        <v>15731.470290691948</v>
      </c>
      <c r="K92" s="1050"/>
      <c r="L92" s="1050">
        <f>SUM(L46,L56,L66,L76)/SUM('1501 Summary'!N220,'1501 Summary'!N319,'1501 Summary'!N339,'1501 Summary'!N358)</f>
        <v>15431.365774576767</v>
      </c>
      <c r="M92" s="1050"/>
      <c r="N92" s="1050">
        <f>SUM(N46,N56,N66,N76)/SUM('1501 Summary'!P220,'1501 Summary'!P319,'1501 Summary'!P339,'1501 Summary'!P358)</f>
        <v>15773.533047526365</v>
      </c>
      <c r="O92" s="1050"/>
      <c r="P92" s="1050">
        <f>SUM(P46,P56,P66,P76)/SUM('1501 Summary'!R220,'1501 Summary'!R319,'1501 Summary'!R339,'1501 Summary'!R358)</f>
        <v>2083.3333333333335</v>
      </c>
      <c r="Q92" s="1050"/>
      <c r="R92" s="1050">
        <f>SUM(R46,R56,R66,R76)/SUM('1501 Summary'!T220,'1501 Summary'!T319,'1501 Summary'!T339,'1501 Summary'!T358)</f>
        <v>14483.705231246475</v>
      </c>
      <c r="S92" s="1050"/>
      <c r="T92" s="1050">
        <f>SUM(T46,T56,T66,T76)/SUM('1501 Summary'!V220,'1501 Summary'!V319,'1501 Summary'!V339,'1501 Summary'!V358)</f>
        <v>15236.071615240826</v>
      </c>
      <c r="U92" s="1050"/>
      <c r="V92" s="1050">
        <f>SUM(V46,V56,V66,V76)/SUM('1501 Summary'!X220,'1501 Summary'!X319,'1501 Summary'!X339,'1501 Summary'!X358)</f>
        <v>16082.424971057082</v>
      </c>
      <c r="W92" s="1050"/>
      <c r="X92" s="1050">
        <f>SUM(X46,X56,X66,X76)/SUM('1501 Summary'!Z220,'1501 Summary'!Z319,'1501 Summary'!Z339,'1501 Summary'!Z358)</f>
        <v>17645.742605383115</v>
      </c>
      <c r="Y92" s="1050"/>
      <c r="Z92" s="1059">
        <f>SUM(Z46,Z56,Z66,Z76)/SUM('1501 Summary'!AB220,'1501 Summary'!AB319,'1501 Summary'!AB339,'1501 Summary'!AB358)</f>
        <v>14222.156674440937</v>
      </c>
      <c r="AA92" s="1060">
        <f>SUM(AA46,X56,X66,X76)/SUM('1501 Summary'!Z220,'1501 Summary'!Z319,'1501 Summary'!Z339,'1501 Summary'!Z358,'1501 Summary'!Z74)</f>
        <v>20664.08455128298</v>
      </c>
      <c r="AB92" s="1061">
        <f>SUM(AB46,Z56,Z66,Z76)/SUM('1501 Summary'!AB220,'1501 Summary'!AB319,'1501 Summary'!AB339,'1501 Summary'!AB358,'1501 Summary'!AB74)</f>
        <v>17873.621781073492</v>
      </c>
    </row>
    <row r="93" spans="2:28">
      <c r="B93" s="904">
        <v>89</v>
      </c>
      <c r="C93" s="1062" t="s">
        <v>3000</v>
      </c>
      <c r="D93" s="1063">
        <f>SUM(D47,D57,D67,D77,D82)/SUM('1501 Summary'!F220,'1501 Summary'!F319,'1501 Summary'!F339,'1501 Summary'!F358)</f>
        <v>163342.80286570516</v>
      </c>
      <c r="E93" s="1063"/>
      <c r="F93" s="1063">
        <f>SUM(F47,F57,F67,F77,F82)/SUM('1501 Summary'!H220,'1501 Summary'!H319,'1501 Summary'!H339,'1501 Summary'!H358)</f>
        <v>167624.0232627833</v>
      </c>
      <c r="G93" s="1063"/>
      <c r="H93" s="1063">
        <f>SUM(H47,H57,H67,H77,H82)/SUM('1501 Summary'!J220,'1501 Summary'!J319,'1501 Summary'!J339,'1501 Summary'!J358)</f>
        <v>135689.75369523058</v>
      </c>
      <c r="I93" s="1063"/>
      <c r="J93" s="1063">
        <f>SUM(J47,J57,J67,J77,J82)/SUM('1501 Summary'!L220,'1501 Summary'!L319,'1501 Summary'!L339,'1501 Summary'!L358)</f>
        <v>132857.25515449356</v>
      </c>
      <c r="K93" s="1063"/>
      <c r="L93" s="1063">
        <f>SUM(L47,L57,L67,L77,L82)/SUM('1501 Summary'!N220,'1501 Summary'!N319,'1501 Summary'!N339,'1501 Summary'!N358)</f>
        <v>112868.62894300462</v>
      </c>
      <c r="M93" s="1063"/>
      <c r="N93" s="1063">
        <f>SUM(N47,N57,N67,N77,N82)/SUM('1501 Summary'!P220,'1501 Summary'!P319,'1501 Summary'!P339,'1501 Summary'!P358)</f>
        <v>100485.72398724024</v>
      </c>
      <c r="O93" s="1063"/>
      <c r="P93" s="1063">
        <f>SUM(P47,P57,P67,P77,P82)/SUM('1501 Summary'!R220,'1501 Summary'!R319,'1501 Summary'!R339,'1501 Summary'!R358)</f>
        <v>137431.75381820876</v>
      </c>
      <c r="Q93" s="1063"/>
      <c r="R93" s="1063">
        <f>SUM(R47,R57,R67,R77,R82)/SUM('1501 Summary'!T220,'1501 Summary'!T319,'1501 Summary'!T339,'1501 Summary'!T358)</f>
        <v>233215.37411032026</v>
      </c>
      <c r="S93" s="1063"/>
      <c r="T93" s="1063">
        <f>SUM(T47,T57,T67,T77,T82)/SUM('1501 Summary'!V220,'1501 Summary'!V319,'1501 Summary'!V339,'1501 Summary'!V358)</f>
        <v>281231.25436455442</v>
      </c>
      <c r="U93" s="1063"/>
      <c r="V93" s="1063">
        <f>SUM(V47,V57,V67,V77,V82)/SUM('1501 Summary'!X220,'1501 Summary'!X319,'1501 Summary'!X339,'1501 Summary'!X358)</f>
        <v>259354.55768870574</v>
      </c>
      <c r="W93" s="1063"/>
      <c r="X93" s="1063">
        <f>SUM(X47,X57,X67,X77,X82)/SUM('1501 Summary'!Z220,'1501 Summary'!Z319,'1501 Summary'!Z339,'1501 Summary'!Z358)</f>
        <v>148163.22046555043</v>
      </c>
      <c r="Y93" s="1063"/>
      <c r="Z93" s="1064">
        <f>SUM(Z47,Z57,Z67,Z77,Z82)/SUM('1501 Summary'!AB220,'1501 Summary'!AB319,'1501 Summary'!AB339,'1501 Summary'!AB358)</f>
        <v>174114.11135904587</v>
      </c>
      <c r="AA93" s="1063">
        <f>SUM(X47,X57,X67,X77,X82)/SUM('1501 Summary'!Z220,'1501 Summary'!Z319,'1501 Summary'!Z339,'1501 Summary'!Z358)</f>
        <v>148163.22046555043</v>
      </c>
      <c r="AB93" s="1064">
        <f>SUM(Z47,Z57,Z67,Z77,Z82)/SUM('1501 Summary'!AB220,'1501 Summary'!AB319,'1501 Summary'!AB339,'1501 Summary'!AB358)</f>
        <v>174114.11135904587</v>
      </c>
    </row>
    <row r="94" spans="2:28" ht="15" thickBot="1">
      <c r="B94" s="904">
        <v>90</v>
      </c>
      <c r="C94" s="906"/>
      <c r="D94" s="1065"/>
      <c r="E94" s="1065"/>
      <c r="F94" s="1066"/>
      <c r="G94" s="1067"/>
      <c r="H94" s="1066"/>
      <c r="I94" s="1066"/>
      <c r="J94" s="1066"/>
      <c r="K94" s="1066"/>
      <c r="L94" s="1066"/>
      <c r="M94" s="1066"/>
      <c r="N94" s="1066"/>
      <c r="O94" s="1066"/>
      <c r="P94" s="1066"/>
      <c r="Q94" s="1066"/>
      <c r="R94" s="1066"/>
      <c r="S94" s="1066"/>
      <c r="T94" s="1066"/>
      <c r="U94" s="1066"/>
      <c r="V94" s="1066"/>
      <c r="W94" s="1066"/>
      <c r="X94" s="1066"/>
      <c r="Y94" s="1068"/>
      <c r="Z94" s="1068"/>
    </row>
    <row r="95" spans="2:28" ht="15" thickBot="1">
      <c r="B95" s="904">
        <v>91</v>
      </c>
    </row>
    <row r="96" spans="2:28" ht="15" customHeight="1">
      <c r="B96" s="904">
        <v>92</v>
      </c>
      <c r="C96" s="1877" t="s">
        <v>3001</v>
      </c>
      <c r="D96" s="1877"/>
      <c r="E96" s="1877"/>
      <c r="F96" s="1877"/>
      <c r="G96" s="1877"/>
      <c r="H96" s="1877"/>
      <c r="I96" s="1877"/>
      <c r="J96" s="1877"/>
      <c r="K96" s="1877"/>
      <c r="L96" s="1877"/>
      <c r="M96" s="1877"/>
      <c r="N96" s="1877"/>
      <c r="O96" s="1877"/>
      <c r="P96" s="1877"/>
      <c r="Q96" s="1877"/>
      <c r="R96" s="1877"/>
      <c r="S96" s="1877"/>
      <c r="T96" s="1877"/>
      <c r="U96" s="1877"/>
      <c r="V96" s="1877"/>
      <c r="W96" s="1877"/>
      <c r="X96" s="1877"/>
      <c r="Y96" s="1877"/>
      <c r="Z96" s="1878"/>
    </row>
    <row r="97" spans="1:41">
      <c r="B97" s="904">
        <v>93</v>
      </c>
      <c r="C97" s="583" t="s">
        <v>778</v>
      </c>
      <c r="D97" s="583" t="s">
        <v>776</v>
      </c>
      <c r="E97" s="583"/>
      <c r="F97" s="583" t="s">
        <v>777</v>
      </c>
      <c r="G97" s="583"/>
      <c r="H97" s="583" t="s">
        <v>780</v>
      </c>
      <c r="I97" s="583"/>
      <c r="J97" s="583" t="s">
        <v>781</v>
      </c>
      <c r="K97" s="583"/>
      <c r="L97" s="583" t="s">
        <v>782</v>
      </c>
      <c r="M97" s="583"/>
      <c r="N97" s="583" t="s">
        <v>783</v>
      </c>
      <c r="O97" s="583"/>
      <c r="P97" s="583" t="s">
        <v>784</v>
      </c>
      <c r="Q97" s="583"/>
      <c r="R97" s="583" t="s">
        <v>785</v>
      </c>
      <c r="S97" s="583"/>
      <c r="T97" s="583" t="s">
        <v>786</v>
      </c>
      <c r="U97" s="583"/>
      <c r="V97" s="583" t="s">
        <v>787</v>
      </c>
      <c r="W97" s="583"/>
      <c r="X97" s="583" t="s">
        <v>788</v>
      </c>
      <c r="Y97" s="583"/>
      <c r="Z97" s="822" t="s">
        <v>789</v>
      </c>
      <c r="AA97" s="583" t="s">
        <v>790</v>
      </c>
      <c r="AB97" s="583" t="s">
        <v>791</v>
      </c>
      <c r="AC97" s="822" t="s">
        <v>995</v>
      </c>
      <c r="AD97" s="583" t="s">
        <v>996</v>
      </c>
    </row>
    <row r="98" spans="1:41" ht="43.5" customHeight="1">
      <c r="B98" s="904">
        <v>94</v>
      </c>
      <c r="C98" s="1069" t="s">
        <v>2857</v>
      </c>
      <c r="D98" s="1069" t="s">
        <v>2950</v>
      </c>
      <c r="E98" s="1069"/>
      <c r="F98" s="1069" t="s">
        <v>2951</v>
      </c>
      <c r="G98" s="1069"/>
      <c r="H98" s="1069" t="s">
        <v>2952</v>
      </c>
      <c r="I98" s="1069"/>
      <c r="J98" s="1069" t="s">
        <v>2953</v>
      </c>
      <c r="K98" s="1069"/>
      <c r="L98" s="1069" t="s">
        <v>2520</v>
      </c>
      <c r="M98" s="1069"/>
      <c r="N98" s="1069" t="s">
        <v>2954</v>
      </c>
      <c r="O98" s="1069"/>
      <c r="P98" s="1069" t="s">
        <v>2955</v>
      </c>
      <c r="Q98" s="1069"/>
      <c r="R98" s="1069" t="s">
        <v>2956</v>
      </c>
      <c r="S98" s="1069"/>
      <c r="T98" s="1069" t="s">
        <v>2957</v>
      </c>
      <c r="U98" s="1069"/>
      <c r="V98" s="1069" t="s">
        <v>2958</v>
      </c>
      <c r="W98" s="1069"/>
      <c r="X98" s="1069" t="s">
        <v>2959</v>
      </c>
      <c r="Y98" s="1069"/>
      <c r="Z98" s="1070" t="s">
        <v>2960</v>
      </c>
      <c r="AA98" s="1071"/>
      <c r="AB98" s="1072" t="s">
        <v>3002</v>
      </c>
      <c r="AC98" s="1072" t="s">
        <v>3003</v>
      </c>
      <c r="AD98" s="1072" t="s">
        <v>3004</v>
      </c>
      <c r="AF98" s="1616" t="s">
        <v>1807</v>
      </c>
    </row>
    <row r="99" spans="1:41">
      <c r="B99" s="904">
        <v>95</v>
      </c>
      <c r="C99" s="1046" t="s">
        <v>3005</v>
      </c>
      <c r="D99" s="1047">
        <f>D8*SUM('1501 Summary'!$AB$6)</f>
        <v>21481403.558054745</v>
      </c>
      <c r="E99" s="1047"/>
      <c r="F99" s="1047">
        <f>F8*SUM('1501 Summary'!$AB$6)</f>
        <v>17282496.365299165</v>
      </c>
      <c r="G99" s="1047"/>
      <c r="H99" s="1047">
        <f>H8*SUM('1501 Summary'!$AB$6)</f>
        <v>14550887.329602273</v>
      </c>
      <c r="I99" s="1047"/>
      <c r="J99" s="1047">
        <f>J8*SUM('1501 Summary'!$AB$6)</f>
        <v>9553553.7802296188</v>
      </c>
      <c r="K99" s="1047"/>
      <c r="L99" s="1047">
        <f>L8*SUM('1501 Summary'!$AB$6)</f>
        <v>6059718.5388262738</v>
      </c>
      <c r="M99" s="1047"/>
      <c r="N99" s="1047">
        <f>N8*SUM('1501 Summary'!$AB$6)</f>
        <v>3709463.2561856038</v>
      </c>
      <c r="O99" s="1047"/>
      <c r="P99" s="1047">
        <f>P8*SUM('1501 Summary'!$AB$6)</f>
        <v>3106265.7935826126</v>
      </c>
      <c r="Q99" s="1047"/>
      <c r="R99" s="1047">
        <f>R8*SUM('1501 Summary'!$AB$6)</f>
        <v>3112645.5987847848</v>
      </c>
      <c r="S99" s="1047"/>
      <c r="T99" s="1047">
        <f>T8*SUM('1501 Summary'!$AB$6)</f>
        <v>3972281.2075161906</v>
      </c>
      <c r="U99" s="1047"/>
      <c r="V99" s="1047">
        <f>V8*SUM('1501 Summary'!$AB$6)</f>
        <v>9102021.7976925541</v>
      </c>
      <c r="W99" s="1047"/>
      <c r="X99" s="1047">
        <f>X8*SUM('1501 Summary'!$AB$6)</f>
        <v>17003957.468034908</v>
      </c>
      <c r="Y99" s="1047"/>
      <c r="Z99" s="1048">
        <f>Z8*SUM('1501 Summary'!$AB$6)</f>
        <v>22806992.536832273</v>
      </c>
      <c r="AA99" s="1073">
        <f>SUM(D99:Z99)</f>
        <v>131741687.23064102</v>
      </c>
      <c r="AB99" s="1074">
        <f>SUM('1501 Summary'!$AB$6)*12</f>
        <v>2344308</v>
      </c>
      <c r="AC99" s="1075">
        <f>SUM('1501 Summary'!F6,'1501 Summary'!H6,'1501 Summary'!J6,'1501 Summary'!L6,'1501 Summary'!N6,'1501 Summary'!P6,'1501 Summary'!R6,'1501 Summary'!T6,'1501 Summary'!V6,'1501 Summary'!X6,'1501 Summary'!Z6,'1501 Summary'!AB6)/12</f>
        <v>193477.59333333335</v>
      </c>
      <c r="AD99" s="1074">
        <f>('2020 New Customers'!C18)*12</f>
        <v>2386620</v>
      </c>
      <c r="AE99" s="826"/>
      <c r="AF99" s="1011">
        <f>AD99-AB99</f>
        <v>42312</v>
      </c>
    </row>
    <row r="100" spans="1:41">
      <c r="B100" s="904">
        <v>96</v>
      </c>
      <c r="C100" s="1076" t="s">
        <v>3006</v>
      </c>
      <c r="D100" s="1077">
        <f>D10*SUM('1501 Summary'!$AB$30,'1501 Summary'!$AB$49)</f>
        <v>14962920.09105991</v>
      </c>
      <c r="E100" s="1077"/>
      <c r="F100" s="1077">
        <f>F10*SUM('1501 Summary'!$AB$30,'1501 Summary'!$AB$49)</f>
        <v>11941476.853740096</v>
      </c>
      <c r="G100" s="1077"/>
      <c r="H100" s="1077">
        <f>H10*SUM('1501 Summary'!$AB$30,'1501 Summary'!$AB$49)</f>
        <v>9514310.0195858628</v>
      </c>
      <c r="I100" s="1077"/>
      <c r="J100" s="1077">
        <f>J10*SUM('1501 Summary'!$AB$30,'1501 Summary'!$AB$49)</f>
        <v>6184290.0073053576</v>
      </c>
      <c r="K100" s="1077"/>
      <c r="L100" s="1077">
        <f>L10*SUM('1501 Summary'!$AB$30,'1501 Summary'!$AB$49)</f>
        <v>4507576.2480000183</v>
      </c>
      <c r="M100" s="1077"/>
      <c r="N100" s="1077">
        <f>N10*SUM('1501 Summary'!$AB$30,'1501 Summary'!$AB$49)</f>
        <v>3185951.0085212658</v>
      </c>
      <c r="O100" s="1077"/>
      <c r="P100" s="1077">
        <f>P10*SUM('1501 Summary'!$AB$30,'1501 Summary'!$AB$49)</f>
        <v>3154644.5544320531</v>
      </c>
      <c r="Q100" s="1077"/>
      <c r="R100" s="1077">
        <f>R10*SUM('1501 Summary'!$AB$30,'1501 Summary'!$AB$49)</f>
        <v>3172920.6924638362</v>
      </c>
      <c r="S100" s="1077"/>
      <c r="T100" s="1077">
        <f>T10*SUM('1501 Summary'!$AB$30,'1501 Summary'!$AB$49)</f>
        <v>3848957.8058954026</v>
      </c>
      <c r="U100" s="1077"/>
      <c r="V100" s="1077">
        <f>V10*SUM('1501 Summary'!$AB$30,'1501 Summary'!$AB$49)</f>
        <v>7254098.4631915251</v>
      </c>
      <c r="W100" s="1077"/>
      <c r="X100" s="1077">
        <f>X10*SUM('1501 Summary'!$AB$30,'1501 Summary'!$AB$49)</f>
        <v>11095081.839790983</v>
      </c>
      <c r="Y100" s="1077"/>
      <c r="Z100" s="1078">
        <f>Z10*SUM('1501 Summary'!$AB$30,'1501 Summary'!$AB$49)</f>
        <v>14473775.727049282</v>
      </c>
      <c r="AA100" s="1073">
        <f>SUM(D100:Z100)</f>
        <v>93296003.311035588</v>
      </c>
      <c r="AB100" s="1079">
        <f>SUM('1501 Summary'!$AB$30,'1501 Summary'!$AB$49)*12</f>
        <v>322116</v>
      </c>
      <c r="AC100" s="1074">
        <f>SUM('1501 Summary'!F49,'1501 Summary'!H49,'1501 Summary'!J49,'1501 Summary'!L49,'1501 Summary'!N49,'1501 Summary'!P49,'1501 Summary'!R49,'1501 Summary'!T49,'1501 Summary'!V49,'1501 Summary'!X49,'1501 Summary'!Z49,'1501 Summary'!AB49,'1501 Summary'!AB30,'1501 Summary'!Z30,'1501 Summary'!X30,'1501 Summary'!V30,'1501 Summary'!T30,'1501 Summary'!R30,'1501 Summary'!P30,'1501 Summary'!N30,'1501 Summary'!L30,'1501 Summary'!J30,'1501 Summary'!H30,'1501 Summary'!F30)/12</f>
        <v>26611.29294871795</v>
      </c>
      <c r="AD100" s="1074">
        <f>('2020 New Customers'!D18)*12</f>
        <v>324384</v>
      </c>
      <c r="AE100" s="826"/>
      <c r="AF100" s="1011">
        <f>AD100-AB100</f>
        <v>2268</v>
      </c>
    </row>
    <row r="101" spans="1:41">
      <c r="B101" s="904">
        <v>97</v>
      </c>
      <c r="C101" s="1046">
        <v>505</v>
      </c>
      <c r="D101" s="1047"/>
      <c r="E101" s="1047"/>
      <c r="F101" s="1047"/>
      <c r="G101" s="1047"/>
      <c r="H101" s="1047"/>
      <c r="I101" s="1047"/>
      <c r="J101" s="1047"/>
      <c r="K101" s="1047"/>
      <c r="L101" s="1047"/>
      <c r="M101" s="1047"/>
      <c r="N101" s="1047"/>
      <c r="O101" s="1047"/>
      <c r="P101" s="1047"/>
      <c r="Q101" s="1047"/>
      <c r="R101" s="1047"/>
      <c r="S101" s="1047"/>
      <c r="T101" s="1047"/>
      <c r="U101" s="1047"/>
      <c r="V101" s="1047"/>
      <c r="W101" s="1047"/>
      <c r="X101" s="1047"/>
      <c r="Y101" s="1047"/>
      <c r="Z101" s="1048"/>
      <c r="AA101" s="1080"/>
      <c r="AB101" s="1079"/>
      <c r="AC101" s="820"/>
      <c r="AD101" s="1074"/>
      <c r="AE101" s="826"/>
      <c r="AF101" s="1011"/>
    </row>
    <row r="102" spans="1:41">
      <c r="B102" s="904">
        <v>98</v>
      </c>
      <c r="C102" s="1046" t="s">
        <v>2681</v>
      </c>
      <c r="D102" s="1047">
        <f>(D20)*($AB$102/12)</f>
        <v>194340.07098025919</v>
      </c>
      <c r="E102" s="1047"/>
      <c r="F102" s="1047">
        <f t="shared" ref="F102:Z102" si="2">(F20)*($AB$102/12)</f>
        <v>198435.0250724245</v>
      </c>
      <c r="G102" s="1047"/>
      <c r="H102" s="1047">
        <f t="shared" si="2"/>
        <v>205749.5769055803</v>
      </c>
      <c r="I102" s="1047"/>
      <c r="J102" s="1047">
        <f t="shared" si="2"/>
        <v>183273.59427443455</v>
      </c>
      <c r="K102" s="1047"/>
      <c r="L102" s="1047">
        <f t="shared" si="2"/>
        <v>141801.01412570136</v>
      </c>
      <c r="M102" s="1047"/>
      <c r="N102" s="1047">
        <f t="shared" si="2"/>
        <v>106600.76388016609</v>
      </c>
      <c r="O102" s="1047"/>
      <c r="P102" s="1047">
        <f t="shared" si="2"/>
        <v>90402.736365577541</v>
      </c>
      <c r="Q102" s="1047"/>
      <c r="R102" s="1047">
        <f t="shared" si="2"/>
        <v>84398.169395629971</v>
      </c>
      <c r="S102" s="1047"/>
      <c r="T102" s="1047">
        <f t="shared" si="2"/>
        <v>92092.139562676224</v>
      </c>
      <c r="U102" s="1047"/>
      <c r="V102" s="1047">
        <f t="shared" si="2"/>
        <v>133088.39782184863</v>
      </c>
      <c r="W102" s="1047"/>
      <c r="X102" s="1047">
        <f t="shared" si="2"/>
        <v>174658.5047865161</v>
      </c>
      <c r="Y102" s="1047"/>
      <c r="Z102" s="1048">
        <f t="shared" si="2"/>
        <v>191214.32972942691</v>
      </c>
      <c r="AA102" s="1073">
        <f>SUM(D102:Z102)</f>
        <v>1796054.322900241</v>
      </c>
      <c r="AB102" s="1079">
        <f>SUM('1501 Summary'!$AB$101,'1501 Summary'!$AB$180)*12</f>
        <v>5856</v>
      </c>
      <c r="AC102" s="1074">
        <f>SUM('1501 Summary'!F101,'1501 Summary'!H101,'1501 Summary'!J101,'1501 Summary'!L101,'1501 Summary'!N101,'1501 Summary'!P101,'1501 Summary'!R101,'1501 Summary'!T101,'1501 Summary'!V101,'1501 Summary'!X101,'1501 Summary'!Z101,'1501 Summary'!AB101,'1501 Summary'!F180,'1501 Summary'!H180,'1501 Summary'!J180,'1501 Summary'!L180,'1501 Summary'!N180,'1501 Summary'!P180,'1501 Summary'!R180,'1501 Summary'!T180,'1501 Summary'!V180,'1501 Summary'!X180,'1501 Summary'!Z180,'1501 Summary'!AB180)/12</f>
        <v>481.91666666666669</v>
      </c>
      <c r="AD102" s="1074">
        <f>('2020 New Customers'!E18)*12</f>
        <v>5856</v>
      </c>
      <c r="AE102" s="826"/>
      <c r="AF102" s="1011">
        <f>AD102-AB102</f>
        <v>0</v>
      </c>
    </row>
    <row r="103" spans="1:41">
      <c r="B103" s="904">
        <v>99</v>
      </c>
      <c r="C103" s="1046" t="s">
        <v>2682</v>
      </c>
      <c r="D103" s="1047">
        <f t="shared" ref="D103:Z104" si="3">(D21)*($AB$102/12)</f>
        <v>698387.7119573321</v>
      </c>
      <c r="E103" s="1047"/>
      <c r="F103" s="1047">
        <f t="shared" si="3"/>
        <v>723016.34030108422</v>
      </c>
      <c r="G103" s="1047"/>
      <c r="H103" s="1047">
        <f t="shared" si="3"/>
        <v>768541.60303038161</v>
      </c>
      <c r="I103" s="1047"/>
      <c r="J103" s="1047">
        <f t="shared" si="3"/>
        <v>585399.82631121867</v>
      </c>
      <c r="K103" s="1047"/>
      <c r="L103" s="1047">
        <f t="shared" si="3"/>
        <v>412618.147901399</v>
      </c>
      <c r="M103" s="1047"/>
      <c r="N103" s="1047">
        <f t="shared" si="3"/>
        <v>303387.93231473467</v>
      </c>
      <c r="O103" s="1047"/>
      <c r="P103" s="1047">
        <f t="shared" si="3"/>
        <v>279357.09619900072</v>
      </c>
      <c r="Q103" s="1047"/>
      <c r="R103" s="1047">
        <f t="shared" si="3"/>
        <v>272356.05256572872</v>
      </c>
      <c r="S103" s="1047"/>
      <c r="T103" s="1047">
        <f t="shared" si="3"/>
        <v>298836.84950773552</v>
      </c>
      <c r="U103" s="1047"/>
      <c r="V103" s="1047">
        <f t="shared" si="3"/>
        <v>407885.21791435569</v>
      </c>
      <c r="W103" s="1047"/>
      <c r="X103" s="1047">
        <f t="shared" si="3"/>
        <v>542537.34133536008</v>
      </c>
      <c r="Y103" s="1047"/>
      <c r="Z103" s="1048">
        <f t="shared" si="3"/>
        <v>663264.02434806665</v>
      </c>
      <c r="AA103" s="1073">
        <f t="shared" ref="AA103:AA120" si="4">SUM(D103:Z103)</f>
        <v>5955588.143686397</v>
      </c>
      <c r="AB103" s="1079"/>
      <c r="AC103" s="820"/>
      <c r="AD103" s="1074"/>
      <c r="AE103" s="826"/>
      <c r="AF103" s="1011"/>
    </row>
    <row r="104" spans="1:41">
      <c r="B104" s="904">
        <v>100</v>
      </c>
      <c r="C104" s="1046" t="s">
        <v>2683</v>
      </c>
      <c r="D104" s="1047">
        <f t="shared" si="3"/>
        <v>562177.83876820025</v>
      </c>
      <c r="E104" s="1047"/>
      <c r="F104" s="1047">
        <f t="shared" si="3"/>
        <v>725105.85736923234</v>
      </c>
      <c r="G104" s="1047"/>
      <c r="H104" s="1047">
        <f t="shared" si="3"/>
        <v>816782.44734708616</v>
      </c>
      <c r="I104" s="1047"/>
      <c r="J104" s="1047">
        <f t="shared" si="3"/>
        <v>582014.37290593912</v>
      </c>
      <c r="K104" s="1047"/>
      <c r="L104" s="1047">
        <f t="shared" si="3"/>
        <v>257597.30651931031</v>
      </c>
      <c r="M104" s="1047"/>
      <c r="N104" s="1047">
        <f t="shared" si="3"/>
        <v>175201.87107495344</v>
      </c>
      <c r="O104" s="1047"/>
      <c r="P104" s="1047">
        <f t="shared" si="3"/>
        <v>178651.78946509288</v>
      </c>
      <c r="Q104" s="1047"/>
      <c r="R104" s="1047">
        <f t="shared" si="3"/>
        <v>206663.57161042653</v>
      </c>
      <c r="S104" s="1047"/>
      <c r="T104" s="1047">
        <f t="shared" si="3"/>
        <v>271927.92957544461</v>
      </c>
      <c r="U104" s="1047"/>
      <c r="V104" s="1047">
        <f t="shared" si="3"/>
        <v>763197.04454235022</v>
      </c>
      <c r="W104" s="1047"/>
      <c r="X104" s="1047">
        <f t="shared" si="3"/>
        <v>453753.09697827091</v>
      </c>
      <c r="Y104" s="1047"/>
      <c r="Z104" s="1048">
        <f t="shared" si="3"/>
        <v>568661.79001721169</v>
      </c>
      <c r="AA104" s="1073">
        <f t="shared" si="4"/>
        <v>5561734.9161735196</v>
      </c>
      <c r="AB104" s="1079"/>
      <c r="AC104" s="820"/>
      <c r="AD104" s="1074"/>
      <c r="AE104" s="826"/>
      <c r="AF104" s="1011"/>
    </row>
    <row r="105" spans="1:41">
      <c r="A105" s="613" t="s">
        <v>3007</v>
      </c>
      <c r="B105" s="904">
        <v>101</v>
      </c>
      <c r="C105" s="1046" t="s">
        <v>3008</v>
      </c>
      <c r="D105" s="1047">
        <f>SUM(D102:D104)</f>
        <v>1454905.6217057914</v>
      </c>
      <c r="E105" s="1047"/>
      <c r="F105" s="1047">
        <f t="shared" ref="F105:Z105" si="5">SUM(F102:F104)</f>
        <v>1646557.222742741</v>
      </c>
      <c r="G105" s="1047"/>
      <c r="H105" s="1047">
        <f t="shared" si="5"/>
        <v>1791073.6272830481</v>
      </c>
      <c r="I105" s="1047"/>
      <c r="J105" s="1047">
        <f t="shared" si="5"/>
        <v>1350687.7934915924</v>
      </c>
      <c r="K105" s="1047"/>
      <c r="L105" s="1047">
        <f t="shared" si="5"/>
        <v>812016.46854641067</v>
      </c>
      <c r="M105" s="1047"/>
      <c r="N105" s="1047">
        <f t="shared" si="5"/>
        <v>585190.56726985425</v>
      </c>
      <c r="O105" s="1047"/>
      <c r="P105" s="1047">
        <f t="shared" si="5"/>
        <v>548411.62202967121</v>
      </c>
      <c r="Q105" s="1047"/>
      <c r="R105" s="1047">
        <f t="shared" si="5"/>
        <v>563417.79357178521</v>
      </c>
      <c r="S105" s="1047"/>
      <c r="T105" s="1047">
        <f t="shared" si="5"/>
        <v>662856.91864585644</v>
      </c>
      <c r="U105" s="1047"/>
      <c r="V105" s="1047">
        <f t="shared" si="5"/>
        <v>1304170.6602785545</v>
      </c>
      <c r="W105" s="1047"/>
      <c r="X105" s="1047">
        <f t="shared" si="5"/>
        <v>1170948.9431001469</v>
      </c>
      <c r="Y105" s="1047"/>
      <c r="Z105" s="1048">
        <f t="shared" si="5"/>
        <v>1423140.1440947051</v>
      </c>
      <c r="AA105" s="1073">
        <f t="shared" si="4"/>
        <v>13313377.38276016</v>
      </c>
      <c r="AC105" s="820"/>
      <c r="AD105" s="1074"/>
      <c r="AE105" s="826"/>
      <c r="AF105" s="1011"/>
    </row>
    <row r="106" spans="1:41" ht="15" thickBot="1">
      <c r="A106" s="613" t="s">
        <v>3009</v>
      </c>
      <c r="B106" s="904">
        <v>102</v>
      </c>
      <c r="C106" s="1081">
        <v>511</v>
      </c>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3"/>
      <c r="Y106" s="1083"/>
      <c r="Z106" s="1084"/>
      <c r="AA106" s="1073"/>
      <c r="AC106" s="820"/>
      <c r="AD106" s="1074"/>
      <c r="AE106" s="826"/>
      <c r="AF106" s="825"/>
    </row>
    <row r="107" spans="1:41">
      <c r="B107" s="904">
        <v>103</v>
      </c>
      <c r="C107" s="1085" t="s">
        <v>2688</v>
      </c>
      <c r="D107" s="1086">
        <f>D33*($AB$107/12)</f>
        <v>1152660.454862653</v>
      </c>
      <c r="E107" s="1086"/>
      <c r="F107" s="1086">
        <f>F33*($AB$107/12)</f>
        <v>1188660.5976019793</v>
      </c>
      <c r="G107" s="1086"/>
      <c r="H107" s="1086">
        <f t="shared" ref="H107:V109" si="6">H33*($AB$107/12)</f>
        <v>1220204.8848569433</v>
      </c>
      <c r="I107" s="1086"/>
      <c r="J107" s="1086">
        <f t="shared" si="6"/>
        <v>909291.85994006821</v>
      </c>
      <c r="K107" s="1086"/>
      <c r="L107" s="1086">
        <f t="shared" si="6"/>
        <v>636471.26408134785</v>
      </c>
      <c r="M107" s="1086"/>
      <c r="N107" s="1086">
        <f t="shared" si="6"/>
        <v>479376.73213039583</v>
      </c>
      <c r="O107" s="1086"/>
      <c r="P107" s="1086">
        <f t="shared" si="6"/>
        <v>427946.61959689669</v>
      </c>
      <c r="Q107" s="1086"/>
      <c r="R107" s="1086">
        <f t="shared" si="6"/>
        <v>424333.87173918157</v>
      </c>
      <c r="S107" s="1086"/>
      <c r="T107" s="1086">
        <f t="shared" si="6"/>
        <v>383562.99740467471</v>
      </c>
      <c r="U107" s="1086"/>
      <c r="V107" s="1086">
        <f t="shared" si="6"/>
        <v>632564.29114688281</v>
      </c>
      <c r="W107" s="1087"/>
      <c r="X107" s="1088">
        <f>AA33*($AB$107/12)</f>
        <v>856018.82625399716</v>
      </c>
      <c r="Y107" s="1089"/>
      <c r="Z107" s="1089">
        <f>AB33*($AB$107/12)</f>
        <v>1082224.2149337055</v>
      </c>
      <c r="AA107" s="1090">
        <f>SUM(D107:Z107)</f>
        <v>9393316.614548726</v>
      </c>
      <c r="AB107" s="1091">
        <f>SUM('1501 Summary'!$AB$128,'1501 Summary'!$AB$154)*12</f>
        <v>1080</v>
      </c>
      <c r="AC107" s="1092">
        <f>SUM('1501 Summary'!F128,'1501 Summary'!H128,'1501 Summary'!J128,'1501 Summary'!L128,'1501 Summary'!N128,'1501 Summary'!P128,'1501 Summary'!R128,'1501 Summary'!T128,'1501 Summary'!V128,'1501 Summary'!X128,'1501 Summary'!Z128,'1501 Summary'!AB128,'1501 Summary'!F154,'1501 Summary'!H154,'1501 Summary'!J154,'1501 Summary'!L154,'1501 Summary'!N154,'1501 Summary'!P154,'1501 Summary'!R154,'1501 Summary'!T154,'1501 Summary'!V154,'1501 Summary'!X154,'1501 Summary'!Z154,'1501 Summary'!AB154)/12</f>
        <v>87.666666666666671</v>
      </c>
      <c r="AD107" s="1093">
        <f>SUM('2020 New Customers'!F18:H18)*12</f>
        <v>1092</v>
      </c>
      <c r="AE107" s="826"/>
      <c r="AF107" s="1011">
        <f>AD107-AB107</f>
        <v>12</v>
      </c>
    </row>
    <row r="108" spans="1:41">
      <c r="B108" s="904">
        <v>104</v>
      </c>
      <c r="C108" s="1085" t="s">
        <v>2689</v>
      </c>
      <c r="D108" s="1082">
        <f>D34*($AB$107/12)</f>
        <v>538971.12742501509</v>
      </c>
      <c r="E108" s="1082"/>
      <c r="F108" s="1082">
        <f>F34*($AB$107/12)</f>
        <v>534793.43921737408</v>
      </c>
      <c r="G108" s="1082"/>
      <c r="H108" s="1082">
        <f t="shared" si="6"/>
        <v>571373.17916970141</v>
      </c>
      <c r="I108" s="1082"/>
      <c r="J108" s="1082">
        <f t="shared" si="6"/>
        <v>456881.38897219487</v>
      </c>
      <c r="K108" s="1082"/>
      <c r="L108" s="1082">
        <f t="shared" si="6"/>
        <v>366872.00863593799</v>
      </c>
      <c r="M108" s="1082"/>
      <c r="N108" s="1082">
        <f t="shared" si="6"/>
        <v>289320.8302986162</v>
      </c>
      <c r="O108" s="1082"/>
      <c r="P108" s="1082">
        <f t="shared" si="6"/>
        <v>273004.01653742342</v>
      </c>
      <c r="Q108" s="1082"/>
      <c r="R108" s="1082">
        <f t="shared" si="6"/>
        <v>279187.11179488857</v>
      </c>
      <c r="S108" s="1082"/>
      <c r="T108" s="1082">
        <f t="shared" si="6"/>
        <v>256085.28646366115</v>
      </c>
      <c r="U108" s="1082"/>
      <c r="V108" s="1082">
        <f t="shared" si="6"/>
        <v>418924.56443284207</v>
      </c>
      <c r="W108" s="1094"/>
      <c r="X108" s="1095">
        <f>AA34*($AB$107/12)</f>
        <v>496561.67212248791</v>
      </c>
      <c r="Y108" s="1096"/>
      <c r="Z108" s="1055">
        <f>AB34*($AB$107/12)</f>
        <v>425639.20247632917</v>
      </c>
      <c r="AA108" s="1097">
        <f t="shared" si="4"/>
        <v>4907613.8275464717</v>
      </c>
      <c r="AB108" s="1098"/>
      <c r="AC108" s="820"/>
      <c r="AD108" s="1074"/>
      <c r="AE108" s="826"/>
      <c r="AF108" s="825"/>
      <c r="AK108" s="613" t="s">
        <v>2437</v>
      </c>
    </row>
    <row r="109" spans="1:41">
      <c r="B109" s="904">
        <v>105</v>
      </c>
      <c r="C109" s="1085" t="s">
        <v>2889</v>
      </c>
      <c r="D109" s="1082">
        <f>D35*($AB$107/12)</f>
        <v>158068.55934762911</v>
      </c>
      <c r="E109" s="1082"/>
      <c r="F109" s="1082">
        <f>F35*($AB$107/12)</f>
        <v>172131.15372999094</v>
      </c>
      <c r="G109" s="1082"/>
      <c r="H109" s="1082">
        <f t="shared" si="6"/>
        <v>202976.74418604653</v>
      </c>
      <c r="I109" s="1082"/>
      <c r="J109" s="1082">
        <f t="shared" si="6"/>
        <v>82179.792847371515</v>
      </c>
      <c r="K109" s="1082"/>
      <c r="L109" s="1082">
        <f t="shared" si="6"/>
        <v>25083.451985445339</v>
      </c>
      <c r="M109" s="1082"/>
      <c r="N109" s="1082">
        <f t="shared" si="6"/>
        <v>40215.946843853824</v>
      </c>
      <c r="O109" s="1082"/>
      <c r="P109" s="1082">
        <f t="shared" si="6"/>
        <v>62799.687316787182</v>
      </c>
      <c r="Q109" s="1082"/>
      <c r="R109" s="1082">
        <f t="shared" si="6"/>
        <v>57516.144686251821</v>
      </c>
      <c r="S109" s="1082"/>
      <c r="T109" s="1082">
        <f>T35*($AB$107/12)</f>
        <v>35539.960431520405</v>
      </c>
      <c r="U109" s="1082"/>
      <c r="V109" s="1082">
        <f t="shared" si="6"/>
        <v>75578.782336033444</v>
      </c>
      <c r="W109" s="1094"/>
      <c r="X109" s="1095">
        <f>AA35*($AB$107/12)</f>
        <v>154778.21182140123</v>
      </c>
      <c r="Y109" s="1096"/>
      <c r="Z109" s="1055">
        <f>AB35*($AB$107/12)</f>
        <v>137160.20671834625</v>
      </c>
      <c r="AA109" s="1097">
        <f t="shared" si="4"/>
        <v>1204028.6422506776</v>
      </c>
      <c r="AB109" s="1079"/>
      <c r="AC109" s="820"/>
      <c r="AD109" s="1074"/>
      <c r="AE109" s="826"/>
      <c r="AF109" s="825"/>
      <c r="AK109" s="1832" t="s">
        <v>3388</v>
      </c>
      <c r="AL109" s="1833" t="s">
        <v>3389</v>
      </c>
      <c r="AM109" s="1833" t="s">
        <v>3393</v>
      </c>
      <c r="AN109" s="1844" t="s">
        <v>3391</v>
      </c>
      <c r="AO109" s="1845" t="s">
        <v>3392</v>
      </c>
    </row>
    <row r="110" spans="1:41" ht="15" thickBot="1">
      <c r="B110" s="904">
        <v>106</v>
      </c>
      <c r="C110" s="1085" t="s">
        <v>3010</v>
      </c>
      <c r="D110" s="1082">
        <f>SUM(D107:D109)</f>
        <v>1849700.1416352973</v>
      </c>
      <c r="E110" s="1082"/>
      <c r="F110" s="1082">
        <f t="shared" ref="F110:Z110" si="7">SUM(F107:F109)</f>
        <v>1895585.1905493443</v>
      </c>
      <c r="G110" s="1082"/>
      <c r="H110" s="1082">
        <f t="shared" si="7"/>
        <v>1994554.8082126912</v>
      </c>
      <c r="I110" s="1082"/>
      <c r="J110" s="1082">
        <f t="shared" si="7"/>
        <v>1448353.0417596346</v>
      </c>
      <c r="K110" s="1082"/>
      <c r="L110" s="1082">
        <f t="shared" si="7"/>
        <v>1028426.7247027312</v>
      </c>
      <c r="M110" s="1082"/>
      <c r="N110" s="1082">
        <f t="shared" si="7"/>
        <v>808913.50927286583</v>
      </c>
      <c r="O110" s="1082"/>
      <c r="P110" s="1082">
        <f t="shared" si="7"/>
        <v>763750.32345110737</v>
      </c>
      <c r="Q110" s="1082"/>
      <c r="R110" s="1082">
        <f t="shared" si="7"/>
        <v>761037.12822032208</v>
      </c>
      <c r="S110" s="1082"/>
      <c r="T110" s="1082">
        <f t="shared" si="7"/>
        <v>675188.24429985625</v>
      </c>
      <c r="U110" s="1082"/>
      <c r="V110" s="1082">
        <f t="shared" si="7"/>
        <v>1127067.6379157584</v>
      </c>
      <c r="W110" s="1094"/>
      <c r="X110" s="1099">
        <f>SUM(X107:X109)</f>
        <v>1507358.7101978862</v>
      </c>
      <c r="Y110" s="1100"/>
      <c r="Z110" s="1101">
        <f t="shared" si="7"/>
        <v>1645023.624128381</v>
      </c>
      <c r="AA110" s="1102">
        <f>SUM(D110:Z110)</f>
        <v>15504959.084345875</v>
      </c>
      <c r="AB110" s="1079"/>
      <c r="AC110" s="820"/>
      <c r="AD110" s="1074"/>
      <c r="AE110" s="826"/>
      <c r="AF110" s="825"/>
      <c r="AK110" s="1835">
        <f>SUM(D26:Z32)</f>
        <v>18088844.575832922</v>
      </c>
      <c r="AL110" s="1834">
        <f>SUM(D26:Z28)</f>
        <v>2924230.6380927628</v>
      </c>
      <c r="AM110" s="1834">
        <f>AK110-AL110</f>
        <v>15164613.937740158</v>
      </c>
      <c r="AN110" s="1842">
        <f>'Exh 5, Decoupling'!G42</f>
        <v>15504959.084345875</v>
      </c>
      <c r="AO110" s="1838">
        <v>12658854.586253112</v>
      </c>
    </row>
    <row r="111" spans="1:41">
      <c r="B111" s="904">
        <v>107</v>
      </c>
      <c r="C111" s="1103">
        <v>570</v>
      </c>
      <c r="D111" s="1104"/>
      <c r="E111" s="1104"/>
      <c r="F111" s="1104"/>
      <c r="G111" s="1104"/>
      <c r="H111" s="1104"/>
      <c r="I111" s="1104"/>
      <c r="J111" s="1104"/>
      <c r="K111" s="1104"/>
      <c r="L111" s="1104"/>
      <c r="M111" s="1104"/>
      <c r="N111" s="1104"/>
      <c r="O111" s="1104"/>
      <c r="P111" s="1104"/>
      <c r="Q111" s="1104"/>
      <c r="R111" s="1104"/>
      <c r="S111" s="1104"/>
      <c r="T111" s="1104"/>
      <c r="U111" s="1104"/>
      <c r="V111" s="1104"/>
      <c r="W111" s="1104"/>
      <c r="X111" s="1104"/>
      <c r="Y111" s="1104"/>
      <c r="Z111" s="1105"/>
      <c r="AA111" s="1073"/>
      <c r="AB111" s="1079"/>
      <c r="AC111" s="820"/>
      <c r="AD111" s="1074"/>
      <c r="AE111" s="826"/>
      <c r="AF111" s="825"/>
      <c r="AK111" s="1837"/>
      <c r="AL111" s="1834"/>
      <c r="AM111" s="1834"/>
      <c r="AN111" s="1"/>
      <c r="AO111" s="1839"/>
    </row>
    <row r="112" spans="1:41">
      <c r="B112" s="904">
        <v>108</v>
      </c>
      <c r="C112" s="998" t="s">
        <v>2709</v>
      </c>
      <c r="D112" s="1047">
        <f>D40*($AB$112/12)</f>
        <v>121886.13046231792</v>
      </c>
      <c r="E112" s="1047"/>
      <c r="F112" s="1047">
        <f>F40*($AB$112/12)</f>
        <v>121680.05066497781</v>
      </c>
      <c r="G112" s="1047"/>
      <c r="H112" s="1047">
        <f>H40*($AB$112/12)</f>
        <v>123408.99303356554</v>
      </c>
      <c r="I112" s="1047"/>
      <c r="J112" s="1047">
        <f>J40*($AB$112/12)</f>
        <v>118029.8923369221</v>
      </c>
      <c r="K112" s="1047"/>
      <c r="L112" s="1047">
        <f>L40*($AB$112/12)</f>
        <v>117574.73988962271</v>
      </c>
      <c r="M112" s="1047"/>
      <c r="N112" s="1047">
        <f>N40*($AB$112/12)</f>
        <v>103179.37211616755</v>
      </c>
      <c r="O112" s="1047"/>
      <c r="P112" s="1047">
        <f>P40*($AB$112/12)</f>
        <v>91853.722971139054</v>
      </c>
      <c r="Q112" s="1047"/>
      <c r="R112" s="1047">
        <f>R40*($AB$112/12)</f>
        <v>99416.972767574407</v>
      </c>
      <c r="S112" s="1047"/>
      <c r="T112" s="1047">
        <f>T40*($AB$112/12)</f>
        <v>76300.949968334389</v>
      </c>
      <c r="U112" s="1047"/>
      <c r="V112" s="1047">
        <f>V40*($AB$112/12)</f>
        <v>80596.960101329954</v>
      </c>
      <c r="W112" s="1047"/>
      <c r="X112" s="1047">
        <f>X40*($AB$112/12)</f>
        <v>134706.01646611778</v>
      </c>
      <c r="Y112" s="1047"/>
      <c r="Z112" s="1047">
        <f>Z40*($AB$112/12)</f>
        <v>112878.91070297657</v>
      </c>
      <c r="AA112" s="1073">
        <f>SUM(D112:Z112)</f>
        <v>1301512.7114810457</v>
      </c>
      <c r="AB112" s="1079">
        <f>SUM('1501 Summary'!$AB$199)*12</f>
        <v>96</v>
      </c>
      <c r="AC112" s="1106">
        <f>SUM('1501 Summary'!F199,'1501 Summary'!H199,'1501 Summary'!J199,'1501 Summary'!L199,'1501 Summary'!N199,'1501 Summary'!P199,'1501 Summary'!R199,'1501 Summary'!T199,'1501 Summary'!V199,'1501 Summary'!X199,'1501 Summary'!Z199,'1501 Summary'!AB199)/12</f>
        <v>7.75</v>
      </c>
      <c r="AD112" s="1074">
        <f>SUM('2020 New Customers'!I18)*12</f>
        <v>84</v>
      </c>
      <c r="AE112" s="826"/>
      <c r="AF112" s="1011">
        <f>AD112-AB112</f>
        <v>-12</v>
      </c>
      <c r="AK112" s="1837"/>
      <c r="AL112" s="1841"/>
      <c r="AM112" s="1843" t="s">
        <v>3390</v>
      </c>
      <c r="AN112" s="1834">
        <f>AN110-AM110</f>
        <v>340345.14660571702</v>
      </c>
      <c r="AO112" s="1836">
        <f>AO110-AM110</f>
        <v>-2505759.3514870461</v>
      </c>
    </row>
    <row r="113" spans="2:41">
      <c r="B113" s="904">
        <v>109</v>
      </c>
      <c r="C113" s="998" t="s">
        <v>2710</v>
      </c>
      <c r="D113" s="1047">
        <f>D41*($AB$112/12)</f>
        <v>138595.64056939504</v>
      </c>
      <c r="E113" s="1047"/>
      <c r="F113" s="1047">
        <f>F41*($AB$112/12)</f>
        <v>137130.78291814946</v>
      </c>
      <c r="G113" s="1047"/>
      <c r="H113" s="1047">
        <f>H41*($AB$112/12)</f>
        <v>146774.91103202847</v>
      </c>
      <c r="I113" s="1047"/>
      <c r="J113" s="1047">
        <f>J41*($AB$112/12)</f>
        <v>130114.76868327403</v>
      </c>
      <c r="K113" s="1047"/>
      <c r="L113" s="1047">
        <f>L41*($AB$112/12)</f>
        <v>101244.534824606</v>
      </c>
      <c r="M113" s="1047"/>
      <c r="N113" s="1047">
        <f>N41*($AB$112/12)</f>
        <v>59399.084900864269</v>
      </c>
      <c r="O113" s="1047"/>
      <c r="P113" s="1047">
        <f>P41*($AB$112/12)</f>
        <v>34988.815455007629</v>
      </c>
      <c r="Q113" s="1047"/>
      <c r="R113" s="1047">
        <f>R41*($AB$112/12)</f>
        <v>20611.20996441281</v>
      </c>
      <c r="S113" s="1047"/>
      <c r="T113" s="1047">
        <f>T41*($AB$112/12)</f>
        <v>17325.177935943062</v>
      </c>
      <c r="U113" s="1047"/>
      <c r="V113" s="1047">
        <f>V41*($AB$112/12)</f>
        <v>30845.195729537365</v>
      </c>
      <c r="W113" s="1047"/>
      <c r="X113" s="1047">
        <f>X41*($AB$112/12)</f>
        <v>98114.32384341638</v>
      </c>
      <c r="Y113" s="1047"/>
      <c r="Z113" s="1047">
        <f>Z41*($AB$112/12)</f>
        <v>117354.09252669038</v>
      </c>
      <c r="AA113" s="1073">
        <f t="shared" si="4"/>
        <v>1032498.538383325</v>
      </c>
      <c r="AB113" s="1079"/>
      <c r="AE113" s="826"/>
      <c r="AF113" s="825"/>
      <c r="AK113" s="1837"/>
      <c r="AL113" s="1"/>
      <c r="AM113" s="1"/>
      <c r="AN113" s="1"/>
      <c r="AO113" s="1839"/>
    </row>
    <row r="114" spans="2:41">
      <c r="B114" s="904">
        <v>110</v>
      </c>
      <c r="C114" s="1046" t="s">
        <v>3011</v>
      </c>
      <c r="D114" s="1107">
        <f>SUM(D112:D113)</f>
        <v>260481.77103171294</v>
      </c>
      <c r="E114" s="1107"/>
      <c r="F114" s="1107">
        <f t="shared" ref="F114:Z114" si="8">SUM(F112:F113)</f>
        <v>258810.83358312727</v>
      </c>
      <c r="G114" s="1107"/>
      <c r="H114" s="1107">
        <f t="shared" si="8"/>
        <v>270183.90406559402</v>
      </c>
      <c r="I114" s="1107"/>
      <c r="J114" s="1107">
        <f t="shared" si="8"/>
        <v>248144.66102019613</v>
      </c>
      <c r="K114" s="1107"/>
      <c r="L114" s="1107">
        <f t="shared" si="8"/>
        <v>218819.2747142287</v>
      </c>
      <c r="M114" s="1107"/>
      <c r="N114" s="1107">
        <f t="shared" si="8"/>
        <v>162578.45701703182</v>
      </c>
      <c r="O114" s="1107"/>
      <c r="P114" s="1107">
        <f t="shared" si="8"/>
        <v>126842.53842614668</v>
      </c>
      <c r="Q114" s="1107"/>
      <c r="R114" s="1107">
        <f t="shared" si="8"/>
        <v>120028.18273198721</v>
      </c>
      <c r="S114" s="1107"/>
      <c r="T114" s="1107">
        <f t="shared" si="8"/>
        <v>93626.127904277455</v>
      </c>
      <c r="U114" s="1107"/>
      <c r="V114" s="1107">
        <f t="shared" si="8"/>
        <v>111442.15583086733</v>
      </c>
      <c r="W114" s="1107"/>
      <c r="X114" s="1107">
        <f t="shared" si="8"/>
        <v>232820.34030953416</v>
      </c>
      <c r="Y114" s="1107"/>
      <c r="Z114" s="1108">
        <f t="shared" si="8"/>
        <v>230233.00322966697</v>
      </c>
      <c r="AA114" s="1073">
        <f t="shared" si="4"/>
        <v>2334011.2498643706</v>
      </c>
      <c r="AB114" s="1079"/>
      <c r="AE114" s="826"/>
      <c r="AF114" s="825"/>
      <c r="AK114" s="1779"/>
      <c r="AL114" s="1840"/>
      <c r="AM114" s="1729"/>
      <c r="AN114" s="1846">
        <f>AN112/AM110</f>
        <v>2.2443376930203308E-2</v>
      </c>
      <c r="AO114" s="1847">
        <f>AO112/AM110</f>
        <v>-0.16523726629472349</v>
      </c>
    </row>
    <row r="115" spans="2:41">
      <c r="B115" s="904">
        <v>111</v>
      </c>
      <c r="C115" s="1109" t="s">
        <v>3012</v>
      </c>
      <c r="D115" s="1110"/>
      <c r="E115" s="1110"/>
      <c r="F115" s="1110"/>
      <c r="G115" s="1110"/>
      <c r="H115" s="1110"/>
      <c r="I115" s="1110"/>
      <c r="J115" s="1110"/>
      <c r="K115" s="1110"/>
      <c r="L115" s="1110"/>
      <c r="M115" s="1110"/>
      <c r="N115" s="1110"/>
      <c r="O115" s="1110"/>
      <c r="P115" s="1110"/>
      <c r="Q115" s="1110"/>
      <c r="R115" s="1110"/>
      <c r="S115" s="1110"/>
      <c r="T115" s="1110"/>
      <c r="U115" s="1110"/>
      <c r="V115" s="1110"/>
      <c r="W115" s="1110"/>
      <c r="X115" s="1110"/>
      <c r="Y115" s="1110"/>
      <c r="Z115" s="1111"/>
      <c r="AA115" s="1073"/>
      <c r="AB115" s="1079"/>
      <c r="AC115" s="1112" t="s">
        <v>3013</v>
      </c>
      <c r="AE115" s="826"/>
      <c r="AF115" s="1011">
        <f>SUM(AF99:AF112)</f>
        <v>44580</v>
      </c>
      <c r="AM115" s="826"/>
      <c r="AO115" s="824" t="s">
        <v>3394</v>
      </c>
    </row>
    <row r="116" spans="2:41">
      <c r="B116" s="904">
        <v>112</v>
      </c>
      <c r="C116" s="1113" t="s">
        <v>2998</v>
      </c>
      <c r="D116" s="988">
        <f>D90*($AB$116/12)</f>
        <v>10521998.855471125</v>
      </c>
      <c r="E116" s="988"/>
      <c r="F116" s="988">
        <f>F90*($AB$116/12)</f>
        <v>11715483.748935644</v>
      </c>
      <c r="G116" s="988"/>
      <c r="H116" s="988">
        <f t="shared" ref="H116:V119" si="9">H90*($AB$116/12)</f>
        <v>11007553.306405433</v>
      </c>
      <c r="I116" s="988"/>
      <c r="J116" s="988">
        <f t="shared" si="9"/>
        <v>10591103.70346237</v>
      </c>
      <c r="K116" s="988"/>
      <c r="L116" s="988">
        <f t="shared" si="9"/>
        <v>9550979.2292306572</v>
      </c>
      <c r="M116" s="988"/>
      <c r="N116" s="988">
        <f t="shared" si="9"/>
        <v>9121972.4962548055</v>
      </c>
      <c r="O116" s="988"/>
      <c r="P116" s="988">
        <f t="shared" si="9"/>
        <v>9508294.8895266354</v>
      </c>
      <c r="Q116" s="988"/>
      <c r="R116" s="988">
        <f t="shared" si="9"/>
        <v>9618720.9453156162</v>
      </c>
      <c r="S116" s="988"/>
      <c r="T116" s="988">
        <f t="shared" si="9"/>
        <v>9534734.4633565266</v>
      </c>
      <c r="U116" s="988"/>
      <c r="V116" s="988">
        <f t="shared" si="9"/>
        <v>10552838.762238255</v>
      </c>
      <c r="W116" s="988"/>
      <c r="X116" s="988">
        <f>X90*($AB$116/12)</f>
        <v>12100686.995915672</v>
      </c>
      <c r="Y116" s="988"/>
      <c r="Z116" s="988">
        <f>Z90*($AB$116/12)</f>
        <v>11515344.711324476</v>
      </c>
      <c r="AA116" s="1073">
        <f>SUM(D116:Z116)</f>
        <v>125339712.10743719</v>
      </c>
      <c r="AB116" s="1114">
        <f>SUM('1501 Summary'!$AB$220,'1501 Summary'!$AB$249,'1501 Summary'!$AB$319,'1501 Summary'!$AB$339,'1501 Summary'!$AB$358)*12+AC116</f>
        <v>2246</v>
      </c>
      <c r="AC116" s="1115">
        <f>'1501 Summary'!$AB$74*2</f>
        <v>14</v>
      </c>
      <c r="AE116" s="826"/>
      <c r="AF116" s="1011">
        <f>AF115/12</f>
        <v>3715</v>
      </c>
    </row>
    <row r="117" spans="2:41">
      <c r="B117" s="904">
        <v>113</v>
      </c>
      <c r="C117" s="1113" t="s">
        <v>2999</v>
      </c>
      <c r="D117" s="1116">
        <f>D91*($AB$116/12)</f>
        <v>8252243.6330405623</v>
      </c>
      <c r="E117" s="1116"/>
      <c r="F117" s="1116">
        <f>F91*($AB$116/12)</f>
        <v>8998780.2753114402</v>
      </c>
      <c r="G117" s="1116"/>
      <c r="H117" s="1116">
        <f t="shared" si="9"/>
        <v>8020727.1341670072</v>
      </c>
      <c r="I117" s="1116"/>
      <c r="J117" s="1116">
        <f t="shared" si="9"/>
        <v>7877025.7053476069</v>
      </c>
      <c r="K117" s="1116"/>
      <c r="L117" s="1116">
        <f t="shared" si="9"/>
        <v>7578775.0087587005</v>
      </c>
      <c r="M117" s="1116"/>
      <c r="N117" s="1116">
        <f t="shared" si="9"/>
        <v>7432189.8021595757</v>
      </c>
      <c r="O117" s="1116"/>
      <c r="P117" s="1116">
        <f t="shared" si="9"/>
        <v>9289782.0921993442</v>
      </c>
      <c r="Q117" s="1116"/>
      <c r="R117" s="1116">
        <f t="shared" si="9"/>
        <v>7483685.2937301258</v>
      </c>
      <c r="S117" s="1116"/>
      <c r="T117" s="1116">
        <f t="shared" si="9"/>
        <v>7385463.6858333992</v>
      </c>
      <c r="U117" s="1116"/>
      <c r="V117" s="1116">
        <f t="shared" si="9"/>
        <v>8037514.6231732806</v>
      </c>
      <c r="W117" s="1116"/>
      <c r="X117" s="1116">
        <f>X91*($AB$116/12)</f>
        <v>9770494.1335381027</v>
      </c>
      <c r="Y117" s="1116"/>
      <c r="Z117" s="1116">
        <f>Z91*($AB$116/12)</f>
        <v>8720646.2900286652</v>
      </c>
      <c r="AA117" s="1073">
        <f t="shared" si="4"/>
        <v>98847327.677287802</v>
      </c>
      <c r="AB117" s="1079"/>
      <c r="AC117" s="824"/>
      <c r="AE117" s="826"/>
    </row>
    <row r="118" spans="2:41">
      <c r="B118" s="904">
        <v>114</v>
      </c>
      <c r="C118" s="1113" t="s">
        <v>2999</v>
      </c>
      <c r="D118" s="1116">
        <f>D92*($AB$116/12)</f>
        <v>3149577.1276753638</v>
      </c>
      <c r="E118" s="1116"/>
      <c r="F118" s="1116">
        <f>F92*($AB$116/12)</f>
        <v>3295996.8326060497</v>
      </c>
      <c r="G118" s="1116"/>
      <c r="H118" s="1116">
        <f t="shared" si="9"/>
        <v>3232011.0378487422</v>
      </c>
      <c r="I118" s="1116"/>
      <c r="J118" s="1116">
        <f t="shared" si="9"/>
        <v>2944406.8560745097</v>
      </c>
      <c r="K118" s="1116"/>
      <c r="L118" s="1116">
        <f t="shared" si="9"/>
        <v>2888237.2941416181</v>
      </c>
      <c r="M118" s="1116"/>
      <c r="N118" s="1116">
        <f t="shared" si="9"/>
        <v>2952279.6020620181</v>
      </c>
      <c r="O118" s="1116"/>
      <c r="P118" s="1116">
        <f t="shared" si="9"/>
        <v>389930.55555555556</v>
      </c>
      <c r="Q118" s="1116"/>
      <c r="R118" s="1116">
        <f t="shared" si="9"/>
        <v>2710866.8291149652</v>
      </c>
      <c r="S118" s="1116"/>
      <c r="T118" s="1116">
        <f t="shared" si="9"/>
        <v>2851684.7373192413</v>
      </c>
      <c r="U118" s="1116"/>
      <c r="V118" s="1116">
        <f t="shared" si="9"/>
        <v>3010093.8737495169</v>
      </c>
      <c r="W118" s="1116"/>
      <c r="X118" s="1116">
        <f>X92*($AB$116/12)</f>
        <v>3302694.8243075395</v>
      </c>
      <c r="Y118" s="1116"/>
      <c r="Z118" s="1116">
        <f>Z92*($AB$116/12)</f>
        <v>2661913.6575661954</v>
      </c>
      <c r="AA118" s="1073">
        <f t="shared" si="4"/>
        <v>33389693.228021316</v>
      </c>
      <c r="AB118" s="1079"/>
      <c r="AC118" s="826"/>
      <c r="AE118" s="826"/>
    </row>
    <row r="119" spans="2:41">
      <c r="B119" s="904">
        <v>115</v>
      </c>
      <c r="C119" s="1117" t="s">
        <v>3000</v>
      </c>
      <c r="D119" s="1118">
        <f>D93*($AB$116/12)</f>
        <v>30572327.936364483</v>
      </c>
      <c r="E119" s="1118"/>
      <c r="F119" s="1118">
        <f>F93*($AB$116/12)</f>
        <v>31373629.68735094</v>
      </c>
      <c r="G119" s="1118"/>
      <c r="H119" s="1118">
        <f t="shared" si="9"/>
        <v>25396598.899957322</v>
      </c>
      <c r="I119" s="1118"/>
      <c r="J119" s="1118">
        <f t="shared" si="9"/>
        <v>24866449.589749377</v>
      </c>
      <c r="K119" s="1118"/>
      <c r="L119" s="1118">
        <f t="shared" si="9"/>
        <v>21125245.050499029</v>
      </c>
      <c r="M119" s="1118"/>
      <c r="N119" s="1118">
        <f t="shared" si="9"/>
        <v>18807578.006278463</v>
      </c>
      <c r="O119" s="1118"/>
      <c r="P119" s="1118">
        <f t="shared" si="9"/>
        <v>25722643.256308071</v>
      </c>
      <c r="Q119" s="1118"/>
      <c r="R119" s="1118">
        <f t="shared" si="9"/>
        <v>43650144.187648274</v>
      </c>
      <c r="S119" s="1118"/>
      <c r="T119" s="1118">
        <f t="shared" si="9"/>
        <v>52637116.441899098</v>
      </c>
      <c r="U119" s="1118"/>
      <c r="V119" s="1118">
        <f t="shared" si="9"/>
        <v>48542528.047402754</v>
      </c>
      <c r="W119" s="1118"/>
      <c r="X119" s="1118">
        <f>X93*($AB$116/12)</f>
        <v>27731216.097135521</v>
      </c>
      <c r="Y119" s="1118"/>
      <c r="Z119" s="1118">
        <f>Z93*($AB$116/12)</f>
        <v>32588357.842701416</v>
      </c>
      <c r="AA119" s="1073">
        <f t="shared" si="4"/>
        <v>383013835.04329479</v>
      </c>
      <c r="AB119" s="1079"/>
    </row>
    <row r="120" spans="2:41">
      <c r="B120" s="904">
        <v>116</v>
      </c>
      <c r="C120" s="987" t="s">
        <v>3014</v>
      </c>
      <c r="D120" s="988">
        <f>SUM(D116:D119)</f>
        <v>52496147.552551538</v>
      </c>
      <c r="E120" s="988"/>
      <c r="F120" s="988">
        <f t="shared" ref="F120:Z120" si="10">SUM(F116:F119)</f>
        <v>55383890.544204071</v>
      </c>
      <c r="G120" s="988"/>
      <c r="H120" s="988">
        <f t="shared" si="10"/>
        <v>47656890.378378503</v>
      </c>
      <c r="I120" s="988"/>
      <c r="J120" s="988">
        <f t="shared" si="10"/>
        <v>46278985.85463386</v>
      </c>
      <c r="K120" s="988"/>
      <c r="L120" s="988">
        <f t="shared" si="10"/>
        <v>41143236.582630008</v>
      </c>
      <c r="M120" s="988"/>
      <c r="N120" s="988">
        <f t="shared" si="10"/>
        <v>38314019.906754866</v>
      </c>
      <c r="O120" s="988"/>
      <c r="P120" s="988">
        <f t="shared" si="10"/>
        <v>44910650.793589607</v>
      </c>
      <c r="Q120" s="988"/>
      <c r="R120" s="988">
        <f t="shared" si="10"/>
        <v>63463417.255808979</v>
      </c>
      <c r="S120" s="988"/>
      <c r="T120" s="988">
        <f t="shared" si="10"/>
        <v>72408999.328408271</v>
      </c>
      <c r="U120" s="988"/>
      <c r="V120" s="988">
        <f t="shared" si="10"/>
        <v>70142975.30656381</v>
      </c>
      <c r="W120" s="988"/>
      <c r="X120" s="988">
        <f t="shared" si="10"/>
        <v>52905092.050896838</v>
      </c>
      <c r="Y120" s="988"/>
      <c r="Z120" s="989">
        <f t="shared" si="10"/>
        <v>55486262.501620755</v>
      </c>
      <c r="AA120" s="1073">
        <f t="shared" si="4"/>
        <v>640590568.056041</v>
      </c>
      <c r="AB120" s="826"/>
      <c r="AC120" s="826"/>
    </row>
    <row r="121" spans="2:41" ht="15" thickBot="1">
      <c r="B121" s="904">
        <v>117</v>
      </c>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823"/>
      <c r="AA121" s="1119"/>
      <c r="AB121" s="826"/>
      <c r="AC121" s="826"/>
    </row>
    <row r="122" spans="2:41" ht="15" thickBot="1">
      <c r="B122" s="904">
        <v>118</v>
      </c>
    </row>
    <row r="123" spans="2:41">
      <c r="B123" s="904">
        <v>119</v>
      </c>
      <c r="C123" s="1879" t="s">
        <v>3015</v>
      </c>
      <c r="D123" s="1877"/>
      <c r="E123" s="1877"/>
      <c r="F123" s="1877"/>
      <c r="G123" s="1877"/>
      <c r="H123" s="1877"/>
      <c r="I123" s="1877"/>
      <c r="J123" s="1877"/>
      <c r="K123" s="1877"/>
      <c r="L123" s="1877"/>
      <c r="M123" s="1877"/>
      <c r="N123" s="1877"/>
      <c r="O123" s="1877"/>
      <c r="P123" s="1877"/>
      <c r="Q123" s="1877"/>
      <c r="R123" s="1877"/>
      <c r="S123" s="1877"/>
      <c r="T123" s="1877"/>
      <c r="U123" s="1877"/>
      <c r="V123" s="1877"/>
      <c r="W123" s="1877"/>
      <c r="X123" s="1877"/>
      <c r="Y123" s="1877"/>
      <c r="Z123" s="1878"/>
    </row>
    <row r="124" spans="2:41">
      <c r="B124" s="904">
        <v>120</v>
      </c>
      <c r="C124" s="904" t="s">
        <v>778</v>
      </c>
      <c r="D124" s="583" t="s">
        <v>776</v>
      </c>
      <c r="E124" s="583"/>
      <c r="F124" s="583" t="s">
        <v>777</v>
      </c>
      <c r="G124" s="583"/>
      <c r="H124" s="583" t="s">
        <v>780</v>
      </c>
      <c r="I124" s="583"/>
      <c r="J124" s="583" t="s">
        <v>781</v>
      </c>
      <c r="K124" s="583"/>
      <c r="L124" s="583" t="s">
        <v>782</v>
      </c>
      <c r="M124" s="583"/>
      <c r="N124" s="583" t="s">
        <v>783</v>
      </c>
      <c r="O124" s="583"/>
      <c r="P124" s="583" t="s">
        <v>784</v>
      </c>
      <c r="Q124" s="583"/>
      <c r="R124" s="583" t="s">
        <v>785</v>
      </c>
      <c r="S124" s="583"/>
      <c r="T124" s="583" t="s">
        <v>786</v>
      </c>
      <c r="U124" s="583"/>
      <c r="V124" s="583" t="s">
        <v>787</v>
      </c>
      <c r="W124" s="583"/>
      <c r="X124" s="583" t="s">
        <v>788</v>
      </c>
      <c r="Y124" s="583"/>
      <c r="Z124" s="822" t="s">
        <v>789</v>
      </c>
    </row>
    <row r="125" spans="2:41">
      <c r="B125" s="904">
        <v>121</v>
      </c>
      <c r="C125" s="1120" t="s">
        <v>2857</v>
      </c>
      <c r="D125" s="1069" t="s">
        <v>2950</v>
      </c>
      <c r="E125" s="1069"/>
      <c r="F125" s="1069" t="s">
        <v>2951</v>
      </c>
      <c r="G125" s="1069"/>
      <c r="H125" s="1069" t="s">
        <v>2952</v>
      </c>
      <c r="I125" s="1069"/>
      <c r="J125" s="1069" t="s">
        <v>2953</v>
      </c>
      <c r="K125" s="1069"/>
      <c r="L125" s="1069" t="s">
        <v>2520</v>
      </c>
      <c r="M125" s="1069"/>
      <c r="N125" s="1069" t="s">
        <v>2954</v>
      </c>
      <c r="O125" s="1069"/>
      <c r="P125" s="1069" t="s">
        <v>2955</v>
      </c>
      <c r="Q125" s="1069"/>
      <c r="R125" s="1069" t="s">
        <v>2956</v>
      </c>
      <c r="S125" s="1069"/>
      <c r="T125" s="1069" t="s">
        <v>2957</v>
      </c>
      <c r="U125" s="1069"/>
      <c r="V125" s="1069" t="s">
        <v>2958</v>
      </c>
      <c r="W125" s="1069"/>
      <c r="X125" s="1069" t="s">
        <v>2959</v>
      </c>
      <c r="Y125" s="1069"/>
      <c r="Z125" s="1070" t="s">
        <v>2960</v>
      </c>
    </row>
    <row r="126" spans="2:41">
      <c r="B126" s="904">
        <v>122</v>
      </c>
      <c r="C126" s="1121" t="s">
        <v>3005</v>
      </c>
      <c r="D126" s="1047">
        <f>D8*'2020 New Customers'!$C$18</f>
        <v>21869117.607295889</v>
      </c>
      <c r="E126" s="1047"/>
      <c r="F126" s="1047">
        <f>F8*'2020 New Customers'!$C$18</f>
        <v>17594425.082092583</v>
      </c>
      <c r="G126" s="1047"/>
      <c r="H126" s="1047">
        <f>H8*'2020 New Customers'!$C$18</f>
        <v>14813513.718579374</v>
      </c>
      <c r="I126" s="1047"/>
      <c r="J126" s="1047">
        <f>J8*'2020 New Customers'!$C$18</f>
        <v>9725984.1808207836</v>
      </c>
      <c r="K126" s="1047"/>
      <c r="L126" s="1047">
        <f>L8*'2020 New Customers'!$C$18</f>
        <v>6169089.3257769719</v>
      </c>
      <c r="M126" s="1047"/>
      <c r="N126" s="1047">
        <f>N8*'2020 New Customers'!$C$18</f>
        <v>3776414.7016849685</v>
      </c>
      <c r="O126" s="1047"/>
      <c r="P126" s="1047">
        <f>P8*'2020 New Customers'!$C$18</f>
        <v>3162330.23488387</v>
      </c>
      <c r="Q126" s="1047"/>
      <c r="R126" s="1047">
        <f>R8*'2020 New Customers'!$C$18</f>
        <v>3168825.1880605039</v>
      </c>
      <c r="S126" s="1047"/>
      <c r="T126" s="1047">
        <f>T8*'2020 New Customers'!$C$18</f>
        <v>4043976.2076835856</v>
      </c>
      <c r="U126" s="1047"/>
      <c r="V126" s="1047">
        <f>V8*'2020 New Customers'!$C$18</f>
        <v>9266302.5774808601</v>
      </c>
      <c r="W126" s="1047"/>
      <c r="X126" s="1047">
        <f>X8*'2020 New Customers'!$C$18</f>
        <v>17310858.885590747</v>
      </c>
      <c r="Y126" s="1047"/>
      <c r="Z126" s="1048">
        <f>Z8*'2020 New Customers'!$C$18</f>
        <v>23218631.906837601</v>
      </c>
      <c r="AA126" s="1073">
        <f>SUM(D126:Z126)</f>
        <v>134119469.61678773</v>
      </c>
    </row>
    <row r="127" spans="2:41">
      <c r="B127" s="904">
        <v>123</v>
      </c>
      <c r="C127" s="1122" t="s">
        <v>3006</v>
      </c>
      <c r="D127" s="1077">
        <f>D10*'2020 New Customers'!$D$18</f>
        <v>15068273.140168069</v>
      </c>
      <c r="E127" s="1077"/>
      <c r="F127" s="1077">
        <f>F10*'2020 New Customers'!$D$18</f>
        <v>12025556.096945286</v>
      </c>
      <c r="G127" s="1077"/>
      <c r="H127" s="1077">
        <f>H10*'2020 New Customers'!$D$18</f>
        <v>9581299.7224395573</v>
      </c>
      <c r="I127" s="1077"/>
      <c r="J127" s="1077">
        <f>J10*'2020 New Customers'!$D$18</f>
        <v>6227833.2331512291</v>
      </c>
      <c r="K127" s="1077"/>
      <c r="L127" s="1077">
        <f>L10*'2020 New Customers'!$D$18</f>
        <v>4539313.8298974214</v>
      </c>
      <c r="M127" s="1077"/>
      <c r="N127" s="1077">
        <f>N10*'2020 New Customers'!$D$18</f>
        <v>3208383.1040623947</v>
      </c>
      <c r="O127" s="1077"/>
      <c r="P127" s="1077">
        <f>P10*'2020 New Customers'!$D$18</f>
        <v>3176856.2230528356</v>
      </c>
      <c r="Q127" s="1077"/>
      <c r="R127" s="1077">
        <f>R10*'2020 New Customers'!$D$18</f>
        <v>3195261.0423083268</v>
      </c>
      <c r="S127" s="1077"/>
      <c r="T127" s="1077">
        <f>T10*'2020 New Customers'!$D$18</f>
        <v>3876058.0936916335</v>
      </c>
      <c r="U127" s="1077"/>
      <c r="V127" s="1077">
        <f>V10*'2020 New Customers'!$D$18</f>
        <v>7305174.1480830498</v>
      </c>
      <c r="W127" s="1077"/>
      <c r="X127" s="1077">
        <f>X10*'2020 New Customers'!$D$18</f>
        <v>11173201.664986398</v>
      </c>
      <c r="Y127" s="1077"/>
      <c r="Z127" s="1078">
        <f>Z10*'2020 New Customers'!$D$18</f>
        <v>14575684.739172081</v>
      </c>
      <c r="AA127" s="1073">
        <f t="shared" ref="AA127:AA141" si="11">SUM(D127:Z127)</f>
        <v>93952895.037958279</v>
      </c>
    </row>
    <row r="128" spans="2:41">
      <c r="B128" s="904">
        <v>124</v>
      </c>
      <c r="C128" s="1121">
        <v>505</v>
      </c>
      <c r="D128" s="1047"/>
      <c r="E128" s="1047"/>
      <c r="F128" s="1047"/>
      <c r="G128" s="1047"/>
      <c r="H128" s="1047"/>
      <c r="I128" s="1047"/>
      <c r="J128" s="1047"/>
      <c r="K128" s="1047"/>
      <c r="L128" s="1047"/>
      <c r="M128" s="1047"/>
      <c r="N128" s="1047"/>
      <c r="O128" s="1047"/>
      <c r="P128" s="1047"/>
      <c r="Q128" s="1047"/>
      <c r="R128" s="1047"/>
      <c r="S128" s="1047"/>
      <c r="T128" s="1047"/>
      <c r="U128" s="1047"/>
      <c r="V128" s="1047"/>
      <c r="W128" s="1047"/>
      <c r="X128" s="1047"/>
      <c r="Y128" s="1047"/>
      <c r="Z128" s="1048"/>
      <c r="AA128" s="1073"/>
    </row>
    <row r="129" spans="2:30">
      <c r="B129" s="904">
        <v>125</v>
      </c>
      <c r="C129" s="1121" t="s">
        <v>2681</v>
      </c>
      <c r="D129" s="1047">
        <f>D20*'2020 New Customers'!$E$18</f>
        <v>194340.07098025919</v>
      </c>
      <c r="E129" s="1047"/>
      <c r="F129" s="1047">
        <f>F20*'2020 New Customers'!$E$18</f>
        <v>198435.0250724245</v>
      </c>
      <c r="G129" s="1047"/>
      <c r="H129" s="1047">
        <f>H20*'2020 New Customers'!$E$18</f>
        <v>205749.5769055803</v>
      </c>
      <c r="I129" s="1047"/>
      <c r="J129" s="1047">
        <f>J20*'2020 New Customers'!$E$18</f>
        <v>183273.59427443455</v>
      </c>
      <c r="K129" s="1047"/>
      <c r="L129" s="1047">
        <f>L20*'2020 New Customers'!$E$18</f>
        <v>141801.01412570136</v>
      </c>
      <c r="M129" s="1047"/>
      <c r="N129" s="1047">
        <f>N20*'2020 New Customers'!$E$18</f>
        <v>106600.76388016609</v>
      </c>
      <c r="O129" s="1047"/>
      <c r="P129" s="1047">
        <f>P20*'2020 New Customers'!$E$18</f>
        <v>90402.736365577541</v>
      </c>
      <c r="Q129" s="1047"/>
      <c r="R129" s="1047">
        <f>R20*'2020 New Customers'!$E$18</f>
        <v>84398.169395629971</v>
      </c>
      <c r="S129" s="1047"/>
      <c r="T129" s="1047">
        <f>T20*'2020 New Customers'!$E$18</f>
        <v>92092.139562676224</v>
      </c>
      <c r="U129" s="1047"/>
      <c r="V129" s="1047">
        <f>V20*'2020 New Customers'!$E$18</f>
        <v>133088.39782184863</v>
      </c>
      <c r="W129" s="1047"/>
      <c r="X129" s="1047">
        <f>X20*'2020 New Customers'!$E$18</f>
        <v>174658.5047865161</v>
      </c>
      <c r="Y129" s="1047"/>
      <c r="Z129" s="1048">
        <f>Z20*'2020 New Customers'!$E$18</f>
        <v>191214.32972942691</v>
      </c>
      <c r="AA129" s="1073">
        <f t="shared" si="11"/>
        <v>1796054.322900241</v>
      </c>
    </row>
    <row r="130" spans="2:30">
      <c r="B130" s="904">
        <v>126</v>
      </c>
      <c r="C130" s="1121" t="s">
        <v>2682</v>
      </c>
      <c r="D130" s="1047">
        <f>D21*'2020 New Customers'!$E$18</f>
        <v>698387.7119573321</v>
      </c>
      <c r="E130" s="1047"/>
      <c r="F130" s="1047">
        <f>F21*'2020 New Customers'!$E$18</f>
        <v>723016.34030108422</v>
      </c>
      <c r="G130" s="1047"/>
      <c r="H130" s="1047">
        <f>H21*'2020 New Customers'!$E$18</f>
        <v>768541.60303038161</v>
      </c>
      <c r="I130" s="1047"/>
      <c r="J130" s="1047">
        <f>J21*'2020 New Customers'!$E$18</f>
        <v>585399.82631121867</v>
      </c>
      <c r="K130" s="1047"/>
      <c r="L130" s="1047">
        <f>L21*'2020 New Customers'!$E$18</f>
        <v>412618.147901399</v>
      </c>
      <c r="M130" s="1047"/>
      <c r="N130" s="1047">
        <f>N21*'2020 New Customers'!$E$18</f>
        <v>303387.93231473467</v>
      </c>
      <c r="O130" s="1047"/>
      <c r="P130" s="1047">
        <f>P21*'2020 New Customers'!$E$18</f>
        <v>279357.09619900072</v>
      </c>
      <c r="Q130" s="1047"/>
      <c r="R130" s="1047">
        <f>R21*'2020 New Customers'!$E$18</f>
        <v>272356.05256572872</v>
      </c>
      <c r="S130" s="1047"/>
      <c r="T130" s="1047">
        <f>T21*'2020 New Customers'!$E$18</f>
        <v>298836.84950773552</v>
      </c>
      <c r="U130" s="1047"/>
      <c r="V130" s="1047">
        <f>V21*'2020 New Customers'!$E$18</f>
        <v>407885.21791435569</v>
      </c>
      <c r="W130" s="1047"/>
      <c r="X130" s="1047">
        <f>X21*'2020 New Customers'!$E$18</f>
        <v>542537.34133536008</v>
      </c>
      <c r="Y130" s="1047"/>
      <c r="Z130" s="1048">
        <f>Z21*'2020 New Customers'!$E$18</f>
        <v>663264.02434806665</v>
      </c>
      <c r="AA130" s="1073">
        <f t="shared" si="11"/>
        <v>5955588.143686397</v>
      </c>
    </row>
    <row r="131" spans="2:30">
      <c r="B131" s="904">
        <v>127</v>
      </c>
      <c r="C131" s="1121" t="s">
        <v>2683</v>
      </c>
      <c r="D131" s="1047">
        <f>D22*'2020 New Customers'!$E$18</f>
        <v>562177.83876820025</v>
      </c>
      <c r="E131" s="1047"/>
      <c r="F131" s="1047">
        <f>F22*'2020 New Customers'!$E$18</f>
        <v>725105.85736923234</v>
      </c>
      <c r="G131" s="1047"/>
      <c r="H131" s="1047">
        <f>H22*'2020 New Customers'!$E$18</f>
        <v>816782.44734708616</v>
      </c>
      <c r="I131" s="1047"/>
      <c r="J131" s="1047">
        <f>J22*'2020 New Customers'!$E$18</f>
        <v>582014.37290593912</v>
      </c>
      <c r="K131" s="1047"/>
      <c r="L131" s="1047">
        <f>L22*'2020 New Customers'!$E$18</f>
        <v>257597.30651931031</v>
      </c>
      <c r="M131" s="1047"/>
      <c r="N131" s="1047">
        <f>N22*'2020 New Customers'!$E$18</f>
        <v>175201.87107495344</v>
      </c>
      <c r="O131" s="1047"/>
      <c r="P131" s="1047">
        <f>P22*'2020 New Customers'!$E$18</f>
        <v>178651.78946509288</v>
      </c>
      <c r="Q131" s="1047"/>
      <c r="R131" s="1047">
        <f>R22*'2020 New Customers'!$E$18</f>
        <v>206663.57161042653</v>
      </c>
      <c r="S131" s="1047"/>
      <c r="T131" s="1047">
        <f>T22*'2020 New Customers'!$E$18</f>
        <v>271927.92957544461</v>
      </c>
      <c r="U131" s="1047"/>
      <c r="V131" s="1047">
        <f>V22*'2020 New Customers'!$E$18</f>
        <v>763197.04454235022</v>
      </c>
      <c r="W131" s="1047"/>
      <c r="X131" s="1047">
        <f>X22*'2020 New Customers'!$E$18</f>
        <v>453753.09697827091</v>
      </c>
      <c r="Y131" s="1047"/>
      <c r="Z131" s="1048">
        <f>Z22*'2020 New Customers'!$E$18</f>
        <v>568661.79001721169</v>
      </c>
      <c r="AA131" s="1073">
        <f t="shared" si="11"/>
        <v>5561734.9161735196</v>
      </c>
    </row>
    <row r="132" spans="2:30">
      <c r="B132" s="904">
        <v>128</v>
      </c>
      <c r="C132" s="1121" t="s">
        <v>3008</v>
      </c>
      <c r="D132" s="1047">
        <f>SUM(D129:D131)</f>
        <v>1454905.6217057914</v>
      </c>
      <c r="E132" s="1047"/>
      <c r="F132" s="1047">
        <f t="shared" ref="F132:Z132" si="12">SUM(F129:F131)</f>
        <v>1646557.222742741</v>
      </c>
      <c r="G132" s="1047"/>
      <c r="H132" s="1047">
        <f t="shared" si="12"/>
        <v>1791073.6272830481</v>
      </c>
      <c r="I132" s="1047"/>
      <c r="J132" s="1047">
        <f t="shared" si="12"/>
        <v>1350687.7934915924</v>
      </c>
      <c r="K132" s="1047"/>
      <c r="L132" s="1047">
        <f t="shared" si="12"/>
        <v>812016.46854641067</v>
      </c>
      <c r="M132" s="1047"/>
      <c r="N132" s="1047">
        <f t="shared" si="12"/>
        <v>585190.56726985425</v>
      </c>
      <c r="O132" s="1047"/>
      <c r="P132" s="1047">
        <f t="shared" si="12"/>
        <v>548411.62202967121</v>
      </c>
      <c r="Q132" s="1047"/>
      <c r="R132" s="1047">
        <f t="shared" si="12"/>
        <v>563417.79357178521</v>
      </c>
      <c r="S132" s="1047"/>
      <c r="T132" s="1047">
        <f t="shared" si="12"/>
        <v>662856.91864585644</v>
      </c>
      <c r="U132" s="1047"/>
      <c r="V132" s="1047">
        <f t="shared" si="12"/>
        <v>1304170.6602785545</v>
      </c>
      <c r="W132" s="1047"/>
      <c r="X132" s="1047">
        <f t="shared" si="12"/>
        <v>1170948.9431001469</v>
      </c>
      <c r="Y132" s="1047"/>
      <c r="Z132" s="1048">
        <f t="shared" si="12"/>
        <v>1423140.1440947051</v>
      </c>
      <c r="AA132" s="1073">
        <f>SUM(D132:Z132)</f>
        <v>13313377.38276016</v>
      </c>
    </row>
    <row r="133" spans="2:30" ht="15" thickBot="1">
      <c r="B133" s="904">
        <v>129</v>
      </c>
      <c r="C133" s="1123">
        <v>511</v>
      </c>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3"/>
      <c r="Y133" s="1083"/>
      <c r="Z133" s="1084"/>
      <c r="AA133" s="1073"/>
      <c r="AC133" s="824"/>
      <c r="AD133" s="824"/>
    </row>
    <row r="134" spans="2:30">
      <c r="B134" s="904">
        <v>130</v>
      </c>
      <c r="C134" s="1124" t="s">
        <v>2688</v>
      </c>
      <c r="D134" s="1086">
        <f>D33*SUM('2020 New Customers'!$F$18:$H$18)</f>
        <v>1165467.7932500159</v>
      </c>
      <c r="E134" s="1086"/>
      <c r="F134" s="1086">
        <f>F33*SUM('2020 New Customers'!$F$18:$H$18)</f>
        <v>1201867.9375753347</v>
      </c>
      <c r="G134" s="1086"/>
      <c r="H134" s="1086">
        <f>H33*SUM('2020 New Customers'!$F$18:$H$18)</f>
        <v>1233762.7169109094</v>
      </c>
      <c r="I134" s="1086"/>
      <c r="J134" s="1086">
        <f>J33*SUM('2020 New Customers'!$F$18:$H$18)</f>
        <v>919395.10282829113</v>
      </c>
      <c r="K134" s="1086"/>
      <c r="L134" s="1086">
        <f>L33*SUM('2020 New Customers'!$F$18:$H$18)</f>
        <v>643543.167015585</v>
      </c>
      <c r="M134" s="1086"/>
      <c r="N134" s="1086">
        <f>N33*SUM('2020 New Customers'!$F$18:$H$18)</f>
        <v>484703.14026517799</v>
      </c>
      <c r="O134" s="1086"/>
      <c r="P134" s="1086">
        <f>P33*SUM('2020 New Customers'!$F$18:$H$18)</f>
        <v>432701.58203686221</v>
      </c>
      <c r="Q134" s="1086"/>
      <c r="R134" s="1086">
        <f>R33*SUM('2020 New Customers'!$F$18:$H$18)</f>
        <v>429048.69253628358</v>
      </c>
      <c r="S134" s="1086"/>
      <c r="T134" s="1086">
        <f>T33*SUM('2020 New Customers'!$F$18:$H$18)</f>
        <v>387824.8084869489</v>
      </c>
      <c r="U134" s="1086"/>
      <c r="V134" s="1086">
        <f>V33*SUM('2020 New Customers'!$F$18:$H$18)</f>
        <v>639592.78327073704</v>
      </c>
      <c r="W134" s="1087"/>
      <c r="X134" s="1088">
        <f>AA33*SUM('2020 New Customers'!$F$18:$H$18)</f>
        <v>865530.14654570818</v>
      </c>
      <c r="Y134" s="1089"/>
      <c r="Z134" s="1125">
        <f>AB33*SUM('2020 New Customers'!$F$18:$H$18)</f>
        <v>1094248.9284329689</v>
      </c>
      <c r="AA134" s="1090">
        <f t="shared" si="11"/>
        <v>9497686.7991548236</v>
      </c>
      <c r="AC134" s="905"/>
      <c r="AD134" s="905"/>
    </row>
    <row r="135" spans="2:30">
      <c r="B135" s="904">
        <v>131</v>
      </c>
      <c r="C135" s="1124" t="s">
        <v>2689</v>
      </c>
      <c r="D135" s="1086">
        <f>D34*SUM('2020 New Customers'!$F$18:$H$18)</f>
        <v>544959.69550751522</v>
      </c>
      <c r="E135" s="1086"/>
      <c r="F135" s="1086">
        <f>F34*SUM('2020 New Customers'!$F$18:$H$18)</f>
        <v>540735.58854201157</v>
      </c>
      <c r="G135" s="1086"/>
      <c r="H135" s="1086">
        <f>H34*SUM('2020 New Customers'!$F$18:$H$18)</f>
        <v>577721.77004936477</v>
      </c>
      <c r="I135" s="1086"/>
      <c r="J135" s="1086">
        <f>J34*SUM('2020 New Customers'!$F$18:$H$18)</f>
        <v>461957.84884966369</v>
      </c>
      <c r="K135" s="1086"/>
      <c r="L135" s="1086">
        <f>L34*SUM('2020 New Customers'!$F$18:$H$18)</f>
        <v>370948.36428744841</v>
      </c>
      <c r="M135" s="1086"/>
      <c r="N135" s="1086">
        <f>N34*SUM('2020 New Customers'!$F$18:$H$18)</f>
        <v>292535.50619082304</v>
      </c>
      <c r="O135" s="1086"/>
      <c r="P135" s="1086">
        <f>P34*SUM('2020 New Customers'!$F$18:$H$18)</f>
        <v>276037.39449895034</v>
      </c>
      <c r="Q135" s="1086"/>
      <c r="R135" s="1086">
        <f>R34*SUM('2020 New Customers'!$F$18:$H$18)</f>
        <v>282289.19081483176</v>
      </c>
      <c r="S135" s="1086"/>
      <c r="T135" s="1086">
        <f>T34*SUM('2020 New Customers'!$F$18:$H$18)</f>
        <v>258930.67853547962</v>
      </c>
      <c r="U135" s="1086"/>
      <c r="V135" s="1086">
        <f>V34*SUM('2020 New Customers'!$F$18:$H$18)</f>
        <v>423579.28181542922</v>
      </c>
      <c r="W135" s="1087"/>
      <c r="X135" s="1126">
        <f>AA34*SUM('2020 New Customers'!$F$18:$H$18)</f>
        <v>502079.02403496002</v>
      </c>
      <c r="Y135" s="1055"/>
      <c r="Z135" s="1056">
        <f>AB34*SUM('2020 New Customers'!$F$18:$H$18)</f>
        <v>430368.52694828837</v>
      </c>
      <c r="AA135" s="1097">
        <f t="shared" si="11"/>
        <v>4962142.8700747658</v>
      </c>
      <c r="AC135" s="905"/>
      <c r="AD135" s="905"/>
    </row>
    <row r="136" spans="2:30">
      <c r="B136" s="904">
        <v>132</v>
      </c>
      <c r="C136" s="1124" t="s">
        <v>2889</v>
      </c>
      <c r="D136" s="1086">
        <f>D35*SUM('2020 New Customers'!$F$18:$H$18)</f>
        <v>159824.87667371388</v>
      </c>
      <c r="E136" s="1086"/>
      <c r="F136" s="1086">
        <f>F35*SUM('2020 New Customers'!$F$18:$H$18)</f>
        <v>174043.72210476862</v>
      </c>
      <c r="G136" s="1086"/>
      <c r="H136" s="1086">
        <f>H35*SUM('2020 New Customers'!$F$18:$H$18)</f>
        <v>205232.04134366926</v>
      </c>
      <c r="I136" s="1086"/>
      <c r="J136" s="1086">
        <f>J35*SUM('2020 New Customers'!$F$18:$H$18)</f>
        <v>83092.901656786751</v>
      </c>
      <c r="K136" s="1086"/>
      <c r="L136" s="1086">
        <f>L35*SUM('2020 New Customers'!$F$18:$H$18)</f>
        <v>25362.157007505844</v>
      </c>
      <c r="M136" s="1086"/>
      <c r="N136" s="1086">
        <f>N35*SUM('2020 New Customers'!$F$18:$H$18)</f>
        <v>40662.79069767442</v>
      </c>
      <c r="O136" s="1086"/>
      <c r="P136" s="1086">
        <f>P35*SUM('2020 New Customers'!$F$18:$H$18)</f>
        <v>63497.461620307033</v>
      </c>
      <c r="Q136" s="1086"/>
      <c r="R136" s="1086">
        <f>R35*SUM('2020 New Customers'!$F$18:$H$18)</f>
        <v>58155.212960543504</v>
      </c>
      <c r="S136" s="1086"/>
      <c r="T136" s="1086">
        <f>T35*SUM('2020 New Customers'!$F$18:$H$18)</f>
        <v>35934.84888075952</v>
      </c>
      <c r="U136" s="1086"/>
      <c r="V136" s="1086">
        <f>V35*SUM('2020 New Customers'!$F$18:$H$18)</f>
        <v>76418.546584211595</v>
      </c>
      <c r="W136" s="1087"/>
      <c r="X136" s="1126">
        <f>AA35*SUM('2020 New Customers'!$F$18:$H$18)</f>
        <v>156497.9697305279</v>
      </c>
      <c r="Y136" s="1055"/>
      <c r="Z136" s="1056">
        <f>AB35*SUM('2020 New Customers'!$F$18:$H$18)</f>
        <v>138684.20901521677</v>
      </c>
      <c r="AA136" s="1097">
        <f t="shared" si="11"/>
        <v>1217406.7382756851</v>
      </c>
      <c r="AC136" s="905"/>
      <c r="AD136" s="905"/>
    </row>
    <row r="137" spans="2:30" ht="15" thickBot="1">
      <c r="B137" s="904">
        <v>133</v>
      </c>
      <c r="C137" s="1124" t="s">
        <v>3010</v>
      </c>
      <c r="D137" s="1082">
        <f>SUM(D134:D136)</f>
        <v>1870252.365431245</v>
      </c>
      <c r="E137" s="1082"/>
      <c r="F137" s="1082">
        <f t="shared" ref="F137:V137" si="13">SUM(F134:F136)</f>
        <v>1916647.248222115</v>
      </c>
      <c r="G137" s="1082"/>
      <c r="H137" s="1082">
        <f t="shared" si="13"/>
        <v>2016716.5283039433</v>
      </c>
      <c r="I137" s="1082"/>
      <c r="J137" s="1082">
        <f t="shared" si="13"/>
        <v>1464445.8533347414</v>
      </c>
      <c r="K137" s="1082"/>
      <c r="L137" s="1082">
        <f t="shared" si="13"/>
        <v>1039853.6883105393</v>
      </c>
      <c r="M137" s="1082"/>
      <c r="N137" s="1082">
        <f t="shared" si="13"/>
        <v>817901.43715367548</v>
      </c>
      <c r="O137" s="1082"/>
      <c r="P137" s="1082">
        <f t="shared" si="13"/>
        <v>772236.43815611955</v>
      </c>
      <c r="Q137" s="1082"/>
      <c r="R137" s="1082">
        <f t="shared" si="13"/>
        <v>769493.09631165874</v>
      </c>
      <c r="S137" s="1082"/>
      <c r="T137" s="1082">
        <f t="shared" si="13"/>
        <v>682690.3359031881</v>
      </c>
      <c r="U137" s="1082"/>
      <c r="V137" s="1082">
        <f t="shared" si="13"/>
        <v>1139590.6116703779</v>
      </c>
      <c r="W137" s="1094"/>
      <c r="X137" s="1099">
        <f>SUM(X134:X136)</f>
        <v>1524107.140311196</v>
      </c>
      <c r="Y137" s="1100"/>
      <c r="Z137" s="1101">
        <f>SUM(Z134:Z136)</f>
        <v>1663301.6643964739</v>
      </c>
      <c r="AA137" s="1102">
        <f t="shared" si="11"/>
        <v>15677236.407505274</v>
      </c>
      <c r="AC137" s="905"/>
      <c r="AD137" s="905"/>
    </row>
    <row r="138" spans="2:30">
      <c r="B138" s="904">
        <v>134</v>
      </c>
      <c r="C138" s="1127">
        <v>570</v>
      </c>
      <c r="D138" s="1104"/>
      <c r="E138" s="1104"/>
      <c r="F138" s="1104"/>
      <c r="G138" s="1104"/>
      <c r="H138" s="1104"/>
      <c r="I138" s="1104"/>
      <c r="J138" s="1104"/>
      <c r="K138" s="1104"/>
      <c r="L138" s="1104"/>
      <c r="M138" s="1104"/>
      <c r="N138" s="1104"/>
      <c r="O138" s="1104"/>
      <c r="P138" s="1104"/>
      <c r="Q138" s="1104"/>
      <c r="R138" s="1104"/>
      <c r="S138" s="1104"/>
      <c r="T138" s="1104"/>
      <c r="U138" s="1104"/>
      <c r="V138" s="1104"/>
      <c r="W138" s="1104"/>
      <c r="X138" s="1104"/>
      <c r="Y138" s="1104"/>
      <c r="Z138" s="1105"/>
      <c r="AA138" s="1073"/>
    </row>
    <row r="139" spans="2:30">
      <c r="B139" s="904">
        <v>135</v>
      </c>
      <c r="C139" s="1128" t="s">
        <v>2709</v>
      </c>
      <c r="D139" s="1047">
        <f>D38*'2020 New Customers'!$I$18</f>
        <v>853202.91323622537</v>
      </c>
      <c r="E139" s="1047"/>
      <c r="F139" s="1047">
        <f>F38*'2020 New Customers'!$I$18</f>
        <v>851760.35465484462</v>
      </c>
      <c r="G139" s="1047"/>
      <c r="H139" s="1047">
        <f>H38*'2020 New Customers'!$I$18</f>
        <v>863862.95123495872</v>
      </c>
      <c r="I139" s="1047"/>
      <c r="J139" s="1047">
        <f>J38*'2020 New Customers'!$I$18</f>
        <v>826209.24635845469</v>
      </c>
      <c r="K139" s="1047"/>
      <c r="L139" s="1047">
        <f>L38*'2020 New Customers'!$I$18</f>
        <v>720145.28182393918</v>
      </c>
      <c r="M139" s="1047"/>
      <c r="N139" s="1047">
        <f>N38*'2020 New Customers'!$I$18</f>
        <v>631973.65421152627</v>
      </c>
      <c r="O139" s="1047"/>
      <c r="P139" s="1047">
        <f>P38*'2020 New Customers'!$I$18</f>
        <v>562604.05319822673</v>
      </c>
      <c r="Q139" s="1047"/>
      <c r="R139" s="1047">
        <f>R38*'2020 New Customers'!$I$18</f>
        <v>695918.80937302089</v>
      </c>
      <c r="S139" s="1047"/>
      <c r="T139" s="1047">
        <f>T38*'2020 New Customers'!$I$18</f>
        <v>534106.64977834071</v>
      </c>
      <c r="U139" s="1047"/>
      <c r="V139" s="1047">
        <f>V38*'2020 New Customers'!$I$18</f>
        <v>564178.72070930968</v>
      </c>
      <c r="W139" s="1047"/>
      <c r="X139" s="1047">
        <f>X38*'2020 New Customers'!$I$18</f>
        <v>942942.11526282446</v>
      </c>
      <c r="Y139" s="1047"/>
      <c r="Z139" s="1048">
        <f>Z38*'2020 New Customers'!$I$18</f>
        <v>790152.37492083595</v>
      </c>
      <c r="AA139" s="1073">
        <f t="shared" si="11"/>
        <v>8837057.1247625072</v>
      </c>
    </row>
    <row r="140" spans="2:30">
      <c r="B140" s="904">
        <v>136</v>
      </c>
      <c r="C140" s="1128" t="s">
        <v>2710</v>
      </c>
      <c r="D140" s="1047">
        <f>D39*'2020 New Customers'!$I$18</f>
        <v>970169.48398576526</v>
      </c>
      <c r="E140" s="1047"/>
      <c r="F140" s="1047">
        <f>F39*'2020 New Customers'!$I$18</f>
        <v>959915.48042704619</v>
      </c>
      <c r="G140" s="1047"/>
      <c r="H140" s="1047">
        <f>H39*'2020 New Customers'!$I$18</f>
        <v>1027424.3772241992</v>
      </c>
      <c r="I140" s="1047"/>
      <c r="J140" s="1047">
        <f>J39*'2020 New Customers'!$I$18</f>
        <v>910803.38078291819</v>
      </c>
      <c r="K140" s="1047"/>
      <c r="L140" s="1047">
        <f>L39*'2020 New Customers'!$I$18</f>
        <v>620122.77580071171</v>
      </c>
      <c r="M140" s="1047"/>
      <c r="N140" s="1047">
        <f>N39*'2020 New Customers'!$I$18</f>
        <v>363819.39501779363</v>
      </c>
      <c r="O140" s="1047"/>
      <c r="P140" s="1047">
        <f>P39*'2020 New Customers'!$I$18</f>
        <v>214306.49466192172</v>
      </c>
      <c r="Q140" s="1047"/>
      <c r="R140" s="1047">
        <f>R39*'2020 New Customers'!$I$18</f>
        <v>144278.46975088966</v>
      </c>
      <c r="S140" s="1047"/>
      <c r="T140" s="1047">
        <f>T39*'2020 New Customers'!$I$18</f>
        <v>121276.24555160143</v>
      </c>
      <c r="U140" s="1047"/>
      <c r="V140" s="1047">
        <f>V39*'2020 New Customers'!$I$18</f>
        <v>215916.37010676155</v>
      </c>
      <c r="W140" s="1047"/>
      <c r="X140" s="1047">
        <f>X39*'2020 New Customers'!$I$18</f>
        <v>686800.26690391463</v>
      </c>
      <c r="Y140" s="1047"/>
      <c r="Z140" s="1048">
        <f>Z39*'2020 New Customers'!$I$18</f>
        <v>821478.6476868327</v>
      </c>
      <c r="AA140" s="1073">
        <f t="shared" si="11"/>
        <v>7056311.3879003543</v>
      </c>
    </row>
    <row r="141" spans="2:30">
      <c r="B141" s="904">
        <v>137</v>
      </c>
      <c r="C141" s="1121" t="s">
        <v>3011</v>
      </c>
      <c r="D141" s="1107">
        <f>SUM(D139:D140)</f>
        <v>1823372.3972219906</v>
      </c>
      <c r="E141" s="1107"/>
      <c r="F141" s="1107">
        <f t="shared" ref="F141:Z141" si="14">SUM(F139:F140)</f>
        <v>1811675.8350818907</v>
      </c>
      <c r="G141" s="1107"/>
      <c r="H141" s="1107">
        <f t="shared" si="14"/>
        <v>1891287.3284591581</v>
      </c>
      <c r="I141" s="1107"/>
      <c r="J141" s="1107">
        <f t="shared" si="14"/>
        <v>1737012.6271413728</v>
      </c>
      <c r="K141" s="1107"/>
      <c r="L141" s="1107">
        <f t="shared" si="14"/>
        <v>1340268.0576246509</v>
      </c>
      <c r="M141" s="1107"/>
      <c r="N141" s="1107">
        <f t="shared" si="14"/>
        <v>995793.04922931991</v>
      </c>
      <c r="O141" s="1107"/>
      <c r="P141" s="1107">
        <f t="shared" si="14"/>
        <v>776910.54786014848</v>
      </c>
      <c r="Q141" s="1107"/>
      <c r="R141" s="1107">
        <f t="shared" si="14"/>
        <v>840197.27912391059</v>
      </c>
      <c r="S141" s="1107"/>
      <c r="T141" s="1107">
        <f t="shared" si="14"/>
        <v>655382.89532994211</v>
      </c>
      <c r="U141" s="1107"/>
      <c r="V141" s="1107">
        <f t="shared" si="14"/>
        <v>780095.09081607126</v>
      </c>
      <c r="W141" s="1107"/>
      <c r="X141" s="1107">
        <f t="shared" si="14"/>
        <v>1629742.3821667391</v>
      </c>
      <c r="Y141" s="1107"/>
      <c r="Z141" s="1108">
        <f t="shared" si="14"/>
        <v>1611631.0226076688</v>
      </c>
      <c r="AA141" s="1073">
        <f t="shared" si="11"/>
        <v>15893368.512662865</v>
      </c>
    </row>
    <row r="142" spans="2:30" ht="15" thickBot="1">
      <c r="B142" s="904">
        <v>138</v>
      </c>
      <c r="C142" s="1129"/>
      <c r="D142" s="1130"/>
      <c r="E142" s="1130"/>
      <c r="F142" s="1130"/>
      <c r="G142" s="1130"/>
      <c r="H142" s="1130"/>
      <c r="I142" s="1130"/>
      <c r="J142" s="1130"/>
      <c r="K142" s="1130"/>
      <c r="L142" s="1130"/>
      <c r="M142" s="1130"/>
      <c r="N142" s="1130"/>
      <c r="O142" s="1130"/>
      <c r="P142" s="1130"/>
      <c r="Q142" s="1130"/>
      <c r="R142" s="1130"/>
      <c r="S142" s="1130"/>
      <c r="T142" s="1130"/>
      <c r="U142" s="1130"/>
      <c r="V142" s="1130"/>
      <c r="W142" s="1130"/>
      <c r="X142" s="1130"/>
      <c r="Y142" s="1130"/>
      <c r="Z142" s="1131"/>
      <c r="AA142" s="1073"/>
    </row>
    <row r="143" spans="2:30">
      <c r="B143" s="904">
        <v>139</v>
      </c>
      <c r="C143" s="1132"/>
      <c r="D143" s="905"/>
      <c r="E143" s="905"/>
      <c r="F143" s="905"/>
      <c r="G143" s="905"/>
      <c r="H143" s="905"/>
      <c r="I143" s="905"/>
      <c r="J143" s="905"/>
      <c r="K143" s="905"/>
      <c r="L143" s="905"/>
      <c r="M143" s="905"/>
      <c r="N143" s="905"/>
      <c r="O143" s="905"/>
      <c r="P143" s="905"/>
      <c r="Q143" s="905"/>
      <c r="R143" s="905"/>
      <c r="S143" s="905"/>
      <c r="T143" s="905"/>
      <c r="U143" s="905"/>
      <c r="V143" s="905"/>
      <c r="W143" s="905"/>
      <c r="X143" s="905"/>
      <c r="Y143" s="905"/>
      <c r="Z143" s="905"/>
      <c r="AA143" s="1073"/>
    </row>
    <row r="144" spans="2:30">
      <c r="B144" s="1133">
        <v>140</v>
      </c>
      <c r="C144" s="1880" t="s">
        <v>3016</v>
      </c>
      <c r="D144" s="1881"/>
      <c r="E144" s="1881"/>
      <c r="F144" s="1881"/>
      <c r="G144" s="1881"/>
      <c r="H144" s="1881"/>
      <c r="I144" s="1881"/>
      <c r="J144" s="1881"/>
      <c r="K144" s="1881"/>
      <c r="L144" s="1881"/>
      <c r="M144" s="1881"/>
      <c r="N144" s="1881"/>
      <c r="O144" s="1881"/>
      <c r="P144" s="1881"/>
      <c r="Q144" s="1881"/>
      <c r="R144" s="1881"/>
      <c r="S144" s="1881"/>
      <c r="T144" s="1881"/>
      <c r="U144" s="1881"/>
      <c r="V144" s="1881"/>
      <c r="W144" s="1881"/>
      <c r="X144" s="1881"/>
      <c r="Y144" s="1881"/>
      <c r="Z144" s="1881"/>
      <c r="AA144" s="1134"/>
    </row>
    <row r="145" spans="2:29">
      <c r="B145" s="1133">
        <v>141</v>
      </c>
      <c r="C145" s="1135" t="s">
        <v>3012</v>
      </c>
      <c r="D145" s="907"/>
      <c r="E145" s="907"/>
      <c r="F145" s="907"/>
      <c r="G145" s="907"/>
      <c r="H145" s="907"/>
      <c r="I145" s="907"/>
      <c r="J145" s="1882" t="s">
        <v>3017</v>
      </c>
      <c r="K145" s="1882"/>
      <c r="L145" s="1882"/>
      <c r="M145" s="1882"/>
      <c r="N145" s="1882"/>
      <c r="O145" s="1882"/>
      <c r="P145" s="1882"/>
      <c r="Q145" s="907"/>
      <c r="R145" s="907"/>
      <c r="S145" s="907"/>
      <c r="T145" s="907"/>
      <c r="U145" s="907"/>
      <c r="V145" s="907"/>
      <c r="W145" s="907"/>
      <c r="X145" s="907"/>
      <c r="Y145" s="907"/>
      <c r="Z145" s="907"/>
      <c r="AA145" s="907"/>
    </row>
    <row r="146" spans="2:29">
      <c r="B146" s="1133">
        <v>142</v>
      </c>
      <c r="C146" s="1117" t="s">
        <v>2998</v>
      </c>
      <c r="D146" s="1136">
        <f>D90*($AB$116/12)</f>
        <v>10521998.855471125</v>
      </c>
      <c r="E146" s="1136"/>
      <c r="F146" s="1136">
        <f>F90*($AB$116/12)</f>
        <v>11715483.748935644</v>
      </c>
      <c r="G146" s="1136"/>
      <c r="H146" s="1136">
        <f>H90*($AB$116/12)</f>
        <v>11007553.306405433</v>
      </c>
      <c r="I146" s="1136"/>
      <c r="J146" s="1136">
        <f>J90*($AB$116/12)</f>
        <v>10591103.70346237</v>
      </c>
      <c r="K146" s="1136"/>
      <c r="L146" s="1136">
        <f>L90*($AB$116/12)</f>
        <v>9550979.2292306572</v>
      </c>
      <c r="M146" s="1136"/>
      <c r="N146" s="1136">
        <f>N90*($AB$116/12)</f>
        <v>9121972.4962548055</v>
      </c>
      <c r="O146" s="1136"/>
      <c r="P146" s="1136">
        <f>P90*($AB$116/12)</f>
        <v>9508294.8895266354</v>
      </c>
      <c r="Q146" s="1136"/>
      <c r="R146" s="1136">
        <f>R90*($AB$116/12)</f>
        <v>9618720.9453156162</v>
      </c>
      <c r="S146" s="1136"/>
      <c r="T146" s="1136">
        <f>T90*($AB$116/12)</f>
        <v>9534734.4633565266</v>
      </c>
      <c r="U146" s="1136"/>
      <c r="V146" s="1136">
        <f>V90*($AB$116/12)</f>
        <v>10552838.762238255</v>
      </c>
      <c r="W146" s="1136"/>
      <c r="X146" s="1136">
        <f>AA90*(($AB$116)/12)</f>
        <v>12098523.754125511</v>
      </c>
      <c r="Y146" s="1136"/>
      <c r="Z146" s="1136">
        <f>AB90*(($AB$116)/12)</f>
        <v>11580741.617264524</v>
      </c>
      <c r="AA146" s="1134">
        <f>SUM(D146:Z146)</f>
        <v>125402945.77158709</v>
      </c>
    </row>
    <row r="147" spans="2:29">
      <c r="B147" s="1133">
        <v>143</v>
      </c>
      <c r="C147" s="1117" t="s">
        <v>2999</v>
      </c>
      <c r="D147" s="1118">
        <f>D91*($AB$116/12)</f>
        <v>8252243.6330405623</v>
      </c>
      <c r="E147" s="1118"/>
      <c r="F147" s="1118">
        <f>F91*($AB$116/12)</f>
        <v>8998780.2753114402</v>
      </c>
      <c r="G147" s="1118"/>
      <c r="H147" s="1118">
        <f>H91*($AB$116/12)</f>
        <v>8020727.1341670072</v>
      </c>
      <c r="I147" s="1118"/>
      <c r="J147" s="1118">
        <f>J91*($AB$116/12)</f>
        <v>7877025.7053476069</v>
      </c>
      <c r="K147" s="1118"/>
      <c r="L147" s="1118">
        <f>L91*($AB$116/12)</f>
        <v>7578775.0087587005</v>
      </c>
      <c r="M147" s="1118"/>
      <c r="N147" s="1118">
        <f>N91*($AB$116/12)</f>
        <v>7432189.8021595757</v>
      </c>
      <c r="O147" s="1118"/>
      <c r="P147" s="1118">
        <f>P91*($AB$116/12)</f>
        <v>9289782.0921993442</v>
      </c>
      <c r="Q147" s="1118"/>
      <c r="R147" s="1118">
        <f>R91*($AB$116/12)</f>
        <v>7483685.2937301258</v>
      </c>
      <c r="S147" s="1118"/>
      <c r="T147" s="1118">
        <f>T91*($AB$116/12)</f>
        <v>7385463.6858333992</v>
      </c>
      <c r="U147" s="1118"/>
      <c r="V147" s="1118">
        <f>V91*($AB$116/12)</f>
        <v>8037514.6231732806</v>
      </c>
      <c r="W147" s="1118"/>
      <c r="X147" s="1136">
        <f>AA91*(($AB$116)/12)</f>
        <v>9608399.235101277</v>
      </c>
      <c r="Y147" s="1136"/>
      <c r="Z147" s="1136">
        <f>AB91*(($AB$116)/12)</f>
        <v>8598308.5143972281</v>
      </c>
      <c r="AA147" s="1134">
        <f>SUM(D147:Z147)</f>
        <v>98562895.00321956</v>
      </c>
    </row>
    <row r="148" spans="2:29">
      <c r="B148" s="1133">
        <v>144</v>
      </c>
      <c r="C148" s="1117" t="s">
        <v>2999</v>
      </c>
      <c r="D148" s="1118">
        <f>D92*($AB$116/12)</f>
        <v>3149577.1276753638</v>
      </c>
      <c r="E148" s="1118"/>
      <c r="F148" s="1118">
        <f>F92*($AB$116/12)</f>
        <v>3295996.8326060497</v>
      </c>
      <c r="G148" s="1118"/>
      <c r="H148" s="1118">
        <f>H92*($AB$116/12)</f>
        <v>3232011.0378487422</v>
      </c>
      <c r="I148" s="1118"/>
      <c r="J148" s="1118">
        <f>J92*($AB$116/12)</f>
        <v>2944406.8560745097</v>
      </c>
      <c r="K148" s="1118"/>
      <c r="L148" s="1118">
        <f>L92*($AB$116/12)</f>
        <v>2888237.2941416181</v>
      </c>
      <c r="M148" s="1118"/>
      <c r="N148" s="1118">
        <f>N92*($AB$116/12)</f>
        <v>2952279.6020620181</v>
      </c>
      <c r="O148" s="1118"/>
      <c r="P148" s="1118">
        <f>P92*($AB$116/12)</f>
        <v>389930.55555555556</v>
      </c>
      <c r="Q148" s="1118"/>
      <c r="R148" s="1118">
        <f>R92*($AB$116/12)</f>
        <v>2710866.8291149652</v>
      </c>
      <c r="S148" s="1118"/>
      <c r="T148" s="1118">
        <f>T92*($AB$116/12)</f>
        <v>2851684.7373192413</v>
      </c>
      <c r="U148" s="1118"/>
      <c r="V148" s="1118">
        <f>V92*($AB$116/12)</f>
        <v>3010093.8737495169</v>
      </c>
      <c r="W148" s="1118"/>
      <c r="X148" s="1136">
        <f>AA92*(($AB$116)/12)</f>
        <v>3867627.8251817976</v>
      </c>
      <c r="Y148" s="1136"/>
      <c r="Z148" s="1136">
        <f>AB92*(($AB$116)/12)</f>
        <v>3345346.2100242553</v>
      </c>
      <c r="AA148" s="1134">
        <f>SUM(D148:Z148)</f>
        <v>34638058.781353638</v>
      </c>
    </row>
    <row r="149" spans="2:29">
      <c r="B149" s="1133">
        <v>145</v>
      </c>
      <c r="C149" s="1117" t="s">
        <v>3000</v>
      </c>
      <c r="D149" s="1118">
        <f>D93*($AB$116/12)</f>
        <v>30572327.936364483</v>
      </c>
      <c r="E149" s="1118"/>
      <c r="F149" s="1118">
        <f>F93*($AB$116/12)</f>
        <v>31373629.68735094</v>
      </c>
      <c r="G149" s="1118"/>
      <c r="H149" s="1118">
        <f>H93*($AB$116/12)</f>
        <v>25396598.899957322</v>
      </c>
      <c r="I149" s="1118"/>
      <c r="J149" s="1118">
        <f>J93*($AB$116/12)</f>
        <v>24866449.589749377</v>
      </c>
      <c r="K149" s="1118"/>
      <c r="L149" s="1118">
        <f>L93*($AB$116/12)</f>
        <v>21125245.050499029</v>
      </c>
      <c r="M149" s="1118"/>
      <c r="N149" s="1118">
        <f>N93*($AB$116/12)</f>
        <v>18807578.006278463</v>
      </c>
      <c r="O149" s="1118"/>
      <c r="P149" s="1118">
        <f>P93*($AB$116/12)</f>
        <v>25722643.256308071</v>
      </c>
      <c r="Q149" s="1118"/>
      <c r="R149" s="1118">
        <f>R93*($AB$116/12)</f>
        <v>43650144.187648274</v>
      </c>
      <c r="S149" s="1118"/>
      <c r="T149" s="1118">
        <f>T93*($AB$116/12)</f>
        <v>52637116.441899098</v>
      </c>
      <c r="U149" s="1118"/>
      <c r="V149" s="1118">
        <f>V93*($AB$116/12)</f>
        <v>48542528.047402754</v>
      </c>
      <c r="W149" s="1118"/>
      <c r="X149" s="1136">
        <f>AA93*(($AB$116)/12)</f>
        <v>27731216.097135521</v>
      </c>
      <c r="Y149" s="1136"/>
      <c r="Z149" s="1136">
        <f>AB93*(($AB$116)/12)</f>
        <v>32588357.842701416</v>
      </c>
      <c r="AA149" s="1134">
        <f>SUM(D149:Z149)</f>
        <v>383013835.04329479</v>
      </c>
    </row>
    <row r="150" spans="2:29">
      <c r="B150" s="1133">
        <v>146</v>
      </c>
      <c r="C150" s="1137" t="s">
        <v>3014</v>
      </c>
      <c r="D150" s="1138">
        <f>SUM(D146:D149)</f>
        <v>52496147.552551538</v>
      </c>
      <c r="E150" s="1138"/>
      <c r="F150" s="1138">
        <f t="shared" ref="F150:Z150" si="15">SUM(F146:F149)</f>
        <v>55383890.544204071</v>
      </c>
      <c r="G150" s="1138"/>
      <c r="H150" s="1138">
        <f t="shared" si="15"/>
        <v>47656890.378378503</v>
      </c>
      <c r="I150" s="1138"/>
      <c r="J150" s="1138">
        <f t="shared" si="15"/>
        <v>46278985.85463386</v>
      </c>
      <c r="K150" s="1138"/>
      <c r="L150" s="1138">
        <f t="shared" si="15"/>
        <v>41143236.582630008</v>
      </c>
      <c r="M150" s="1138"/>
      <c r="N150" s="1138">
        <f t="shared" si="15"/>
        <v>38314019.906754866</v>
      </c>
      <c r="O150" s="1138"/>
      <c r="P150" s="1138">
        <f t="shared" si="15"/>
        <v>44910650.793589607</v>
      </c>
      <c r="Q150" s="1138"/>
      <c r="R150" s="1138">
        <f t="shared" si="15"/>
        <v>63463417.255808979</v>
      </c>
      <c r="S150" s="1138"/>
      <c r="T150" s="1138">
        <f t="shared" si="15"/>
        <v>72408999.328408271</v>
      </c>
      <c r="U150" s="1138"/>
      <c r="V150" s="1138">
        <f t="shared" si="15"/>
        <v>70142975.30656381</v>
      </c>
      <c r="W150" s="1138"/>
      <c r="X150" s="1138">
        <f>SUM(X146:X149)</f>
        <v>53305766.911544107</v>
      </c>
      <c r="Y150" s="1138"/>
      <c r="Z150" s="1138">
        <f t="shared" si="15"/>
        <v>56112754.184387423</v>
      </c>
      <c r="AA150" s="1134">
        <f>SUM(D150:Z150)</f>
        <v>641617734.599455</v>
      </c>
      <c r="AC150" s="826"/>
    </row>
    <row r="152" spans="2:29">
      <c r="D152" s="826"/>
      <c r="F152" s="826"/>
      <c r="H152" s="826"/>
      <c r="J152" s="826"/>
      <c r="L152" s="826"/>
      <c r="N152" s="826"/>
      <c r="P152" s="826"/>
      <c r="R152" s="826"/>
      <c r="T152" s="826"/>
      <c r="V152" s="826"/>
      <c r="X152" s="826"/>
      <c r="Z152" s="826"/>
      <c r="AA152" s="826"/>
    </row>
    <row r="159" spans="2:29">
      <c r="D159" s="826"/>
      <c r="F159" s="826"/>
      <c r="H159" s="826"/>
      <c r="J159" s="826"/>
      <c r="L159" s="826"/>
      <c r="N159" s="826"/>
      <c r="P159" s="826"/>
      <c r="R159" s="826"/>
      <c r="T159" s="826"/>
      <c r="V159" s="826"/>
      <c r="X159" s="826"/>
      <c r="Z159" s="826"/>
    </row>
    <row r="160" spans="2:29">
      <c r="D160" s="826"/>
      <c r="F160" s="826"/>
      <c r="H160" s="826"/>
      <c r="J160" s="826"/>
      <c r="L160" s="826"/>
      <c r="N160" s="826"/>
      <c r="P160" s="826"/>
      <c r="R160" s="826"/>
      <c r="T160" s="826"/>
      <c r="V160" s="826"/>
      <c r="X160" s="826"/>
      <c r="Z160" s="826"/>
    </row>
    <row r="161" spans="4:26">
      <c r="D161" s="826"/>
      <c r="F161" s="826"/>
      <c r="H161" s="826"/>
      <c r="J161" s="826"/>
      <c r="L161" s="826"/>
      <c r="N161" s="826"/>
      <c r="P161" s="826"/>
      <c r="R161" s="826"/>
      <c r="T161" s="826"/>
      <c r="V161" s="826"/>
      <c r="X161" s="826"/>
      <c r="Z161" s="826"/>
    </row>
    <row r="164" spans="4:26">
      <c r="D164" s="826"/>
      <c r="F164" s="826"/>
      <c r="H164" s="826"/>
      <c r="J164" s="826"/>
      <c r="L164" s="826"/>
      <c r="N164" s="826"/>
      <c r="P164" s="826"/>
      <c r="R164" s="826"/>
      <c r="T164" s="826"/>
      <c r="V164" s="826"/>
      <c r="X164" s="826"/>
      <c r="Z164" s="826"/>
    </row>
    <row r="165" spans="4:26">
      <c r="D165" s="826"/>
      <c r="F165" s="826"/>
      <c r="H165" s="826"/>
      <c r="J165" s="826"/>
      <c r="L165" s="826"/>
      <c r="N165" s="826"/>
      <c r="P165" s="826"/>
      <c r="R165" s="826"/>
      <c r="T165" s="826"/>
      <c r="V165" s="826"/>
      <c r="X165" s="826"/>
      <c r="Z165" s="826"/>
    </row>
    <row r="166" spans="4:26">
      <c r="D166" s="826"/>
      <c r="F166" s="826"/>
      <c r="H166" s="826"/>
      <c r="J166" s="826"/>
      <c r="L166" s="826"/>
      <c r="N166" s="826"/>
      <c r="P166" s="826"/>
      <c r="R166" s="826"/>
      <c r="T166" s="826"/>
      <c r="V166" s="826"/>
      <c r="X166" s="826"/>
      <c r="Z166" s="826"/>
    </row>
  </sheetData>
  <mergeCells count="10">
    <mergeCell ref="AA4:AB4"/>
    <mergeCell ref="AA25:AB25"/>
    <mergeCell ref="AA31:AB31"/>
    <mergeCell ref="AA43:AB43"/>
    <mergeCell ref="AA89:AB89"/>
    <mergeCell ref="C96:Z96"/>
    <mergeCell ref="C123:Z123"/>
    <mergeCell ref="C144:Z144"/>
    <mergeCell ref="J145:P145"/>
    <mergeCell ref="B4:Z4"/>
  </mergeCells>
  <pageMargins left="0.7" right="0.7" top="1.5" bottom="0.75" header="0.3" footer="0.3"/>
  <pageSetup scale="28" fitToHeight="0" orientation="landscape" r:id="rId1"/>
  <headerFooter scaleWithDoc="0">
    <oddHeader>&amp;CCascade Natural Gas Corporation
End of Period Calculations
IDM WP-1.3&amp;RPage &amp;P of &amp;N</oddHeader>
    <oddFooter>&amp;L&amp;A</oddFooter>
  </headerFooter>
  <rowBreaks count="1" manualBreakCount="1">
    <brk id="94" max="16383" man="1"/>
  </rowBreaks>
  <cellWatches>
    <cellWatch r="AF116"/>
  </cellWatch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81D9-67E7-4EA0-A0FD-D9140EB7C878}">
  <sheetPr codeName="Sheet54">
    <tabColor theme="8" tint="0.79998168889431442"/>
    <pageSetUpPr fitToPage="1"/>
  </sheetPr>
  <dimension ref="A1:AB32"/>
  <sheetViews>
    <sheetView topLeftCell="B1" zoomScale="80" zoomScaleNormal="80" workbookViewId="0">
      <pane xSplit="2" ySplit="4" topLeftCell="K5" activePane="bottomRight" state="frozen"/>
      <selection activeCell="F27" sqref="F27"/>
      <selection pane="topRight" activeCell="F27" sqref="F27"/>
      <selection pane="bottomLeft" activeCell="F27" sqref="F27"/>
      <selection pane="bottomRight" activeCell="F27" sqref="F27"/>
    </sheetView>
  </sheetViews>
  <sheetFormatPr defaultColWidth="8.6640625" defaultRowHeight="14.4"/>
  <cols>
    <col min="1" max="1" width="8.6640625" style="894"/>
    <col min="2" max="2" width="8.6640625" style="1145"/>
    <col min="3" max="3" width="34.33203125" style="894" customWidth="1"/>
    <col min="4" max="4" width="15.88671875" style="894" bestFit="1" customWidth="1"/>
    <col min="5" max="5" width="16.88671875" style="894" bestFit="1" customWidth="1"/>
    <col min="6" max="8" width="16.44140625" style="894" bestFit="1" customWidth="1"/>
    <col min="9" max="11" width="15.44140625" style="894" bestFit="1" customWidth="1"/>
    <col min="12" max="13" width="16.44140625" style="894" bestFit="1" customWidth="1"/>
    <col min="14" max="14" width="16.88671875" style="894" bestFit="1" customWidth="1"/>
    <col min="15" max="15" width="15.88671875" style="894" bestFit="1" customWidth="1"/>
    <col min="16" max="16" width="18.109375" style="894" bestFit="1" customWidth="1"/>
    <col min="17" max="16384" width="8.6640625" style="894"/>
  </cols>
  <sheetData>
    <row r="1" spans="1:28">
      <c r="A1" s="1139"/>
      <c r="B1" s="1139" t="s">
        <v>3018</v>
      </c>
      <c r="C1" s="1140"/>
      <c r="D1" s="1140"/>
      <c r="E1" s="1140"/>
    </row>
    <row r="2" spans="1:28">
      <c r="B2" s="1141"/>
      <c r="C2" s="1140"/>
      <c r="D2" s="1142" t="s">
        <v>2901</v>
      </c>
      <c r="E2" s="1142" t="s">
        <v>2902</v>
      </c>
      <c r="F2" s="1142" t="s">
        <v>2903</v>
      </c>
      <c r="G2" s="1142" t="s">
        <v>2904</v>
      </c>
      <c r="H2" s="1142" t="s">
        <v>2905</v>
      </c>
      <c r="I2" s="1142" t="s">
        <v>2906</v>
      </c>
      <c r="J2" s="1142" t="s">
        <v>2907</v>
      </c>
      <c r="K2" s="1142" t="s">
        <v>2908</v>
      </c>
      <c r="L2" s="1142" t="s">
        <v>2909</v>
      </c>
      <c r="M2" s="1142" t="s">
        <v>2910</v>
      </c>
      <c r="N2" s="1142" t="s">
        <v>2911</v>
      </c>
      <c r="O2" s="1142" t="s">
        <v>2912</v>
      </c>
      <c r="P2" s="1140"/>
    </row>
    <row r="3" spans="1:28" s="613" customFormat="1">
      <c r="A3" s="583" t="s">
        <v>778</v>
      </c>
      <c r="B3" s="583" t="s">
        <v>776</v>
      </c>
      <c r="C3" s="583" t="s">
        <v>777</v>
      </c>
      <c r="D3" s="583" t="s">
        <v>780</v>
      </c>
      <c r="E3" s="583" t="s">
        <v>781</v>
      </c>
      <c r="F3" s="583" t="s">
        <v>782</v>
      </c>
      <c r="G3" s="583" t="s">
        <v>783</v>
      </c>
      <c r="H3" s="583" t="s">
        <v>784</v>
      </c>
      <c r="I3" s="583" t="s">
        <v>785</v>
      </c>
      <c r="J3" s="1143">
        <v>43664</v>
      </c>
      <c r="K3" s="583" t="s">
        <v>787</v>
      </c>
      <c r="L3" s="583" t="s">
        <v>788</v>
      </c>
      <c r="M3" s="583" t="s">
        <v>789</v>
      </c>
      <c r="N3" s="1143" t="s">
        <v>790</v>
      </c>
      <c r="O3" s="583" t="s">
        <v>791</v>
      </c>
      <c r="P3" s="583" t="s">
        <v>995</v>
      </c>
      <c r="Q3" s="583"/>
      <c r="R3" s="583"/>
      <c r="S3" s="583"/>
      <c r="T3" s="583"/>
      <c r="U3" s="583"/>
      <c r="V3" s="583"/>
      <c r="W3" s="583"/>
      <c r="X3" s="822"/>
      <c r="Z3" s="894"/>
      <c r="AA3" s="894"/>
      <c r="AB3" s="894"/>
    </row>
    <row r="4" spans="1:28">
      <c r="A4" s="894">
        <v>1</v>
      </c>
      <c r="B4" s="1141"/>
      <c r="C4" s="1140"/>
      <c r="D4" s="1144">
        <v>43466</v>
      </c>
      <c r="E4" s="1144">
        <v>43497</v>
      </c>
      <c r="F4" s="1144">
        <v>43525</v>
      </c>
      <c r="G4" s="1144">
        <v>43556</v>
      </c>
      <c r="H4" s="1144">
        <v>43586</v>
      </c>
      <c r="I4" s="1144">
        <v>43617</v>
      </c>
      <c r="J4" s="1144">
        <v>43647</v>
      </c>
      <c r="K4" s="1144">
        <v>43678</v>
      </c>
      <c r="L4" s="1144">
        <v>43709</v>
      </c>
      <c r="M4" s="1144">
        <v>43739</v>
      </c>
      <c r="N4" s="1144">
        <v>43770</v>
      </c>
      <c r="O4" s="1144">
        <v>43800</v>
      </c>
      <c r="P4" s="1145" t="s">
        <v>51</v>
      </c>
    </row>
    <row r="5" spans="1:28">
      <c r="A5" s="894">
        <v>2</v>
      </c>
      <c r="B5" s="1141"/>
      <c r="C5" s="1140" t="s">
        <v>114</v>
      </c>
      <c r="D5" s="1141"/>
      <c r="E5" s="1141"/>
    </row>
    <row r="6" spans="1:28">
      <c r="A6" s="894">
        <v>3</v>
      </c>
      <c r="C6" s="1140"/>
      <c r="D6" s="1146"/>
      <c r="E6" s="1146"/>
    </row>
    <row r="7" spans="1:28">
      <c r="A7" s="894">
        <v>4</v>
      </c>
      <c r="B7" s="1141" t="s">
        <v>115</v>
      </c>
      <c r="C7" s="1140" t="s">
        <v>116</v>
      </c>
      <c r="D7" s="1147">
        <v>16583857.109999999</v>
      </c>
      <c r="E7" s="1148">
        <v>17381490.5</v>
      </c>
      <c r="F7" s="1147">
        <v>13368158.75</v>
      </c>
      <c r="G7" s="1147">
        <v>7807312.8099999996</v>
      </c>
      <c r="H7" s="1147">
        <v>5376355.6399999997</v>
      </c>
      <c r="I7" s="1147">
        <v>3642488.93</v>
      </c>
      <c r="J7" s="1147">
        <v>3619300.15</v>
      </c>
      <c r="K7" s="1147">
        <v>2777963.49</v>
      </c>
      <c r="L7" s="1147">
        <v>4437051.1900000004</v>
      </c>
      <c r="M7" s="1147">
        <v>9781859.5199999996</v>
      </c>
      <c r="N7" s="1147">
        <v>15742840.050000001</v>
      </c>
      <c r="O7" s="1147">
        <v>19957748.239999998</v>
      </c>
      <c r="P7" s="1149">
        <f>SUM(D7:O7)</f>
        <v>120476426.37999998</v>
      </c>
    </row>
    <row r="8" spans="1:28">
      <c r="A8" s="894">
        <v>5</v>
      </c>
      <c r="B8" s="1141" t="s">
        <v>117</v>
      </c>
      <c r="C8" s="1140" t="s">
        <v>118</v>
      </c>
      <c r="D8" s="1147">
        <v>12485477.529999999</v>
      </c>
      <c r="E8" s="1148">
        <v>13238064.689999999</v>
      </c>
      <c r="F8" s="1147">
        <v>10959478.15</v>
      </c>
      <c r="G8" s="1147">
        <v>6700490.8300000001</v>
      </c>
      <c r="H8" s="1147">
        <v>4478338.24</v>
      </c>
      <c r="I8" s="1147">
        <v>3704662.03</v>
      </c>
      <c r="J8" s="1147">
        <v>3762010.33</v>
      </c>
      <c r="K8" s="1147">
        <v>3029249.83</v>
      </c>
      <c r="L8" s="1147">
        <v>4689397.0999999996</v>
      </c>
      <c r="M8" s="1147">
        <v>9110023.1600000001</v>
      </c>
      <c r="N8" s="1147">
        <v>13131146.380000001</v>
      </c>
      <c r="O8" s="1147">
        <v>15716835.310000001</v>
      </c>
      <c r="P8" s="1149">
        <f>SUM(D8:O8)</f>
        <v>101005173.58</v>
      </c>
    </row>
    <row r="9" spans="1:28">
      <c r="A9" s="894">
        <v>6</v>
      </c>
      <c r="C9" s="1140" t="s">
        <v>119</v>
      </c>
      <c r="D9" s="1150">
        <f>SUM(D7:D8)</f>
        <v>29069334.640000001</v>
      </c>
      <c r="E9" s="1150">
        <f t="shared" ref="E9:O9" si="0">SUM(E7:E8)</f>
        <v>30619555.189999998</v>
      </c>
      <c r="F9" s="1150">
        <f t="shared" si="0"/>
        <v>24327636.899999999</v>
      </c>
      <c r="G9" s="1150">
        <f t="shared" si="0"/>
        <v>14507803.640000001</v>
      </c>
      <c r="H9" s="1150">
        <f t="shared" si="0"/>
        <v>9854693.879999999</v>
      </c>
      <c r="I9" s="1150">
        <f t="shared" si="0"/>
        <v>7347150.96</v>
      </c>
      <c r="J9" s="1150">
        <f t="shared" si="0"/>
        <v>7381310.4800000004</v>
      </c>
      <c r="K9" s="1150">
        <f t="shared" si="0"/>
        <v>5807213.3200000003</v>
      </c>
      <c r="L9" s="1150">
        <f t="shared" si="0"/>
        <v>9126448.2899999991</v>
      </c>
      <c r="M9" s="1150">
        <f t="shared" si="0"/>
        <v>18891882.68</v>
      </c>
      <c r="N9" s="1150">
        <f t="shared" si="0"/>
        <v>28873986.43</v>
      </c>
      <c r="O9" s="1150">
        <f t="shared" si="0"/>
        <v>35674583.549999997</v>
      </c>
      <c r="P9" s="1149">
        <f>SUM(D9:O9)</f>
        <v>221481599.95999998</v>
      </c>
    </row>
    <row r="10" spans="1:28">
      <c r="A10" s="894">
        <v>7</v>
      </c>
      <c r="D10" s="1147"/>
      <c r="E10" s="1147"/>
      <c r="F10" s="1147"/>
      <c r="G10" s="1147"/>
      <c r="H10" s="1147"/>
      <c r="I10" s="1147"/>
      <c r="J10" s="1147"/>
      <c r="K10" s="1147"/>
      <c r="L10" s="1147"/>
      <c r="M10" s="1147"/>
      <c r="N10" s="1147"/>
      <c r="O10" s="1147"/>
      <c r="P10" s="1149"/>
    </row>
    <row r="11" spans="1:28">
      <c r="A11" s="894">
        <v>8</v>
      </c>
      <c r="C11" s="894" t="s">
        <v>120</v>
      </c>
      <c r="D11" s="1147"/>
      <c r="E11" s="1147"/>
      <c r="F11" s="1147"/>
      <c r="G11" s="1147"/>
      <c r="H11" s="1147"/>
      <c r="I11" s="1147"/>
      <c r="J11" s="1147"/>
      <c r="K11" s="1147"/>
      <c r="L11" s="1147"/>
      <c r="M11" s="1147"/>
      <c r="N11" s="1147"/>
      <c r="O11" s="1147"/>
      <c r="P11" s="1149"/>
    </row>
    <row r="12" spans="1:28">
      <c r="A12" s="894">
        <v>9</v>
      </c>
      <c r="B12" s="1145" t="s">
        <v>121</v>
      </c>
      <c r="C12" s="894" t="s">
        <v>122</v>
      </c>
      <c r="D12" s="1147">
        <v>66421.89</v>
      </c>
      <c r="E12" s="1147">
        <v>14644.71</v>
      </c>
      <c r="F12" s="1147">
        <v>69959.820000000007</v>
      </c>
      <c r="G12" s="1147">
        <v>68192.789999999994</v>
      </c>
      <c r="H12" s="1147">
        <v>46271.35</v>
      </c>
      <c r="I12" s="1147">
        <v>40123.03</v>
      </c>
      <c r="J12" s="1147">
        <v>33854.82</v>
      </c>
      <c r="K12" s="1147">
        <v>33959.660000000003</v>
      </c>
      <c r="L12" s="1147">
        <v>29505.35</v>
      </c>
      <c r="M12" s="1147">
        <v>37754.480000000003</v>
      </c>
      <c r="N12" s="1147">
        <v>42062.09</v>
      </c>
      <c r="O12" s="1147">
        <v>44919.77</v>
      </c>
      <c r="P12" s="1149">
        <f t="shared" ref="P12:P20" si="1">SUM(D12:O12)</f>
        <v>527669.75999999989</v>
      </c>
    </row>
    <row r="13" spans="1:28">
      <c r="A13" s="894">
        <v>10</v>
      </c>
      <c r="B13" s="1145" t="s">
        <v>123</v>
      </c>
      <c r="C13" s="894" t="s">
        <v>124</v>
      </c>
      <c r="D13" s="1147">
        <v>2025875.34</v>
      </c>
      <c r="E13" s="1147">
        <v>2005205.72</v>
      </c>
      <c r="F13" s="1147">
        <v>1979521.56</v>
      </c>
      <c r="G13" s="1147">
        <v>1883940.32</v>
      </c>
      <c r="H13" s="1147">
        <v>1796713.64</v>
      </c>
      <c r="I13" s="1147">
        <v>1839573.39</v>
      </c>
      <c r="J13" s="1147">
        <v>2062751.65</v>
      </c>
      <c r="K13" s="1147">
        <v>2149495.98</v>
      </c>
      <c r="L13" s="1147">
        <v>2113869.06</v>
      </c>
      <c r="M13" s="1147">
        <v>2074979.45</v>
      </c>
      <c r="N13" s="1147">
        <v>1968942.06</v>
      </c>
      <c r="O13" s="1147">
        <v>2193759.77</v>
      </c>
      <c r="P13" s="1149">
        <f t="shared" si="1"/>
        <v>24094627.939999998</v>
      </c>
    </row>
    <row r="14" spans="1:28">
      <c r="A14" s="894">
        <v>11</v>
      </c>
      <c r="B14" s="1145" t="s">
        <v>125</v>
      </c>
      <c r="C14" s="894" t="s">
        <v>126</v>
      </c>
      <c r="D14" s="1147">
        <v>0</v>
      </c>
      <c r="E14" s="1147">
        <v>0</v>
      </c>
      <c r="F14" s="1147">
        <v>0</v>
      </c>
      <c r="G14" s="1147">
        <v>0</v>
      </c>
      <c r="H14" s="1147">
        <v>0</v>
      </c>
      <c r="I14" s="1147">
        <v>0</v>
      </c>
      <c r="J14" s="1147">
        <v>0</v>
      </c>
      <c r="K14" s="1147">
        <v>0</v>
      </c>
      <c r="L14" s="1147">
        <v>0</v>
      </c>
      <c r="M14" s="1147">
        <v>0</v>
      </c>
      <c r="N14" s="1147">
        <v>0</v>
      </c>
      <c r="O14" s="1147">
        <v>0</v>
      </c>
      <c r="P14" s="1149">
        <f t="shared" si="1"/>
        <v>0</v>
      </c>
    </row>
    <row r="15" spans="1:28">
      <c r="A15" s="894">
        <v>12</v>
      </c>
      <c r="B15" s="1145" t="s">
        <v>127</v>
      </c>
      <c r="C15" s="894" t="s">
        <v>128</v>
      </c>
      <c r="D15" s="1147">
        <v>10662.11</v>
      </c>
      <c r="E15" s="1147">
        <v>10662.11</v>
      </c>
      <c r="F15" s="1147">
        <v>10662.11</v>
      </c>
      <c r="G15" s="1151">
        <v>10662.11</v>
      </c>
      <c r="H15" s="1147">
        <v>10662.12</v>
      </c>
      <c r="I15" s="1147">
        <v>10662.11</v>
      </c>
      <c r="J15" s="1147">
        <v>10662.11</v>
      </c>
      <c r="K15" s="1147">
        <v>10662.11</v>
      </c>
      <c r="L15" s="1147">
        <v>10662.11</v>
      </c>
      <c r="M15" s="1147">
        <v>10662.11</v>
      </c>
      <c r="N15" s="1147">
        <v>10662.11</v>
      </c>
      <c r="O15" s="1147">
        <v>10662.11</v>
      </c>
      <c r="P15" s="1149">
        <f t="shared" si="1"/>
        <v>127945.33</v>
      </c>
    </row>
    <row r="16" spans="1:28">
      <c r="A16" s="894">
        <v>13</v>
      </c>
      <c r="B16" s="1145" t="s">
        <v>129</v>
      </c>
      <c r="C16" s="894" t="s">
        <v>130</v>
      </c>
      <c r="D16" s="1147">
        <v>758.61</v>
      </c>
      <c r="E16" s="1147">
        <v>-1414.28</v>
      </c>
      <c r="F16" s="1147">
        <v>590</v>
      </c>
      <c r="G16" s="1151">
        <v>3893.43</v>
      </c>
      <c r="H16" s="1147">
        <v>9911.27</v>
      </c>
      <c r="I16" s="1147">
        <v>8751.5499999999993</v>
      </c>
      <c r="J16" s="1147">
        <v>6555.58</v>
      </c>
      <c r="K16" s="1147">
        <v>11095.07</v>
      </c>
      <c r="L16" s="1147">
        <v>1654.42</v>
      </c>
      <c r="M16" s="1147">
        <v>3824.81</v>
      </c>
      <c r="N16" s="1147">
        <v>30694.58</v>
      </c>
      <c r="O16" s="1147">
        <v>15142.4</v>
      </c>
      <c r="P16" s="1149">
        <f t="shared" si="1"/>
        <v>91457.44</v>
      </c>
    </row>
    <row r="17" spans="1:16">
      <c r="A17" s="894">
        <v>14</v>
      </c>
      <c r="B17" s="1145" t="s">
        <v>131</v>
      </c>
      <c r="C17" s="894" t="s">
        <v>132</v>
      </c>
      <c r="D17" s="1152">
        <v>0</v>
      </c>
      <c r="E17" s="1152">
        <v>0</v>
      </c>
      <c r="F17" s="1152">
        <v>0</v>
      </c>
      <c r="G17" s="1151">
        <v>0</v>
      </c>
      <c r="H17" s="1152">
        <v>0</v>
      </c>
      <c r="I17" s="1152">
        <v>0</v>
      </c>
      <c r="J17" s="1152">
        <v>0</v>
      </c>
      <c r="K17" s="1152">
        <v>0</v>
      </c>
      <c r="L17" s="1152">
        <v>0</v>
      </c>
      <c r="M17" s="1152">
        <v>0</v>
      </c>
      <c r="N17" s="1152">
        <v>0</v>
      </c>
      <c r="O17" s="1152">
        <v>0</v>
      </c>
      <c r="P17" s="1149">
        <f t="shared" si="1"/>
        <v>0</v>
      </c>
    </row>
    <row r="18" spans="1:16">
      <c r="A18" s="894">
        <v>15</v>
      </c>
      <c r="B18" s="1145">
        <v>4962</v>
      </c>
      <c r="C18" s="894" t="s">
        <v>1261</v>
      </c>
      <c r="D18" s="1152">
        <v>354297.65</v>
      </c>
      <c r="E18" s="1152">
        <v>448508.07</v>
      </c>
      <c r="F18" s="1152">
        <v>317473.7</v>
      </c>
      <c r="G18" s="1151">
        <v>58290.45</v>
      </c>
      <c r="H18" s="1152">
        <v>-25498.89</v>
      </c>
      <c r="I18" s="1152">
        <v>-69341.63</v>
      </c>
      <c r="J18" s="1152">
        <v>-44833.55</v>
      </c>
      <c r="K18" s="1152">
        <v>-61267.14</v>
      </c>
      <c r="L18" s="1152">
        <v>95572.82</v>
      </c>
      <c r="M18" s="1152">
        <v>122423.86</v>
      </c>
      <c r="N18" s="1152">
        <v>108511.64</v>
      </c>
      <c r="O18" s="1152">
        <v>-302447.98</v>
      </c>
      <c r="P18" s="1149">
        <f t="shared" si="1"/>
        <v>1001689</v>
      </c>
    </row>
    <row r="19" spans="1:16">
      <c r="A19" s="894">
        <v>16</v>
      </c>
      <c r="C19" s="894" t="s">
        <v>133</v>
      </c>
      <c r="D19" s="1150">
        <f>SUM(D12:D18)</f>
        <v>2458015.5999999996</v>
      </c>
      <c r="E19" s="1150">
        <f t="shared" ref="E19:O19" si="2">SUM(E12:E18)</f>
        <v>2477606.33</v>
      </c>
      <c r="F19" s="1150">
        <f t="shared" si="2"/>
        <v>2378207.1900000004</v>
      </c>
      <c r="G19" s="1150">
        <f t="shared" si="2"/>
        <v>2024979.1</v>
      </c>
      <c r="H19" s="1150">
        <f t="shared" si="2"/>
        <v>1838059.4900000002</v>
      </c>
      <c r="I19" s="1150">
        <f t="shared" si="2"/>
        <v>1829768.4500000002</v>
      </c>
      <c r="J19" s="1150">
        <f t="shared" si="2"/>
        <v>2068990.61</v>
      </c>
      <c r="K19" s="1150">
        <f t="shared" si="2"/>
        <v>2143945.6799999997</v>
      </c>
      <c r="L19" s="1150">
        <f t="shared" si="2"/>
        <v>2251263.7599999998</v>
      </c>
      <c r="M19" s="1150">
        <f t="shared" si="2"/>
        <v>2249644.71</v>
      </c>
      <c r="N19" s="1150">
        <f t="shared" si="2"/>
        <v>2160872.4800000004</v>
      </c>
      <c r="O19" s="1150">
        <f t="shared" si="2"/>
        <v>1962036.0699999998</v>
      </c>
      <c r="P19" s="1149">
        <f>SUM(D19:O19)</f>
        <v>25843389.470000003</v>
      </c>
    </row>
    <row r="20" spans="1:16" ht="15" thickBot="1">
      <c r="A20" s="894">
        <v>17</v>
      </c>
      <c r="C20" s="894" t="s">
        <v>134</v>
      </c>
      <c r="D20" s="1153">
        <f>D19+D9</f>
        <v>31527350.240000002</v>
      </c>
      <c r="E20" s="1153">
        <f t="shared" ref="E20:O20" si="3">E19+E9</f>
        <v>33097161.519999996</v>
      </c>
      <c r="F20" s="1153">
        <f t="shared" si="3"/>
        <v>26705844.09</v>
      </c>
      <c r="G20" s="1153">
        <f t="shared" si="3"/>
        <v>16532782.74</v>
      </c>
      <c r="H20" s="1153">
        <f t="shared" si="3"/>
        <v>11692753.369999999</v>
      </c>
      <c r="I20" s="1153">
        <f t="shared" si="3"/>
        <v>9176919.4100000001</v>
      </c>
      <c r="J20" s="1153">
        <f t="shared" si="3"/>
        <v>9450301.0899999999</v>
      </c>
      <c r="K20" s="1153">
        <f t="shared" si="3"/>
        <v>7951159</v>
      </c>
      <c r="L20" s="1153">
        <f t="shared" si="3"/>
        <v>11377712.049999999</v>
      </c>
      <c r="M20" s="1153">
        <f t="shared" si="3"/>
        <v>21141527.390000001</v>
      </c>
      <c r="N20" s="1153">
        <f t="shared" si="3"/>
        <v>31034858.91</v>
      </c>
      <c r="O20" s="1153">
        <f t="shared" si="3"/>
        <v>37636619.619999997</v>
      </c>
      <c r="P20" s="1149">
        <f t="shared" si="1"/>
        <v>247324989.42999998</v>
      </c>
    </row>
    <row r="21" spans="1:16" ht="15" thickTop="1">
      <c r="A21" s="894">
        <v>18</v>
      </c>
      <c r="G21" s="1154"/>
    </row>
    <row r="22" spans="1:16">
      <c r="A22" s="894">
        <v>19</v>
      </c>
      <c r="G22" s="1154"/>
    </row>
    <row r="23" spans="1:16">
      <c r="A23" s="894">
        <v>20</v>
      </c>
      <c r="P23" s="928"/>
    </row>
    <row r="24" spans="1:16">
      <c r="A24" s="894">
        <v>21</v>
      </c>
      <c r="D24" s="1149"/>
      <c r="E24" s="1149"/>
      <c r="F24" s="1149"/>
      <c r="G24" s="1149"/>
      <c r="H24" s="1149"/>
      <c r="I24" s="1149"/>
      <c r="J24" s="1149"/>
      <c r="K24" s="1149"/>
      <c r="L24" s="1149"/>
      <c r="M24" s="1149"/>
      <c r="N24" s="1149"/>
      <c r="O24" s="1149"/>
    </row>
    <row r="25" spans="1:16">
      <c r="A25" s="894">
        <v>22</v>
      </c>
      <c r="D25" s="1149"/>
      <c r="E25" s="1149"/>
      <c r="F25" s="1149"/>
      <c r="G25" s="1149"/>
      <c r="H25" s="1149"/>
      <c r="I25" s="1149"/>
      <c r="J25" s="1149"/>
      <c r="K25" s="1149"/>
      <c r="L25" s="1149"/>
      <c r="M25" s="1149"/>
      <c r="N25" s="1149"/>
      <c r="O25" s="1149"/>
      <c r="P25" s="1149">
        <f>P9+P19</f>
        <v>247324989.42999998</v>
      </c>
    </row>
    <row r="26" spans="1:16">
      <c r="A26" s="894">
        <v>23</v>
      </c>
      <c r="C26" s="1155" t="s">
        <v>3019</v>
      </c>
      <c r="D26" s="1149">
        <f>D9</f>
        <v>29069334.640000001</v>
      </c>
      <c r="E26" s="1149">
        <f t="shared" ref="E26:O26" si="4">E9</f>
        <v>30619555.189999998</v>
      </c>
      <c r="F26" s="1149">
        <f t="shared" si="4"/>
        <v>24327636.899999999</v>
      </c>
      <c r="G26" s="1149">
        <f t="shared" si="4"/>
        <v>14507803.640000001</v>
      </c>
      <c r="H26" s="1149">
        <f t="shared" si="4"/>
        <v>9854693.879999999</v>
      </c>
      <c r="I26" s="1149">
        <f t="shared" si="4"/>
        <v>7347150.96</v>
      </c>
      <c r="J26" s="1149">
        <f t="shared" si="4"/>
        <v>7381310.4800000004</v>
      </c>
      <c r="K26" s="1149">
        <f t="shared" si="4"/>
        <v>5807213.3200000003</v>
      </c>
      <c r="L26" s="1149">
        <f t="shared" si="4"/>
        <v>9126448.2899999991</v>
      </c>
      <c r="M26" s="1149">
        <f t="shared" si="4"/>
        <v>18891882.68</v>
      </c>
      <c r="N26" s="1149">
        <f t="shared" si="4"/>
        <v>28873986.43</v>
      </c>
      <c r="O26" s="1149">
        <f t="shared" si="4"/>
        <v>35674583.549999997</v>
      </c>
    </row>
    <row r="27" spans="1:16">
      <c r="A27" s="894">
        <v>24</v>
      </c>
      <c r="C27" s="894" t="s">
        <v>3020</v>
      </c>
      <c r="D27" s="1156">
        <f>D19</f>
        <v>2458015.5999999996</v>
      </c>
      <c r="E27" s="1156">
        <f t="shared" ref="E27:O27" si="5">E19</f>
        <v>2477606.33</v>
      </c>
      <c r="F27" s="1156">
        <f t="shared" si="5"/>
        <v>2378207.1900000004</v>
      </c>
      <c r="G27" s="1156">
        <f t="shared" si="5"/>
        <v>2024979.1</v>
      </c>
      <c r="H27" s="1156">
        <f t="shared" si="5"/>
        <v>1838059.4900000002</v>
      </c>
      <c r="I27" s="1156">
        <f t="shared" si="5"/>
        <v>1829768.4500000002</v>
      </c>
      <c r="J27" s="1156">
        <f t="shared" si="5"/>
        <v>2068990.61</v>
      </c>
      <c r="K27" s="1156">
        <f t="shared" si="5"/>
        <v>2143945.6799999997</v>
      </c>
      <c r="L27" s="1156">
        <f t="shared" si="5"/>
        <v>2251263.7599999998</v>
      </c>
      <c r="M27" s="1156">
        <f t="shared" si="5"/>
        <v>2249644.71</v>
      </c>
      <c r="N27" s="1156">
        <f t="shared" si="5"/>
        <v>2160872.4800000004</v>
      </c>
      <c r="O27" s="1156">
        <f t="shared" si="5"/>
        <v>1962036.0699999998</v>
      </c>
    </row>
    <row r="28" spans="1:16">
      <c r="A28" s="894">
        <v>25</v>
      </c>
      <c r="C28" s="894" t="s">
        <v>2787</v>
      </c>
      <c r="D28" s="1149">
        <f>SUM(D26:D27)</f>
        <v>31527350.240000002</v>
      </c>
      <c r="E28" s="1149">
        <f t="shared" ref="E28:O28" si="6">SUM(E26:E27)</f>
        <v>33097161.519999996</v>
      </c>
      <c r="F28" s="1149">
        <f t="shared" si="6"/>
        <v>26705844.09</v>
      </c>
      <c r="G28" s="1149">
        <f t="shared" si="6"/>
        <v>16532782.74</v>
      </c>
      <c r="H28" s="1149">
        <f t="shared" si="6"/>
        <v>11692753.369999999</v>
      </c>
      <c r="I28" s="1149">
        <f t="shared" si="6"/>
        <v>9176919.4100000001</v>
      </c>
      <c r="J28" s="1149">
        <f t="shared" si="6"/>
        <v>9450301.0899999999</v>
      </c>
      <c r="K28" s="1149">
        <f t="shared" si="6"/>
        <v>7951159</v>
      </c>
      <c r="L28" s="1149">
        <f t="shared" si="6"/>
        <v>11377712.049999999</v>
      </c>
      <c r="M28" s="1149">
        <f t="shared" si="6"/>
        <v>21141527.390000001</v>
      </c>
      <c r="N28" s="1149">
        <f t="shared" si="6"/>
        <v>31034858.91</v>
      </c>
      <c r="O28" s="1149">
        <f t="shared" si="6"/>
        <v>37636619.619999997</v>
      </c>
    </row>
    <row r="29" spans="1:16">
      <c r="A29" s="894">
        <v>26</v>
      </c>
      <c r="C29" s="894" t="s">
        <v>2673</v>
      </c>
      <c r="D29" s="1149">
        <f>D20-D28</f>
        <v>0</v>
      </c>
      <c r="E29" s="1149">
        <f t="shared" ref="E29:O29" si="7">E20-E28</f>
        <v>0</v>
      </c>
      <c r="F29" s="1149">
        <f t="shared" si="7"/>
        <v>0</v>
      </c>
      <c r="G29" s="1149">
        <f t="shared" si="7"/>
        <v>0</v>
      </c>
      <c r="H29" s="1149">
        <f t="shared" si="7"/>
        <v>0</v>
      </c>
      <c r="I29" s="1149">
        <f t="shared" si="7"/>
        <v>0</v>
      </c>
      <c r="J29" s="1149">
        <f t="shared" si="7"/>
        <v>0</v>
      </c>
      <c r="K29" s="1149">
        <f t="shared" si="7"/>
        <v>0</v>
      </c>
      <c r="L29" s="1149">
        <f t="shared" si="7"/>
        <v>0</v>
      </c>
      <c r="M29" s="1149">
        <f t="shared" si="7"/>
        <v>0</v>
      </c>
      <c r="N29" s="1149">
        <f t="shared" si="7"/>
        <v>0</v>
      </c>
      <c r="O29" s="1149">
        <f t="shared" si="7"/>
        <v>0</v>
      </c>
    </row>
    <row r="32" spans="1:16">
      <c r="C32" s="1155"/>
      <c r="D32" s="1157"/>
    </row>
  </sheetData>
  <printOptions horizontalCentered="1"/>
  <pageMargins left="0.5" right="0.5" top="1" bottom="0.75" header="0.5" footer="0.3"/>
  <pageSetup scale="48" fitToHeight="0" orientation="landscape" horizontalDpi="1200" verticalDpi="1200" r:id="rId1"/>
  <headerFooter scaleWithDoc="0">
    <oddHeader>&amp;C&amp;10Cascade Natural Gas Corporation
Allocation Report Summary 2019
IDM WP-1.4&amp;R&amp;9Page &amp;P of &amp;N</oddHeader>
    <oddFooter>&amp;L&amp;A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992E7-32E8-4379-AB37-D4D788998D90}">
  <sheetPr codeName="Sheet55">
    <tabColor theme="8" tint="0.79998168889431442"/>
    <pageSetUpPr fitToPage="1"/>
  </sheetPr>
  <dimension ref="A1:T20"/>
  <sheetViews>
    <sheetView zoomScale="80" zoomScaleNormal="80" workbookViewId="0">
      <selection activeCell="F27" sqref="F27"/>
    </sheetView>
  </sheetViews>
  <sheetFormatPr defaultColWidth="9" defaultRowHeight="14.4"/>
  <cols>
    <col min="1" max="1" width="5" style="613" customWidth="1"/>
    <col min="2" max="2" width="9.6640625" style="613" bestFit="1" customWidth="1"/>
    <col min="3" max="3" width="12.5546875" style="613" bestFit="1" customWidth="1"/>
    <col min="4" max="4" width="11.5546875" style="613" bestFit="1" customWidth="1"/>
    <col min="5" max="5" width="12.5546875" style="613" bestFit="1" customWidth="1"/>
    <col min="6" max="6" width="9" style="613"/>
    <col min="7" max="7" width="9.6640625" style="613" bestFit="1" customWidth="1"/>
    <col min="8" max="8" width="11.5546875" style="613" bestFit="1" customWidth="1"/>
    <col min="9" max="9" width="11.88671875" style="613" customWidth="1"/>
    <col min="10" max="10" width="11.5546875" style="613" bestFit="1" customWidth="1"/>
    <col min="11" max="16384" width="9" style="613"/>
  </cols>
  <sheetData>
    <row r="1" spans="1:10">
      <c r="A1" s="583"/>
      <c r="B1" s="583" t="s">
        <v>778</v>
      </c>
      <c r="C1" s="583" t="s">
        <v>776</v>
      </c>
      <c r="D1" s="583" t="s">
        <v>777</v>
      </c>
      <c r="E1" s="583" t="s">
        <v>780</v>
      </c>
      <c r="F1" s="583" t="s">
        <v>781</v>
      </c>
      <c r="G1" s="583" t="s">
        <v>782</v>
      </c>
      <c r="H1" s="583" t="s">
        <v>783</v>
      </c>
      <c r="I1" s="583" t="s">
        <v>783</v>
      </c>
      <c r="J1" s="583" t="s">
        <v>785</v>
      </c>
    </row>
    <row r="2" spans="1:10">
      <c r="A2" s="613">
        <v>1</v>
      </c>
      <c r="B2" s="1849" t="s">
        <v>3021</v>
      </c>
      <c r="C2" s="1849"/>
      <c r="D2" s="1849"/>
      <c r="E2" s="1849"/>
      <c r="G2" s="1849" t="s">
        <v>3022</v>
      </c>
      <c r="H2" s="1849"/>
      <c r="I2" s="1849"/>
      <c r="J2" s="1849"/>
    </row>
    <row r="3" spans="1:10">
      <c r="A3" s="613">
        <v>2</v>
      </c>
      <c r="B3" s="613" t="s">
        <v>677</v>
      </c>
      <c r="C3" s="613" t="s">
        <v>3023</v>
      </c>
      <c r="D3" s="613" t="s">
        <v>1</v>
      </c>
      <c r="E3" s="613" t="s">
        <v>51</v>
      </c>
      <c r="G3" s="613" t="s">
        <v>677</v>
      </c>
      <c r="H3" s="613" t="s">
        <v>3023</v>
      </c>
      <c r="I3" s="613" t="s">
        <v>1</v>
      </c>
      <c r="J3" s="613" t="s">
        <v>51</v>
      </c>
    </row>
    <row r="4" spans="1:10">
      <c r="A4" s="613">
        <v>3</v>
      </c>
      <c r="B4" s="908">
        <v>43466</v>
      </c>
      <c r="C4" s="905">
        <v>19427395</v>
      </c>
      <c r="D4" s="905">
        <v>1699732.9212850221</v>
      </c>
      <c r="E4" s="826">
        <f>SUM(C4:D4)</f>
        <v>21127127.921285022</v>
      </c>
      <c r="G4" s="908">
        <v>43466</v>
      </c>
      <c r="H4" s="905">
        <v>13076462</v>
      </c>
      <c r="I4" s="905">
        <v>1776838.6079321075</v>
      </c>
      <c r="J4" s="826">
        <f t="shared" ref="J4:J15" si="0">SUM(H4:I4)</f>
        <v>14853300.607932108</v>
      </c>
    </row>
    <row r="5" spans="1:10">
      <c r="A5" s="613">
        <v>4</v>
      </c>
      <c r="B5" s="908">
        <v>43497</v>
      </c>
      <c r="C5" s="905">
        <v>24276433</v>
      </c>
      <c r="D5" s="905">
        <v>-7255475.5054688565</v>
      </c>
      <c r="E5" s="826">
        <f t="shared" ref="E5:E15" si="1">SUM(C5:D5)</f>
        <v>17020957.494531143</v>
      </c>
      <c r="G5" s="908">
        <v>43497</v>
      </c>
      <c r="H5" s="905">
        <v>16468355</v>
      </c>
      <c r="I5" s="905">
        <v>-4596174.2258246187</v>
      </c>
      <c r="J5" s="826">
        <f t="shared" si="0"/>
        <v>11872180.774175381</v>
      </c>
    </row>
    <row r="6" spans="1:10">
      <c r="A6" s="613">
        <v>5</v>
      </c>
      <c r="B6" s="908">
        <v>43525</v>
      </c>
      <c r="C6" s="905">
        <v>16312080</v>
      </c>
      <c r="D6" s="905">
        <v>-1929747.2700163256</v>
      </c>
      <c r="E6" s="826">
        <f t="shared" si="1"/>
        <v>14382332.729983674</v>
      </c>
      <c r="G6" s="908">
        <v>43525</v>
      </c>
      <c r="H6" s="905">
        <v>11893162</v>
      </c>
      <c r="I6" s="905">
        <v>-2408625.181682447</v>
      </c>
      <c r="J6" s="826">
        <f t="shared" si="0"/>
        <v>9484536.818317553</v>
      </c>
    </row>
    <row r="7" spans="1:10">
      <c r="A7" s="613">
        <v>6</v>
      </c>
      <c r="B7" s="908">
        <v>43556</v>
      </c>
      <c r="C7" s="905">
        <v>6952137.9999999991</v>
      </c>
      <c r="D7" s="905">
        <v>2502300.0865489123</v>
      </c>
      <c r="E7" s="826">
        <f t="shared" si="1"/>
        <v>9454438.0865489114</v>
      </c>
      <c r="G7" s="908">
        <v>43556</v>
      </c>
      <c r="H7" s="905">
        <v>5188753</v>
      </c>
      <c r="I7" s="905">
        <v>973880.58810159191</v>
      </c>
      <c r="J7" s="826">
        <f t="shared" si="0"/>
        <v>6162633.5881015919</v>
      </c>
    </row>
    <row r="8" spans="1:10">
      <c r="A8" s="613">
        <v>7</v>
      </c>
      <c r="B8" s="908">
        <v>43586</v>
      </c>
      <c r="C8" s="905">
        <v>5018427</v>
      </c>
      <c r="D8" s="905">
        <v>983526.0208063405</v>
      </c>
      <c r="E8" s="826">
        <f t="shared" si="1"/>
        <v>6001953.0208063405</v>
      </c>
      <c r="G8" s="908">
        <v>43586</v>
      </c>
      <c r="H8" s="905">
        <v>3351647</v>
      </c>
      <c r="I8" s="905">
        <v>1126542.5980950147</v>
      </c>
      <c r="J8" s="826">
        <f t="shared" si="0"/>
        <v>4478189.5980950147</v>
      </c>
    </row>
    <row r="9" spans="1:10">
      <c r="A9" s="613">
        <v>8</v>
      </c>
      <c r="B9" s="908">
        <v>43617</v>
      </c>
      <c r="C9" s="905">
        <v>2902522.0000000005</v>
      </c>
      <c r="D9" s="905">
        <v>771184.32337854942</v>
      </c>
      <c r="E9" s="826">
        <f t="shared" si="1"/>
        <v>3673706.3233785499</v>
      </c>
      <c r="G9" s="908">
        <v>43617</v>
      </c>
      <c r="H9" s="905">
        <v>2869000</v>
      </c>
      <c r="I9" s="905">
        <v>281663.1401956589</v>
      </c>
      <c r="J9" s="826">
        <f t="shared" si="0"/>
        <v>3150663.1401956589</v>
      </c>
    </row>
    <row r="10" spans="1:10">
      <c r="A10" s="613">
        <v>9</v>
      </c>
      <c r="B10" s="908">
        <v>43647</v>
      </c>
      <c r="C10" s="905">
        <v>3088926</v>
      </c>
      <c r="D10" s="905">
        <v>-10517.523819486611</v>
      </c>
      <c r="E10" s="826">
        <f t="shared" si="1"/>
        <v>3078408.4761805134</v>
      </c>
      <c r="G10" s="908">
        <v>43647</v>
      </c>
      <c r="H10" s="905">
        <v>3138682</v>
      </c>
      <c r="I10" s="905">
        <v>-25875.297573229764</v>
      </c>
      <c r="J10" s="826">
        <f t="shared" si="0"/>
        <v>3112806.7024267702</v>
      </c>
    </row>
    <row r="11" spans="1:10">
      <c r="A11" s="613">
        <v>10</v>
      </c>
      <c r="B11" s="908">
        <v>43678</v>
      </c>
      <c r="C11" s="905">
        <v>1817452</v>
      </c>
      <c r="D11" s="905">
        <v>1261486.801196483</v>
      </c>
      <c r="E11" s="826">
        <f t="shared" si="1"/>
        <v>3078938.801196483</v>
      </c>
      <c r="G11" s="908">
        <v>43678</v>
      </c>
      <c r="H11" s="905">
        <v>1851549.0000000002</v>
      </c>
      <c r="I11" s="905">
        <v>1263154.941161711</v>
      </c>
      <c r="J11" s="826">
        <f t="shared" si="0"/>
        <v>3114703.9411617112</v>
      </c>
    </row>
    <row r="12" spans="1:10">
      <c r="A12" s="613">
        <v>11</v>
      </c>
      <c r="B12" s="908">
        <v>43709</v>
      </c>
      <c r="C12" s="905">
        <v>4287507</v>
      </c>
      <c r="D12" s="905">
        <v>-365326.89299783669</v>
      </c>
      <c r="E12" s="826">
        <f t="shared" si="1"/>
        <v>3922180.1070021633</v>
      </c>
      <c r="G12" s="908">
        <v>43709</v>
      </c>
      <c r="H12" s="905">
        <v>4407615</v>
      </c>
      <c r="I12" s="905">
        <v>-619630.08418907691</v>
      </c>
      <c r="J12" s="826">
        <f t="shared" si="0"/>
        <v>3787984.9158109231</v>
      </c>
    </row>
    <row r="13" spans="1:10">
      <c r="A13" s="613">
        <v>12</v>
      </c>
      <c r="B13" s="908">
        <v>43739</v>
      </c>
      <c r="C13" s="905">
        <v>11085416</v>
      </c>
      <c r="D13" s="905">
        <v>-2043729.8829160277</v>
      </c>
      <c r="E13" s="826">
        <f t="shared" si="1"/>
        <v>9041686.1170839723</v>
      </c>
      <c r="G13" s="908">
        <v>43739</v>
      </c>
      <c r="H13" s="905">
        <v>9618877</v>
      </c>
      <c r="I13" s="905">
        <v>-2455579.7543934081</v>
      </c>
      <c r="J13" s="826">
        <f t="shared" si="0"/>
        <v>7163297.2456065919</v>
      </c>
    </row>
    <row r="14" spans="1:10">
      <c r="A14" s="613">
        <v>13</v>
      </c>
      <c r="B14" s="908">
        <v>43770</v>
      </c>
      <c r="C14" s="905">
        <v>15903738</v>
      </c>
      <c r="D14" s="905">
        <v>1036088.7350640781</v>
      </c>
      <c r="E14" s="826">
        <f t="shared" si="1"/>
        <v>16939826.735064078</v>
      </c>
      <c r="G14" s="908">
        <v>43770</v>
      </c>
      <c r="H14" s="905">
        <v>11991964</v>
      </c>
      <c r="I14" s="905">
        <v>-966322.00482716225</v>
      </c>
      <c r="J14" s="826">
        <f t="shared" si="0"/>
        <v>11025641.995172838</v>
      </c>
    </row>
    <row r="15" spans="1:10">
      <c r="A15" s="613">
        <v>14</v>
      </c>
      <c r="B15" s="908">
        <v>43800</v>
      </c>
      <c r="C15" s="1158">
        <v>19793412</v>
      </c>
      <c r="D15" s="1158">
        <v>3013580.536832273</v>
      </c>
      <c r="E15" s="1159">
        <f t="shared" si="1"/>
        <v>22806992.536832273</v>
      </c>
      <c r="G15" s="908">
        <v>43800</v>
      </c>
      <c r="H15" s="1158">
        <v>13349454</v>
      </c>
      <c r="I15" s="1158">
        <v>1124321.72704928</v>
      </c>
      <c r="J15" s="1159">
        <f t="shared" si="0"/>
        <v>14473775.72704928</v>
      </c>
    </row>
    <row r="16" spans="1:10">
      <c r="A16" s="613">
        <v>15</v>
      </c>
      <c r="C16" s="834">
        <f>SUM(C4:C15)</f>
        <v>130865446</v>
      </c>
      <c r="D16" s="834">
        <f>SUM(D4:D15)</f>
        <v>-336897.65010687523</v>
      </c>
      <c r="E16" s="826">
        <f>SUM(E4:E15)</f>
        <v>130528548.34989311</v>
      </c>
      <c r="G16" s="1160"/>
      <c r="H16" s="826">
        <f>SUM(H4:H15)</f>
        <v>97205520</v>
      </c>
      <c r="I16" s="826">
        <f>SUM(I4:I15)</f>
        <v>-4525804.9459545789</v>
      </c>
      <c r="J16" s="826">
        <f>SUM(J4:J15)</f>
        <v>92679715.054045424</v>
      </c>
    </row>
    <row r="19" spans="8:20">
      <c r="I19" s="905"/>
      <c r="J19" s="905"/>
      <c r="K19" s="905"/>
      <c r="L19" s="905"/>
      <c r="M19" s="905"/>
      <c r="N19" s="905"/>
      <c r="O19" s="905"/>
      <c r="P19" s="905"/>
      <c r="Q19" s="905"/>
      <c r="R19" s="905"/>
      <c r="S19" s="905"/>
      <c r="T19" s="905"/>
    </row>
    <row r="20" spans="8:20">
      <c r="H20" s="905"/>
      <c r="I20" s="905"/>
      <c r="J20" s="905"/>
      <c r="K20" s="905"/>
      <c r="L20" s="905"/>
      <c r="M20" s="905"/>
      <c r="N20" s="905"/>
      <c r="O20" s="905"/>
      <c r="P20" s="905"/>
      <c r="Q20" s="905"/>
      <c r="R20" s="905"/>
      <c r="S20" s="905"/>
    </row>
  </sheetData>
  <mergeCells count="2">
    <mergeCell ref="B2:E2"/>
    <mergeCell ref="G2:J2"/>
  </mergeCells>
  <pageMargins left="0.7" right="0.7" top="1.5" bottom="0.75" header="0.3" footer="0.3"/>
  <pageSetup scale="86" fitToHeight="0" orientation="portrait" r:id="rId1"/>
  <headerFooter>
    <oddHeader>&amp;CCascade Natural Gas Corporation
Weather Normalization
IDM WP-1.5&amp;RPage &amp;P of &amp;N</oddHeader>
    <oddFooter>&amp;L&amp;A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DD1A-1796-4B57-9CA7-79569BB62FC5}">
  <sheetPr codeName="Sheet56">
    <tabColor theme="8" tint="0.79998168889431442"/>
  </sheetPr>
  <dimension ref="A1:AZ201"/>
  <sheetViews>
    <sheetView topLeftCell="D1" zoomScale="80" zoomScaleNormal="80" workbookViewId="0">
      <selection activeCell="F27" sqref="F27"/>
    </sheetView>
  </sheetViews>
  <sheetFormatPr defaultColWidth="9.109375" defaultRowHeight="14.4"/>
  <cols>
    <col min="1" max="1" width="7.5546875" style="830" customWidth="1"/>
    <col min="2" max="2" width="24.6640625" style="830" bestFit="1" customWidth="1"/>
    <col min="3" max="3" width="65.6640625" style="830" bestFit="1" customWidth="1"/>
    <col min="4" max="4" width="17.5546875" style="830" customWidth="1"/>
    <col min="5" max="5" width="14" style="830" bestFit="1" customWidth="1"/>
    <col min="6" max="6" width="16.5546875" style="830" customWidth="1"/>
    <col min="7" max="7" width="20.6640625" style="830" customWidth="1"/>
    <col min="8" max="13" width="14" style="830" customWidth="1"/>
    <col min="14" max="14" width="14.33203125" style="830" customWidth="1"/>
    <col min="15" max="15" width="16.88671875" style="830" customWidth="1"/>
    <col min="16" max="16" width="18.33203125" style="830" customWidth="1"/>
    <col min="17" max="17" width="1.6640625" style="830" customWidth="1"/>
    <col min="18" max="18" width="16.88671875" style="830" customWidth="1"/>
    <col min="19" max="19" width="1" style="830" customWidth="1"/>
    <col min="20" max="20" width="18.6640625" style="830" customWidth="1"/>
    <col min="21" max="21" width="14.33203125" style="830" customWidth="1"/>
    <col min="22" max="23" width="13.33203125" style="830" customWidth="1"/>
    <col min="24" max="24" width="11.5546875" style="830" customWidth="1"/>
    <col min="25" max="25" width="3.109375" style="830" customWidth="1"/>
    <col min="26" max="26" width="9.109375" style="830" customWidth="1"/>
    <col min="27" max="27" width="3.88671875" style="830" customWidth="1"/>
    <col min="28" max="28" width="9.6640625" style="830" customWidth="1"/>
    <col min="29" max="29" width="9.109375" style="830" customWidth="1"/>
    <col min="30" max="30" width="17.33203125" style="830" customWidth="1"/>
    <col min="31" max="31" width="17.6640625" style="830" customWidth="1"/>
    <col min="32" max="32" width="9.6640625" style="830" bestFit="1" customWidth="1"/>
    <col min="33" max="33" width="9.109375" style="830"/>
    <col min="34" max="34" width="18.6640625" style="830" bestFit="1" customWidth="1"/>
    <col min="35" max="35" width="13.33203125" style="830" bestFit="1" customWidth="1"/>
    <col min="36" max="36" width="10.5546875" style="830" bestFit="1" customWidth="1"/>
    <col min="37" max="37" width="7.5546875" style="830" bestFit="1" customWidth="1"/>
    <col min="38" max="38" width="10.5546875" style="830" bestFit="1" customWidth="1"/>
    <col min="39" max="39" width="9.109375" style="830"/>
    <col min="40" max="40" width="8" style="830" bestFit="1" customWidth="1"/>
    <col min="41" max="41" width="9.109375" style="830"/>
    <col min="42" max="42" width="9.6640625" style="830" bestFit="1" customWidth="1"/>
    <col min="43" max="43" width="9.109375" style="830"/>
    <col min="44" max="44" width="18.6640625" style="830" bestFit="1" customWidth="1"/>
    <col min="45" max="45" width="13.33203125" style="830" bestFit="1" customWidth="1"/>
    <col min="46" max="46" width="10.5546875" style="830" bestFit="1" customWidth="1"/>
    <col min="47" max="47" width="7.5546875" style="830" bestFit="1" customWidth="1"/>
    <col min="48" max="48" width="10.5546875" style="830" bestFit="1" customWidth="1"/>
    <col min="49" max="49" width="9.109375" style="830"/>
    <col min="50" max="50" width="8" style="830" bestFit="1" customWidth="1"/>
    <col min="51" max="51" width="9.109375" style="830"/>
    <col min="52" max="52" width="9.6640625" style="830" bestFit="1" customWidth="1"/>
    <col min="53" max="16384" width="9.109375" style="830"/>
  </cols>
  <sheetData>
    <row r="1" spans="1:52" s="871" customFormat="1">
      <c r="A1" s="871">
        <v>1</v>
      </c>
      <c r="B1" s="871" t="s">
        <v>778</v>
      </c>
      <c r="C1" s="871" t="s">
        <v>776</v>
      </c>
      <c r="D1" s="871" t="s">
        <v>777</v>
      </c>
      <c r="E1" s="871" t="s">
        <v>780</v>
      </c>
      <c r="F1" s="871" t="s">
        <v>781</v>
      </c>
      <c r="G1" s="871" t="s">
        <v>782</v>
      </c>
      <c r="H1" s="871" t="s">
        <v>783</v>
      </c>
      <c r="I1" s="871" t="s">
        <v>784</v>
      </c>
      <c r="J1" s="871" t="s">
        <v>785</v>
      </c>
      <c r="K1" s="871" t="s">
        <v>786</v>
      </c>
      <c r="L1" s="871" t="s">
        <v>787</v>
      </c>
      <c r="M1" s="871" t="s">
        <v>788</v>
      </c>
      <c r="N1" s="871" t="s">
        <v>789</v>
      </c>
      <c r="O1" s="871" t="s">
        <v>790</v>
      </c>
      <c r="P1" s="871" t="s">
        <v>791</v>
      </c>
      <c r="Q1" s="871" t="s">
        <v>995</v>
      </c>
      <c r="R1" s="871" t="s">
        <v>996</v>
      </c>
      <c r="S1" s="871" t="s">
        <v>997</v>
      </c>
      <c r="T1" s="871" t="s">
        <v>998</v>
      </c>
      <c r="U1" s="871" t="s">
        <v>999</v>
      </c>
      <c r="V1" s="871" t="s">
        <v>1000</v>
      </c>
      <c r="W1" s="871" t="s">
        <v>1001</v>
      </c>
      <c r="X1" s="871" t="s">
        <v>1002</v>
      </c>
      <c r="Y1" s="1161" t="s">
        <v>1003</v>
      </c>
      <c r="Z1" s="871" t="s">
        <v>1004</v>
      </c>
      <c r="AA1" s="1162" t="s">
        <v>1005</v>
      </c>
      <c r="AB1" s="1162" t="s">
        <v>740</v>
      </c>
      <c r="AC1" s="1162" t="s">
        <v>1006</v>
      </c>
      <c r="AD1" s="1162" t="s">
        <v>1007</v>
      </c>
      <c r="AE1" s="1162"/>
      <c r="AF1" s="1162"/>
      <c r="AG1" s="1162"/>
      <c r="AH1" s="1162"/>
      <c r="AI1" s="1162"/>
      <c r="AJ1" s="1162"/>
      <c r="AK1" s="1162"/>
      <c r="AL1" s="1162"/>
    </row>
    <row r="2" spans="1:52" ht="27.75" customHeight="1">
      <c r="A2" s="830">
        <v>2</v>
      </c>
      <c r="B2" s="1891" t="s">
        <v>3024</v>
      </c>
      <c r="C2" s="1891"/>
      <c r="D2" s="1891"/>
      <c r="E2" s="1891"/>
      <c r="F2" s="1891"/>
      <c r="G2" s="1891"/>
      <c r="H2" s="1891"/>
      <c r="I2" s="1891"/>
      <c r="J2" s="1891"/>
      <c r="K2" s="1891"/>
      <c r="L2" s="1891"/>
      <c r="M2" s="1891"/>
      <c r="N2" s="1891"/>
      <c r="O2" s="1891"/>
      <c r="P2" s="1891"/>
    </row>
    <row r="3" spans="1:52" ht="21">
      <c r="A3" s="830">
        <v>3</v>
      </c>
      <c r="B3" s="1892" t="s">
        <v>3025</v>
      </c>
      <c r="C3" s="1892"/>
      <c r="D3" s="1892"/>
      <c r="E3" s="1892"/>
      <c r="F3" s="1892"/>
      <c r="G3" s="1892"/>
      <c r="H3" s="1892"/>
      <c r="I3" s="1892"/>
      <c r="J3" s="1892"/>
      <c r="K3" s="1892"/>
      <c r="L3" s="1892"/>
      <c r="M3" s="1892"/>
      <c r="N3" s="1892"/>
      <c r="O3" s="1892"/>
      <c r="P3" s="1892"/>
    </row>
    <row r="4" spans="1:52" ht="18" thickBot="1">
      <c r="A4" s="830">
        <v>4</v>
      </c>
      <c r="B4" s="1893" t="s">
        <v>3026</v>
      </c>
      <c r="C4" s="1893"/>
      <c r="D4" s="1893"/>
      <c r="E4" s="1893"/>
      <c r="F4" s="1893"/>
      <c r="G4" s="1893"/>
      <c r="H4" s="1893"/>
      <c r="I4" s="1893"/>
      <c r="J4" s="1893"/>
      <c r="K4" s="1893"/>
      <c r="L4" s="1893"/>
      <c r="M4" s="1893"/>
      <c r="N4" s="1893"/>
      <c r="O4" s="1893"/>
      <c r="P4" s="1893"/>
      <c r="Q4" s="1163"/>
    </row>
    <row r="5" spans="1:52" ht="15.6">
      <c r="A5" s="830">
        <v>5</v>
      </c>
      <c r="B5" s="1164" t="s">
        <v>2593</v>
      </c>
      <c r="C5" s="1165"/>
      <c r="D5" s="1166">
        <v>43496</v>
      </c>
      <c r="E5" s="1166">
        <v>43524</v>
      </c>
      <c r="F5" s="1166">
        <v>43555</v>
      </c>
      <c r="G5" s="1166">
        <v>43585</v>
      </c>
      <c r="H5" s="1166">
        <v>43616</v>
      </c>
      <c r="I5" s="1166">
        <v>43646</v>
      </c>
      <c r="J5" s="1166">
        <v>43677</v>
      </c>
      <c r="K5" s="1166">
        <v>43708</v>
      </c>
      <c r="L5" s="1166">
        <v>43738</v>
      </c>
      <c r="M5" s="1166">
        <v>43769</v>
      </c>
      <c r="N5" s="1166" t="s">
        <v>3027</v>
      </c>
      <c r="O5" s="1166">
        <v>43799</v>
      </c>
      <c r="P5" s="1167">
        <v>43830</v>
      </c>
      <c r="R5" s="1168" t="s">
        <v>1084</v>
      </c>
    </row>
    <row r="6" spans="1:52">
      <c r="A6" s="830">
        <v>6</v>
      </c>
      <c r="B6" s="1169"/>
      <c r="C6" s="847" t="s">
        <v>3028</v>
      </c>
      <c r="D6" s="1170">
        <v>5.1799999999999999E-2</v>
      </c>
      <c r="E6" s="1170">
        <v>5.1799999999999999E-2</v>
      </c>
      <c r="F6" s="1170">
        <v>5.1799999999999999E-2</v>
      </c>
      <c r="G6" s="1170">
        <v>5.45E-2</v>
      </c>
      <c r="H6" s="1170">
        <v>5.45E-2</v>
      </c>
      <c r="I6" s="1170">
        <v>5.45E-2</v>
      </c>
      <c r="J6" s="1170">
        <v>5.5E-2</v>
      </c>
      <c r="K6" s="1170">
        <v>5.5E-2</v>
      </c>
      <c r="L6" s="1170">
        <v>5.5E-2</v>
      </c>
      <c r="M6" s="1170">
        <v>5.4199999999999998E-2</v>
      </c>
      <c r="N6" s="1170"/>
      <c r="O6" s="1170">
        <v>5.4199999999999998E-2</v>
      </c>
      <c r="P6" s="1171">
        <v>5.4199999999999998E-2</v>
      </c>
      <c r="Q6" s="1172"/>
      <c r="R6" s="1173"/>
      <c r="T6" s="1174" t="s">
        <v>3029</v>
      </c>
    </row>
    <row r="7" spans="1:52" ht="15.6">
      <c r="A7" s="830">
        <v>7</v>
      </c>
      <c r="B7" s="1175"/>
      <c r="C7" s="847" t="s">
        <v>3030</v>
      </c>
      <c r="D7" s="899">
        <v>31</v>
      </c>
      <c r="E7" s="899">
        <v>28</v>
      </c>
      <c r="F7" s="899">
        <v>31</v>
      </c>
      <c r="G7" s="899">
        <v>30</v>
      </c>
      <c r="H7" s="899">
        <v>31</v>
      </c>
      <c r="I7" s="899">
        <v>30</v>
      </c>
      <c r="J7" s="899">
        <v>31</v>
      </c>
      <c r="K7" s="899">
        <v>31</v>
      </c>
      <c r="L7" s="899">
        <v>30</v>
      </c>
      <c r="M7" s="899">
        <v>31</v>
      </c>
      <c r="N7" s="899"/>
      <c r="O7" s="899">
        <v>30</v>
      </c>
      <c r="P7" s="1176">
        <v>31</v>
      </c>
      <c r="R7" s="1177"/>
    </row>
    <row r="8" spans="1:52">
      <c r="A8" s="830">
        <v>8</v>
      </c>
      <c r="B8" s="1178" t="s">
        <v>3031</v>
      </c>
      <c r="C8" s="1179">
        <v>502</v>
      </c>
      <c r="D8" s="899" t="s">
        <v>3032</v>
      </c>
      <c r="P8" s="1180"/>
      <c r="R8" s="1172"/>
    </row>
    <row r="9" spans="1:52">
      <c r="A9" s="830">
        <v>9</v>
      </c>
      <c r="B9" s="1181" t="s">
        <v>1057</v>
      </c>
      <c r="C9" s="830" t="s">
        <v>3033</v>
      </c>
      <c r="D9" s="899">
        <v>0</v>
      </c>
      <c r="E9" s="899">
        <v>0</v>
      </c>
      <c r="F9" s="899">
        <v>0</v>
      </c>
      <c r="G9" s="899">
        <v>0</v>
      </c>
      <c r="H9" s="899">
        <v>0</v>
      </c>
      <c r="I9" s="899">
        <v>0</v>
      </c>
      <c r="J9" s="899">
        <v>0</v>
      </c>
      <c r="K9" s="899">
        <v>0</v>
      </c>
      <c r="L9" s="899">
        <v>0</v>
      </c>
      <c r="M9" s="899">
        <v>0</v>
      </c>
      <c r="N9" s="899"/>
      <c r="O9" s="899">
        <v>0</v>
      </c>
      <c r="P9" s="1182">
        <v>0</v>
      </c>
      <c r="R9" s="1172"/>
      <c r="V9" s="899"/>
      <c r="X9" s="899"/>
      <c r="AJ9" s="899"/>
      <c r="AL9" s="899"/>
      <c r="AT9" s="899"/>
      <c r="AV9" s="899"/>
    </row>
    <row r="10" spans="1:52">
      <c r="A10" s="830">
        <v>10</v>
      </c>
      <c r="B10" s="1181" t="s">
        <v>3034</v>
      </c>
      <c r="C10" s="830" t="s">
        <v>3035</v>
      </c>
      <c r="D10" s="1183">
        <v>0</v>
      </c>
      <c r="E10" s="1183">
        <v>0</v>
      </c>
      <c r="F10" s="1183">
        <v>0</v>
      </c>
      <c r="G10" s="1183">
        <v>0</v>
      </c>
      <c r="H10" s="1183">
        <v>0</v>
      </c>
      <c r="I10" s="1183">
        <v>0</v>
      </c>
      <c r="J10" s="1183">
        <v>0</v>
      </c>
      <c r="K10" s="1183">
        <f>51.97-51.97</f>
        <v>0</v>
      </c>
      <c r="L10" s="1183">
        <v>0</v>
      </c>
      <c r="M10" s="1183">
        <v>0</v>
      </c>
      <c r="N10" s="1183"/>
      <c r="O10" s="1183">
        <v>0</v>
      </c>
      <c r="P10" s="1184">
        <v>0</v>
      </c>
      <c r="R10" s="1172"/>
      <c r="T10" s="850"/>
      <c r="U10" s="928"/>
      <c r="V10" s="1185"/>
      <c r="X10" s="1185"/>
      <c r="AB10" s="1185"/>
      <c r="AF10" s="1185"/>
      <c r="AH10" s="850"/>
      <c r="AI10" s="928"/>
      <c r="AJ10" s="1185"/>
      <c r="AL10" s="1185"/>
      <c r="AP10" s="1185"/>
      <c r="AR10" s="850"/>
      <c r="AS10" s="928"/>
      <c r="AT10" s="1185"/>
      <c r="AV10" s="1185"/>
      <c r="AZ10" s="1185"/>
    </row>
    <row r="11" spans="1:52" ht="28.8">
      <c r="A11" s="830">
        <v>11</v>
      </c>
      <c r="B11" s="1181"/>
      <c r="C11" s="850" t="s">
        <v>3036</v>
      </c>
      <c r="D11" s="928">
        <f t="shared" ref="D11:M11" si="0">D10</f>
        <v>0</v>
      </c>
      <c r="E11" s="928">
        <f t="shared" si="0"/>
        <v>0</v>
      </c>
      <c r="F11" s="928">
        <f t="shared" si="0"/>
        <v>0</v>
      </c>
      <c r="G11" s="928">
        <f t="shared" si="0"/>
        <v>0</v>
      </c>
      <c r="H11" s="928">
        <f t="shared" si="0"/>
        <v>0</v>
      </c>
      <c r="I11" s="928">
        <f t="shared" si="0"/>
        <v>0</v>
      </c>
      <c r="J11" s="928">
        <f t="shared" si="0"/>
        <v>0</v>
      </c>
      <c r="K11" s="928">
        <f t="shared" si="0"/>
        <v>0</v>
      </c>
      <c r="L11" s="928">
        <f t="shared" si="0"/>
        <v>0</v>
      </c>
      <c r="M11" s="928">
        <f t="shared" si="0"/>
        <v>0</v>
      </c>
      <c r="N11" s="928"/>
      <c r="O11" s="928">
        <f>O10</f>
        <v>0</v>
      </c>
      <c r="P11" s="1182">
        <f>P10</f>
        <v>0</v>
      </c>
      <c r="R11" s="1172"/>
      <c r="T11" s="850"/>
      <c r="U11" s="928"/>
      <c r="V11" s="1185"/>
      <c r="X11" s="1185"/>
      <c r="AB11" s="1185"/>
      <c r="AD11" s="1186" t="s">
        <v>3037</v>
      </c>
      <c r="AF11" s="1185"/>
      <c r="AH11" s="850"/>
      <c r="AI11" s="928"/>
      <c r="AJ11" s="1185"/>
      <c r="AL11" s="1185"/>
      <c r="AP11" s="1185"/>
      <c r="AR11" s="850"/>
      <c r="AS11" s="928"/>
      <c r="AT11" s="1185"/>
      <c r="AV11" s="1185"/>
      <c r="AZ11" s="1185"/>
    </row>
    <row r="12" spans="1:52">
      <c r="A12" s="830">
        <v>12</v>
      </c>
      <c r="B12" s="1181"/>
      <c r="C12" s="850" t="s">
        <v>3038</v>
      </c>
      <c r="D12" s="1183">
        <v>0</v>
      </c>
      <c r="E12" s="1183">
        <v>0</v>
      </c>
      <c r="F12" s="1183">
        <v>0</v>
      </c>
      <c r="G12" s="1183">
        <v>0</v>
      </c>
      <c r="H12" s="1183">
        <v>0</v>
      </c>
      <c r="I12" s="1183">
        <v>0</v>
      </c>
      <c r="J12" s="1183">
        <v>0</v>
      </c>
      <c r="K12" s="1183">
        <v>0</v>
      </c>
      <c r="L12" s="1183">
        <v>0</v>
      </c>
      <c r="M12" s="1183">
        <v>0</v>
      </c>
      <c r="N12" s="1183"/>
      <c r="O12" s="1183">
        <v>0</v>
      </c>
      <c r="P12" s="1184">
        <v>0</v>
      </c>
      <c r="R12" s="1172"/>
    </row>
    <row r="13" spans="1:52">
      <c r="A13" s="830">
        <v>13</v>
      </c>
      <c r="B13" s="1181"/>
      <c r="C13" s="850" t="s">
        <v>3039</v>
      </c>
      <c r="D13" s="928">
        <f t="shared" ref="D13:M13" si="1">SUM(D11:D12)</f>
        <v>0</v>
      </c>
      <c r="E13" s="928">
        <f t="shared" si="1"/>
        <v>0</v>
      </c>
      <c r="F13" s="928">
        <f t="shared" si="1"/>
        <v>0</v>
      </c>
      <c r="G13" s="928">
        <f t="shared" si="1"/>
        <v>0</v>
      </c>
      <c r="H13" s="928">
        <f t="shared" si="1"/>
        <v>0</v>
      </c>
      <c r="I13" s="928">
        <f t="shared" si="1"/>
        <v>0</v>
      </c>
      <c r="J13" s="928">
        <f t="shared" si="1"/>
        <v>0</v>
      </c>
      <c r="K13" s="928">
        <f t="shared" si="1"/>
        <v>0</v>
      </c>
      <c r="L13" s="928">
        <f t="shared" si="1"/>
        <v>0</v>
      </c>
      <c r="M13" s="928">
        <f t="shared" si="1"/>
        <v>0</v>
      </c>
      <c r="N13" s="928">
        <v>-8606.2899999999991</v>
      </c>
      <c r="O13" s="928">
        <f>SUM(O11:O12)</f>
        <v>0</v>
      </c>
      <c r="P13" s="1182">
        <f>SUM(P11:P12)</f>
        <v>0</v>
      </c>
      <c r="R13" s="1187">
        <f>SUM(D13:Q13)-N13</f>
        <v>0</v>
      </c>
    </row>
    <row r="14" spans="1:52">
      <c r="A14" s="830">
        <v>14</v>
      </c>
      <c r="B14" s="1181"/>
      <c r="C14" s="850" t="s">
        <v>3040</v>
      </c>
      <c r="D14" s="928">
        <v>37.86</v>
      </c>
      <c r="E14" s="928">
        <f>ROUND(ROUND(D16*E$6,2)/365*E$7,2)</f>
        <v>34.35</v>
      </c>
      <c r="F14" s="928">
        <f>ROUND(ROUND(E16*F$6,2)/365*F$7,2)</f>
        <v>38.18</v>
      </c>
      <c r="G14" s="928">
        <f>ROUND(ROUND(F16*G$6,2)/365*G$7,2)</f>
        <v>39.049999999999997</v>
      </c>
      <c r="H14" s="928">
        <v>40.53</v>
      </c>
      <c r="I14" s="928">
        <v>39.4</v>
      </c>
      <c r="J14" s="928">
        <v>41.27</v>
      </c>
      <c r="K14" s="928">
        <v>41.47</v>
      </c>
      <c r="L14" s="928">
        <v>40.32</v>
      </c>
      <c r="M14" s="928">
        <v>41.24</v>
      </c>
      <c r="N14" s="928">
        <v>-393.67</v>
      </c>
      <c r="O14" s="928">
        <f>ROUND(ROUND(N16*O$6,2)/365*O$7,2)</f>
        <v>0</v>
      </c>
      <c r="P14" s="1182">
        <f>ROUND(ROUND(O16*P$6,2)/365*P$7,2)</f>
        <v>0</v>
      </c>
      <c r="R14" s="1188">
        <f>SUM(D14:Q14)</f>
        <v>0</v>
      </c>
    </row>
    <row r="15" spans="1:52">
      <c r="A15" s="830">
        <v>15</v>
      </c>
      <c r="B15" s="1181"/>
      <c r="C15" s="850" t="s">
        <v>3041</v>
      </c>
      <c r="D15" s="1183">
        <f t="shared" ref="D15:P15" si="2">SUM(D13:D14)</f>
        <v>37.86</v>
      </c>
      <c r="E15" s="1183">
        <f t="shared" si="2"/>
        <v>34.35</v>
      </c>
      <c r="F15" s="1183">
        <f t="shared" si="2"/>
        <v>38.18</v>
      </c>
      <c r="G15" s="1189">
        <v>39.049999999999997</v>
      </c>
      <c r="H15" s="1183">
        <f t="shared" si="2"/>
        <v>40.53</v>
      </c>
      <c r="I15" s="1183">
        <f t="shared" si="2"/>
        <v>39.4</v>
      </c>
      <c r="J15" s="1183">
        <f t="shared" si="2"/>
        <v>41.27</v>
      </c>
      <c r="K15" s="1183">
        <f t="shared" si="2"/>
        <v>41.47</v>
      </c>
      <c r="L15" s="1183">
        <f t="shared" si="2"/>
        <v>40.32</v>
      </c>
      <c r="M15" s="1183">
        <f t="shared" si="2"/>
        <v>41.24</v>
      </c>
      <c r="N15" s="1183">
        <f t="shared" si="2"/>
        <v>-8999.9599999999991</v>
      </c>
      <c r="O15" s="1183">
        <f t="shared" si="2"/>
        <v>0</v>
      </c>
      <c r="P15" s="1184">
        <f t="shared" si="2"/>
        <v>0</v>
      </c>
      <c r="R15" s="1190">
        <f>SUM(R13:R14)</f>
        <v>0</v>
      </c>
    </row>
    <row r="16" spans="1:52">
      <c r="A16" s="830">
        <v>16</v>
      </c>
      <c r="B16" s="1181"/>
      <c r="C16" s="850" t="s">
        <v>3042</v>
      </c>
      <c r="D16" s="928">
        <v>8644.1500000000051</v>
      </c>
      <c r="E16" s="928">
        <f t="shared" ref="E16:P16" si="3">D16+E15</f>
        <v>8678.5000000000055</v>
      </c>
      <c r="F16" s="928">
        <f t="shared" si="3"/>
        <v>8716.6800000000057</v>
      </c>
      <c r="G16" s="928">
        <f t="shared" si="3"/>
        <v>8755.730000000005</v>
      </c>
      <c r="H16" s="928">
        <f t="shared" si="3"/>
        <v>8796.2600000000057</v>
      </c>
      <c r="I16" s="928">
        <f t="shared" si="3"/>
        <v>8835.6600000000053</v>
      </c>
      <c r="J16" s="928">
        <f t="shared" si="3"/>
        <v>8876.9300000000057</v>
      </c>
      <c r="K16" s="928">
        <f t="shared" si="3"/>
        <v>8918.4000000000051</v>
      </c>
      <c r="L16" s="928">
        <f t="shared" si="3"/>
        <v>8958.7200000000048</v>
      </c>
      <c r="M16" s="928">
        <f t="shared" si="3"/>
        <v>8999.9600000000046</v>
      </c>
      <c r="N16" s="928">
        <f t="shared" si="3"/>
        <v>0</v>
      </c>
      <c r="O16" s="928">
        <f t="shared" si="3"/>
        <v>0</v>
      </c>
      <c r="P16" s="1191">
        <f t="shared" si="3"/>
        <v>0</v>
      </c>
      <c r="R16" s="1172"/>
    </row>
    <row r="17" spans="1:52">
      <c r="A17" s="830">
        <v>17</v>
      </c>
      <c r="B17" s="1181"/>
      <c r="D17" s="899"/>
      <c r="E17" s="899"/>
      <c r="F17" s="928"/>
      <c r="G17" s="1192"/>
      <c r="H17" s="1193"/>
      <c r="I17" s="1193"/>
      <c r="J17" s="1193"/>
      <c r="K17" s="1193"/>
      <c r="L17" s="1193"/>
      <c r="M17" s="1193"/>
      <c r="N17" s="1193"/>
      <c r="O17" s="1193"/>
      <c r="P17" s="1194"/>
      <c r="Q17" s="834"/>
      <c r="R17" s="1195"/>
      <c r="U17" s="830">
        <v>503</v>
      </c>
      <c r="AK17" s="849"/>
      <c r="AU17" s="849"/>
    </row>
    <row r="18" spans="1:52" ht="15.6">
      <c r="A18" s="830">
        <v>18</v>
      </c>
      <c r="B18" s="829" t="s">
        <v>3031</v>
      </c>
      <c r="C18" s="890">
        <v>503</v>
      </c>
      <c r="D18" s="899"/>
      <c r="E18" s="899"/>
      <c r="F18" s="928"/>
      <c r="G18" s="1192"/>
      <c r="H18" s="899"/>
      <c r="I18" s="899"/>
      <c r="J18" s="899"/>
      <c r="K18" s="899"/>
      <c r="L18" s="899"/>
      <c r="M18" s="899"/>
      <c r="N18" s="899"/>
      <c r="O18" s="899"/>
      <c r="P18" s="1196"/>
      <c r="Q18" s="834"/>
      <c r="R18" s="1195"/>
      <c r="V18" s="1197">
        <v>17650518</v>
      </c>
      <c r="W18" s="830" t="s">
        <v>2514</v>
      </c>
      <c r="X18" s="899">
        <f>V18</f>
        <v>17650518</v>
      </c>
      <c r="AJ18" s="899"/>
      <c r="AL18" s="899"/>
      <c r="AT18" s="899"/>
      <c r="AV18" s="899"/>
    </row>
    <row r="19" spans="1:52" ht="15.6">
      <c r="A19" s="830">
        <v>19</v>
      </c>
      <c r="B19" s="1181" t="s">
        <v>1057</v>
      </c>
      <c r="C19" s="830" t="s">
        <v>3043</v>
      </c>
      <c r="D19" s="899">
        <v>190816</v>
      </c>
      <c r="E19" s="899">
        <v>191181</v>
      </c>
      <c r="F19" s="899">
        <v>191240</v>
      </c>
      <c r="G19" s="1192">
        <v>191097</v>
      </c>
      <c r="H19" s="899">
        <v>190896</v>
      </c>
      <c r="I19" s="899">
        <v>190735</v>
      </c>
      <c r="J19" s="899">
        <v>190627</v>
      </c>
      <c r="K19" s="899">
        <v>190658</v>
      </c>
      <c r="L19" s="899">
        <v>191291</v>
      </c>
      <c r="M19" s="899">
        <v>192838</v>
      </c>
      <c r="N19" s="899"/>
      <c r="O19" s="899">
        <v>193448</v>
      </c>
      <c r="P19" s="1196">
        <v>193905</v>
      </c>
      <c r="Q19" s="928"/>
      <c r="R19" s="1198"/>
      <c r="T19" s="850" t="s">
        <v>2696</v>
      </c>
      <c r="U19" s="1199">
        <v>4801832.72</v>
      </c>
      <c r="V19" s="1185">
        <f>U19/V18</f>
        <v>0.2720505267890721</v>
      </c>
      <c r="X19" s="1185">
        <f>U19/X18</f>
        <v>0.2720505267890721</v>
      </c>
      <c r="Z19" s="830">
        <v>0.27205000000000001</v>
      </c>
      <c r="AB19" s="1185">
        <f>Z19-X19</f>
        <v>-5.2678907208614234E-7</v>
      </c>
      <c r="AF19" s="1185"/>
      <c r="AH19" s="850"/>
      <c r="AI19" s="928"/>
      <c r="AJ19" s="1185"/>
      <c r="AL19" s="1185"/>
      <c r="AP19" s="1185"/>
      <c r="AR19" s="850"/>
      <c r="AS19" s="928"/>
      <c r="AT19" s="1185"/>
      <c r="AV19" s="1185"/>
      <c r="AZ19" s="1185"/>
    </row>
    <row r="20" spans="1:52" ht="15.6">
      <c r="A20" s="830">
        <v>20</v>
      </c>
      <c r="B20" s="1181" t="s">
        <v>3034</v>
      </c>
      <c r="C20" s="830" t="s">
        <v>3035</v>
      </c>
      <c r="D20" s="928">
        <v>5284738.49</v>
      </c>
      <c r="E20" s="928">
        <v>5665855.4100000001</v>
      </c>
      <c r="F20" s="928">
        <v>6095743.0599999996</v>
      </c>
      <c r="G20" s="1192">
        <v>3335957.1</v>
      </c>
      <c r="H20" s="928">
        <v>2015767.5</v>
      </c>
      <c r="I20" s="928">
        <v>1100880.3799999999</v>
      </c>
      <c r="J20" s="928">
        <v>875303.46</v>
      </c>
      <c r="K20" s="928">
        <v>754930.51</v>
      </c>
      <c r="L20" s="928">
        <v>732277.02</v>
      </c>
      <c r="M20" s="928">
        <v>1732073.44</v>
      </c>
      <c r="N20" s="928"/>
      <c r="O20" s="928">
        <v>3163652.94</v>
      </c>
      <c r="P20" s="1182">
        <v>4801832.72</v>
      </c>
      <c r="Q20" s="928"/>
      <c r="R20" s="1198"/>
      <c r="T20" s="850" t="s">
        <v>2650</v>
      </c>
      <c r="U20" s="1199">
        <v>7735997.6799999997</v>
      </c>
      <c r="V20" s="1185">
        <f>U20/V18</f>
        <v>0.4382872887923176</v>
      </c>
      <c r="X20" s="1185">
        <f>U20/X18</f>
        <v>0.4382872887923176</v>
      </c>
      <c r="Z20" s="830">
        <v>0.43833</v>
      </c>
      <c r="AB20" s="1185">
        <f>Z20-X20</f>
        <v>4.2711207682399888E-5</v>
      </c>
      <c r="AF20" s="1185"/>
      <c r="AH20" s="850"/>
      <c r="AI20" s="928"/>
      <c r="AJ20" s="1185"/>
      <c r="AL20" s="1185"/>
      <c r="AP20" s="1185"/>
      <c r="AR20" s="850"/>
      <c r="AS20" s="928"/>
      <c r="AT20" s="1185"/>
      <c r="AV20" s="1185"/>
      <c r="AZ20" s="1185"/>
    </row>
    <row r="21" spans="1:52">
      <c r="A21" s="830">
        <v>21</v>
      </c>
      <c r="B21" s="1181" t="s">
        <v>3044</v>
      </c>
      <c r="C21" s="830" t="s">
        <v>3045</v>
      </c>
      <c r="D21" s="928">
        <f>ROUND(13677389*0.27205,2)</f>
        <v>3720933.68</v>
      </c>
      <c r="E21" s="928">
        <f>ROUND(17127329*0.27205,2)</f>
        <v>4659489.8499999996</v>
      </c>
      <c r="F21" s="928">
        <f>ROUND(11032733*0.27205,2)</f>
        <v>3001455.01</v>
      </c>
      <c r="G21" s="1192">
        <v>1556809.66</v>
      </c>
      <c r="H21" s="928">
        <f>ROUND(3331371*0.27205,2)</f>
        <v>906299.48</v>
      </c>
      <c r="I21" s="928">
        <f>ROUND(2187188*0.27205,2)</f>
        <v>595024.5</v>
      </c>
      <c r="J21" s="928">
        <f>ROUND(2058587*0.27205,2)</f>
        <v>560038.59</v>
      </c>
      <c r="K21" s="928">
        <f>ROUND(1100941*0.27205,2)</f>
        <v>299511</v>
      </c>
      <c r="L21" s="928">
        <f>ROUND(2696601*0.27205,2)</f>
        <v>733610.3</v>
      </c>
      <c r="M21" s="928">
        <f>ROUND(7415550*0.27205,2)</f>
        <v>2017400.38</v>
      </c>
      <c r="N21" s="928"/>
      <c r="O21" s="928">
        <f>ROUND(11690320*0.27205,2)</f>
        <v>3180351.56</v>
      </c>
      <c r="P21" s="1182">
        <f>ROUND(13833214*0.27205,2)</f>
        <v>3763325.87</v>
      </c>
      <c r="Q21" s="928"/>
      <c r="R21" s="1198"/>
      <c r="T21" s="850"/>
      <c r="U21" s="928"/>
      <c r="V21" s="1185"/>
      <c r="X21" s="1185"/>
      <c r="AB21" s="1185"/>
      <c r="AD21" s="1200">
        <f>P21</f>
        <v>3763325.87</v>
      </c>
    </row>
    <row r="22" spans="1:52">
      <c r="A22" s="830">
        <v>22</v>
      </c>
      <c r="B22" s="1181" t="s">
        <v>3044</v>
      </c>
      <c r="C22" s="830" t="s">
        <v>3046</v>
      </c>
      <c r="D22" s="1183">
        <v>-3720439.63</v>
      </c>
      <c r="E22" s="1183">
        <f t="shared" ref="E22:M22" si="4">-D21</f>
        <v>-3720933.68</v>
      </c>
      <c r="F22" s="1183">
        <f t="shared" si="4"/>
        <v>-4659489.8499999996</v>
      </c>
      <c r="G22" s="1183">
        <f t="shared" si="4"/>
        <v>-3001455.01</v>
      </c>
      <c r="H22" s="1183">
        <f t="shared" si="4"/>
        <v>-1556809.66</v>
      </c>
      <c r="I22" s="1183">
        <f t="shared" si="4"/>
        <v>-906299.48</v>
      </c>
      <c r="J22" s="1183">
        <f t="shared" si="4"/>
        <v>-595024.5</v>
      </c>
      <c r="K22" s="1183">
        <f t="shared" si="4"/>
        <v>-560038.59</v>
      </c>
      <c r="L22" s="1183">
        <f t="shared" si="4"/>
        <v>-299511</v>
      </c>
      <c r="M22" s="1183">
        <f t="shared" si="4"/>
        <v>-733610.3</v>
      </c>
      <c r="N22" s="1183"/>
      <c r="O22" s="1183">
        <f>-M21</f>
        <v>-2017400.38</v>
      </c>
      <c r="P22" s="1184">
        <f>-O21</f>
        <v>-3180351.56</v>
      </c>
      <c r="Q22" s="928"/>
      <c r="R22" s="1198"/>
      <c r="V22" s="899"/>
      <c r="X22" s="899"/>
      <c r="AD22" s="1200">
        <f>+D22</f>
        <v>-3720439.63</v>
      </c>
      <c r="AE22" s="1200">
        <f>SUM(AD21:AD22)</f>
        <v>42886.240000000224</v>
      </c>
    </row>
    <row r="23" spans="1:52">
      <c r="A23" s="830">
        <v>23</v>
      </c>
      <c r="B23" s="1181"/>
      <c r="C23" s="850" t="s">
        <v>3036</v>
      </c>
      <c r="D23" s="928">
        <f t="shared" ref="D23:M23" si="5">SUM(D20:D22)</f>
        <v>5285232.54</v>
      </c>
      <c r="E23" s="928">
        <f t="shared" si="5"/>
        <v>6604411.5800000001</v>
      </c>
      <c r="F23" s="928">
        <f t="shared" si="5"/>
        <v>4437708.2200000007</v>
      </c>
      <c r="G23" s="928">
        <f t="shared" si="5"/>
        <v>1891311.75</v>
      </c>
      <c r="H23" s="928">
        <f t="shared" si="5"/>
        <v>1365257.32</v>
      </c>
      <c r="I23" s="928">
        <f t="shared" si="5"/>
        <v>789605.39999999991</v>
      </c>
      <c r="J23" s="928">
        <f t="shared" si="5"/>
        <v>840317.54999999981</v>
      </c>
      <c r="K23" s="928">
        <f t="shared" si="5"/>
        <v>494402.92000000004</v>
      </c>
      <c r="L23" s="928">
        <f t="shared" si="5"/>
        <v>1166376.32</v>
      </c>
      <c r="M23" s="928">
        <f t="shared" si="5"/>
        <v>3015863.5199999996</v>
      </c>
      <c r="N23" s="928"/>
      <c r="O23" s="928">
        <f>SUM(O20:O22)</f>
        <v>4326604.12</v>
      </c>
      <c r="P23" s="1182">
        <f>SUM(P20:P22)</f>
        <v>5384807.0299999993</v>
      </c>
      <c r="R23" s="1172"/>
      <c r="T23" s="850"/>
      <c r="U23" s="928"/>
      <c r="V23" s="1185"/>
      <c r="X23" s="1185"/>
      <c r="AB23" s="1185"/>
    </row>
    <row r="24" spans="1:52">
      <c r="A24" s="830">
        <v>24</v>
      </c>
      <c r="B24" s="1181"/>
      <c r="C24" s="850" t="s">
        <v>3038</v>
      </c>
      <c r="D24" s="1183">
        <v>-5791265.5999999996</v>
      </c>
      <c r="E24" s="1183">
        <v>-4263336.3</v>
      </c>
      <c r="F24" s="1183">
        <v>-3903208.4</v>
      </c>
      <c r="G24" s="1183">
        <v>-2392534.44</v>
      </c>
      <c r="H24" s="1183">
        <v>-1361088.48</v>
      </c>
      <c r="I24" s="1183">
        <v>-894547.15</v>
      </c>
      <c r="J24" s="1183">
        <v>-800633.4</v>
      </c>
      <c r="K24" s="1183">
        <v>-667303</v>
      </c>
      <c r="L24" s="1183">
        <v>-988974.47</v>
      </c>
      <c r="M24" s="1183">
        <v>-2493395.34</v>
      </c>
      <c r="N24" s="1183"/>
      <c r="O24" s="1183">
        <v>-4650489.92</v>
      </c>
      <c r="P24" s="1184">
        <v>-6197203.7999999998</v>
      </c>
      <c r="R24" s="1172"/>
      <c r="AT24" s="899"/>
      <c r="AV24" s="899"/>
    </row>
    <row r="25" spans="1:52">
      <c r="A25" s="830">
        <v>25</v>
      </c>
      <c r="B25" s="1181"/>
      <c r="C25" s="850" t="s">
        <v>3039</v>
      </c>
      <c r="D25" s="928">
        <f t="shared" ref="D25:M25" si="6">SUM(D23:D24)</f>
        <v>-506033.05999999959</v>
      </c>
      <c r="E25" s="928">
        <f t="shared" si="6"/>
        <v>2341075.2800000003</v>
      </c>
      <c r="F25" s="928">
        <f t="shared" si="6"/>
        <v>534499.82000000076</v>
      </c>
      <c r="G25" s="928">
        <f t="shared" si="6"/>
        <v>-501222.68999999994</v>
      </c>
      <c r="H25" s="928">
        <f t="shared" si="6"/>
        <v>4168.8400000000838</v>
      </c>
      <c r="I25" s="928">
        <f t="shared" si="6"/>
        <v>-104941.75000000012</v>
      </c>
      <c r="J25" s="928">
        <f t="shared" si="6"/>
        <v>39684.14999999979</v>
      </c>
      <c r="K25" s="928">
        <f t="shared" si="6"/>
        <v>-172900.07999999996</v>
      </c>
      <c r="L25" s="928">
        <f t="shared" si="6"/>
        <v>177401.85000000009</v>
      </c>
      <c r="M25" s="928">
        <f t="shared" si="6"/>
        <v>522468.1799999997</v>
      </c>
      <c r="N25" s="928">
        <v>1444647.4400000013</v>
      </c>
      <c r="O25" s="928">
        <f>SUM(O23:O24)</f>
        <v>-323885.79999999981</v>
      </c>
      <c r="P25" s="1182">
        <f>SUM(P23:P24)</f>
        <v>-812396.77000000048</v>
      </c>
      <c r="R25" s="1187">
        <f>SUM(D25:Q25)-N25</f>
        <v>1197917.9700000007</v>
      </c>
      <c r="AR25" s="850"/>
      <c r="AS25" s="928"/>
      <c r="AT25" s="1185"/>
      <c r="AV25" s="1185"/>
      <c r="AZ25" s="1185"/>
    </row>
    <row r="26" spans="1:52">
      <c r="A26" s="830">
        <v>26</v>
      </c>
      <c r="B26" s="1181"/>
      <c r="C26" s="850" t="s">
        <v>3040</v>
      </c>
      <c r="D26" s="928">
        <v>-6355.66</v>
      </c>
      <c r="E26" s="928">
        <f t="shared" ref="E26:M26" si="7">ROUND(ROUND(D28*E$6,2)/365*E$7,2)</f>
        <v>-7776.67</v>
      </c>
      <c r="F26" s="928">
        <f t="shared" si="7"/>
        <v>1655.35</v>
      </c>
      <c r="G26" s="928">
        <f t="shared" si="7"/>
        <v>4087.13</v>
      </c>
      <c r="H26" s="928">
        <f t="shared" si="7"/>
        <v>1922.24</v>
      </c>
      <c r="I26" s="928">
        <f t="shared" si="7"/>
        <v>1887.52</v>
      </c>
      <c r="J26" s="928">
        <f t="shared" si="7"/>
        <v>1486.94</v>
      </c>
      <c r="K26" s="928">
        <f t="shared" si="7"/>
        <v>1679.26</v>
      </c>
      <c r="L26" s="928">
        <f t="shared" si="7"/>
        <v>851.08</v>
      </c>
      <c r="M26" s="928">
        <f t="shared" si="7"/>
        <v>1687.21</v>
      </c>
      <c r="N26" s="928">
        <v>66080.39</v>
      </c>
      <c r="O26" s="928">
        <f>ROUND(ROUND(N28*O$6,2)/365*O$7,2)</f>
        <v>10697.77</v>
      </c>
      <c r="P26" s="1182">
        <f>ROUND(ROUND(O28*P$6,2)/365*P$7,2)</f>
        <v>9612.67</v>
      </c>
      <c r="R26" s="1188">
        <f>SUM(D26:Q26)</f>
        <v>87515.23000000001</v>
      </c>
    </row>
    <row r="27" spans="1:52">
      <c r="A27" s="830">
        <v>27</v>
      </c>
      <c r="B27" s="1181"/>
      <c r="C27" s="850" t="s">
        <v>3041</v>
      </c>
      <c r="D27" s="1183">
        <f t="shared" ref="D27:P27" si="8">SUM(D25:D26)</f>
        <v>-512388.71999999956</v>
      </c>
      <c r="E27" s="1183">
        <f t="shared" si="8"/>
        <v>2333298.6100000003</v>
      </c>
      <c r="F27" s="1183">
        <f t="shared" si="8"/>
        <v>536155.17000000074</v>
      </c>
      <c r="G27" s="1183">
        <f t="shared" si="8"/>
        <v>-497135.55999999994</v>
      </c>
      <c r="H27" s="1183">
        <f t="shared" si="8"/>
        <v>6091.0800000000836</v>
      </c>
      <c r="I27" s="1183">
        <f t="shared" si="8"/>
        <v>-103054.23000000011</v>
      </c>
      <c r="J27" s="1183">
        <f t="shared" si="8"/>
        <v>41171.089999999793</v>
      </c>
      <c r="K27" s="1183">
        <f t="shared" si="8"/>
        <v>-171220.81999999995</v>
      </c>
      <c r="L27" s="1183">
        <f t="shared" si="8"/>
        <v>178252.93000000008</v>
      </c>
      <c r="M27" s="1183">
        <f t="shared" si="8"/>
        <v>524155.38999999972</v>
      </c>
      <c r="N27" s="1183">
        <f t="shared" si="8"/>
        <v>1510727.8300000012</v>
      </c>
      <c r="O27" s="1183">
        <f t="shared" si="8"/>
        <v>-313188.0299999998</v>
      </c>
      <c r="P27" s="1184">
        <f t="shared" si="8"/>
        <v>-802784.10000000044</v>
      </c>
      <c r="R27" s="1190">
        <f>SUM(R25:R26)</f>
        <v>1285433.2000000007</v>
      </c>
    </row>
    <row r="28" spans="1:52">
      <c r="A28" s="830">
        <v>28</v>
      </c>
      <c r="B28" s="1181"/>
      <c r="C28" s="850" t="s">
        <v>3042</v>
      </c>
      <c r="D28" s="928">
        <v>-1957036.1600000006</v>
      </c>
      <c r="E28" s="928">
        <f t="shared" ref="E28:P28" si="9">D28+E27</f>
        <v>376262.44999999972</v>
      </c>
      <c r="F28" s="928">
        <f t="shared" si="9"/>
        <v>912417.62000000046</v>
      </c>
      <c r="G28" s="928">
        <f t="shared" si="9"/>
        <v>415282.06000000052</v>
      </c>
      <c r="H28" s="928">
        <f t="shared" si="9"/>
        <v>421373.1400000006</v>
      </c>
      <c r="I28" s="928">
        <f t="shared" si="9"/>
        <v>318318.9100000005</v>
      </c>
      <c r="J28" s="928">
        <f t="shared" si="9"/>
        <v>359490.00000000029</v>
      </c>
      <c r="K28" s="928">
        <f t="shared" si="9"/>
        <v>188269.18000000034</v>
      </c>
      <c r="L28" s="928">
        <f t="shared" si="9"/>
        <v>366522.11000000045</v>
      </c>
      <c r="M28" s="928">
        <f t="shared" si="9"/>
        <v>890677.50000000023</v>
      </c>
      <c r="N28" s="928">
        <f t="shared" si="9"/>
        <v>2401405.3300000015</v>
      </c>
      <c r="O28" s="928">
        <f t="shared" si="9"/>
        <v>2088217.3000000017</v>
      </c>
      <c r="P28" s="1191">
        <f t="shared" si="9"/>
        <v>1285433.2000000011</v>
      </c>
      <c r="R28" s="1172"/>
      <c r="V28" s="1200">
        <f>ROUND(U33/Z33,0)</f>
        <v>190723</v>
      </c>
    </row>
    <row r="29" spans="1:52">
      <c r="A29" s="830">
        <v>29</v>
      </c>
      <c r="B29" s="1181"/>
      <c r="C29" s="850"/>
      <c r="D29" s="928"/>
      <c r="E29" s="928"/>
      <c r="F29" s="928"/>
      <c r="G29" s="928"/>
      <c r="H29" s="928"/>
      <c r="I29" s="928"/>
      <c r="J29" s="928"/>
      <c r="K29" s="928"/>
      <c r="L29" s="928"/>
      <c r="M29" s="928"/>
      <c r="N29" s="928"/>
      <c r="O29" s="928"/>
      <c r="P29" s="1182"/>
      <c r="R29" s="1172"/>
      <c r="T29" s="850"/>
      <c r="U29" s="928"/>
      <c r="V29" s="1200">
        <f>ROUND(U34/Z34,0)</f>
        <v>663264</v>
      </c>
      <c r="AR29" s="850"/>
      <c r="AS29" s="928"/>
      <c r="AT29" s="1185"/>
      <c r="AV29" s="1185"/>
      <c r="AZ29" s="1185"/>
    </row>
    <row r="30" spans="1:52">
      <c r="A30" s="830">
        <v>30</v>
      </c>
      <c r="B30" s="829" t="s">
        <v>3047</v>
      </c>
      <c r="C30" s="890">
        <v>505</v>
      </c>
      <c r="D30" s="899"/>
      <c r="E30" s="899"/>
      <c r="F30" s="928"/>
      <c r="G30" s="899"/>
      <c r="H30" s="899"/>
      <c r="I30" s="899"/>
      <c r="J30" s="899"/>
      <c r="K30" s="899"/>
      <c r="L30" s="899"/>
      <c r="M30" s="899"/>
      <c r="N30" s="899"/>
      <c r="O30" s="899"/>
      <c r="P30" s="1196"/>
      <c r="R30" s="1172"/>
      <c r="U30" s="830">
        <v>505</v>
      </c>
      <c r="V30" s="1200">
        <f>ROUND(U35/Z35,0)</f>
        <v>568662</v>
      </c>
      <c r="W30" s="1200">
        <f>SUM(V28:V30)</f>
        <v>1422649</v>
      </c>
    </row>
    <row r="31" spans="1:52" ht="15.6">
      <c r="A31" s="830">
        <v>31</v>
      </c>
      <c r="B31" s="1181" t="s">
        <v>1057</v>
      </c>
      <c r="C31" s="830" t="s">
        <v>3043</v>
      </c>
      <c r="D31" s="899">
        <v>475</v>
      </c>
      <c r="E31" s="899">
        <v>479</v>
      </c>
      <c r="F31" s="899">
        <v>478</v>
      </c>
      <c r="G31" s="899">
        <v>479</v>
      </c>
      <c r="H31" s="899">
        <v>477</v>
      </c>
      <c r="I31" s="899">
        <v>478</v>
      </c>
      <c r="J31" s="899">
        <v>478</v>
      </c>
      <c r="K31" s="899">
        <v>478</v>
      </c>
      <c r="L31" s="899">
        <v>480</v>
      </c>
      <c r="M31" s="899">
        <v>481</v>
      </c>
      <c r="N31" s="899"/>
      <c r="O31" s="899">
        <v>481</v>
      </c>
      <c r="P31" s="1196">
        <v>479</v>
      </c>
      <c r="Q31" s="1200"/>
      <c r="R31" s="1187"/>
      <c r="V31" s="1197">
        <v>1422636</v>
      </c>
      <c r="W31" s="830" t="s">
        <v>2514</v>
      </c>
      <c r="X31" s="899"/>
    </row>
    <row r="32" spans="1:52">
      <c r="A32" s="830">
        <v>32</v>
      </c>
      <c r="B32" s="1181" t="s">
        <v>3034</v>
      </c>
      <c r="C32" s="830" t="s">
        <v>3048</v>
      </c>
      <c r="D32" s="928"/>
      <c r="E32" s="928"/>
      <c r="F32" s="928"/>
      <c r="G32" s="928"/>
      <c r="H32" s="928"/>
      <c r="I32" s="928"/>
      <c r="J32" s="928"/>
      <c r="K32" s="928"/>
      <c r="L32" s="928"/>
      <c r="M32" s="928"/>
      <c r="N32" s="928"/>
      <c r="O32" s="928"/>
      <c r="P32" s="1182"/>
      <c r="Q32" s="1200"/>
      <c r="R32" s="1187"/>
      <c r="T32" s="850"/>
      <c r="U32" s="928"/>
      <c r="V32" s="1185"/>
      <c r="X32" s="1185"/>
      <c r="AB32" s="1185">
        <f>Z32-X32</f>
        <v>0</v>
      </c>
    </row>
    <row r="33" spans="1:28" ht="15.6">
      <c r="A33" s="830">
        <v>33</v>
      </c>
      <c r="B33" s="1181" t="s">
        <v>3034</v>
      </c>
      <c r="C33" s="830" t="s">
        <v>3049</v>
      </c>
      <c r="D33" s="928">
        <v>34179.919999999998</v>
      </c>
      <c r="E33" s="928">
        <v>34768.1</v>
      </c>
      <c r="F33" s="928">
        <v>36803.620000000003</v>
      </c>
      <c r="G33" s="928">
        <v>32246.880000000001</v>
      </c>
      <c r="H33" s="928">
        <v>24615.73</v>
      </c>
      <c r="I33" s="928">
        <v>18807.37</v>
      </c>
      <c r="J33" s="928">
        <v>15807.1</v>
      </c>
      <c r="K33" s="928">
        <v>15067.69</v>
      </c>
      <c r="L33" s="928">
        <v>16169.87</v>
      </c>
      <c r="M33" s="928">
        <v>23148.720000000001</v>
      </c>
      <c r="N33" s="928"/>
      <c r="O33" s="928">
        <v>30802.25</v>
      </c>
      <c r="P33" s="1182">
        <v>34046.019999999997</v>
      </c>
      <c r="Q33" s="1200"/>
      <c r="R33" s="1187"/>
      <c r="T33" s="850" t="s">
        <v>2696</v>
      </c>
      <c r="U33" s="1199">
        <v>34046.019999999997</v>
      </c>
      <c r="V33" s="1185">
        <f>U33/V28</f>
        <v>0.17851030027841422</v>
      </c>
      <c r="X33" s="1185">
        <f>U33/V28</f>
        <v>0.17851030027841422</v>
      </c>
      <c r="Z33" s="830">
        <v>0.17851</v>
      </c>
      <c r="AB33" s="1185">
        <f>Z33-X33</f>
        <v>-3.002784142169812E-7</v>
      </c>
    </row>
    <row r="34" spans="1:28" ht="15.6">
      <c r="A34" s="830">
        <v>34</v>
      </c>
      <c r="B34" s="1181" t="s">
        <v>3034</v>
      </c>
      <c r="C34" s="830" t="s">
        <v>3050</v>
      </c>
      <c r="D34" s="928">
        <v>99484.49</v>
      </c>
      <c r="E34" s="928">
        <v>102595.79</v>
      </c>
      <c r="F34" s="928">
        <v>111335.74</v>
      </c>
      <c r="G34" s="928">
        <v>83417.279999999999</v>
      </c>
      <c r="H34" s="928">
        <v>58009.41</v>
      </c>
      <c r="I34" s="928">
        <v>43411.4</v>
      </c>
      <c r="J34" s="928">
        <v>39559.06</v>
      </c>
      <c r="K34" s="928">
        <v>39455.199999999997</v>
      </c>
      <c r="L34" s="928">
        <v>42494.6</v>
      </c>
      <c r="M34" s="928">
        <v>57638.77</v>
      </c>
      <c r="N34" s="928"/>
      <c r="O34" s="928">
        <v>77630.990000000005</v>
      </c>
      <c r="P34" s="1182">
        <v>95888.08</v>
      </c>
      <c r="Q34" s="1200"/>
      <c r="R34" s="1187"/>
      <c r="T34" s="850" t="s">
        <v>2696</v>
      </c>
      <c r="U34" s="1199">
        <v>95888.08</v>
      </c>
      <c r="V34" s="1185">
        <f>U34/V29</f>
        <v>0.14457000530708738</v>
      </c>
      <c r="X34" s="1185">
        <f>U34/V29</f>
        <v>0.14457000530708738</v>
      </c>
      <c r="Z34" s="830">
        <v>0.14457</v>
      </c>
      <c r="AB34" s="1185">
        <f>Z34-X34</f>
        <v>-5.3070873806682073E-9</v>
      </c>
    </row>
    <row r="35" spans="1:28" ht="15.6">
      <c r="A35" s="830">
        <v>35</v>
      </c>
      <c r="B35" s="1181" t="s">
        <v>3034</v>
      </c>
      <c r="C35" s="830" t="s">
        <v>3051</v>
      </c>
      <c r="D35" s="1183">
        <v>77265.63</v>
      </c>
      <c r="E35" s="1183">
        <v>99244.05</v>
      </c>
      <c r="F35" s="1183">
        <v>114125.53</v>
      </c>
      <c r="G35" s="1183">
        <v>79991.960000000006</v>
      </c>
      <c r="H35" s="1183">
        <v>34962.5</v>
      </c>
      <c r="I35" s="1183">
        <v>24179.84</v>
      </c>
      <c r="J35" s="1183">
        <v>24400.73</v>
      </c>
      <c r="K35" s="1183">
        <v>28876.22</v>
      </c>
      <c r="L35" s="1183">
        <v>37296.03</v>
      </c>
      <c r="M35" s="1183">
        <v>104021.38</v>
      </c>
      <c r="N35" s="1183"/>
      <c r="O35" s="1183">
        <v>62623.06</v>
      </c>
      <c r="P35" s="1184">
        <v>79294.2</v>
      </c>
      <c r="Q35" s="1200"/>
      <c r="R35" s="1187"/>
      <c r="T35" s="850" t="s">
        <v>2696</v>
      </c>
      <c r="U35" s="1199">
        <v>79294.2</v>
      </c>
      <c r="V35" s="1185">
        <f>U35/V30</f>
        <v>0.13943994851071462</v>
      </c>
      <c r="X35" s="1185">
        <f>U35/V30</f>
        <v>0.13943994851071462</v>
      </c>
      <c r="Z35" s="830">
        <v>0.13944000000000001</v>
      </c>
      <c r="AB35" s="1185">
        <f>Z35-X35</f>
        <v>5.1489285390893258E-8</v>
      </c>
    </row>
    <row r="36" spans="1:28" ht="15.6">
      <c r="A36" s="830">
        <v>36</v>
      </c>
      <c r="B36" s="1181"/>
      <c r="C36" s="850" t="s">
        <v>3036</v>
      </c>
      <c r="D36" s="928">
        <f t="shared" ref="D36:M36" si="10">SUM(D32:D35)</f>
        <v>210930.04</v>
      </c>
      <c r="E36" s="928">
        <f t="shared" si="10"/>
        <v>236607.94</v>
      </c>
      <c r="F36" s="928">
        <f t="shared" si="10"/>
        <v>262264.89</v>
      </c>
      <c r="G36" s="928">
        <f t="shared" si="10"/>
        <v>195656.12</v>
      </c>
      <c r="H36" s="928">
        <f t="shared" si="10"/>
        <v>117587.64</v>
      </c>
      <c r="I36" s="928">
        <f t="shared" si="10"/>
        <v>86398.61</v>
      </c>
      <c r="J36" s="928">
        <f t="shared" si="10"/>
        <v>79766.89</v>
      </c>
      <c r="K36" s="928">
        <f t="shared" si="10"/>
        <v>83399.11</v>
      </c>
      <c r="L36" s="928">
        <f t="shared" si="10"/>
        <v>95960.5</v>
      </c>
      <c r="M36" s="928">
        <f t="shared" si="10"/>
        <v>184808.87</v>
      </c>
      <c r="N36" s="928"/>
      <c r="O36" s="928">
        <f>SUM(O32:O35)</f>
        <v>171056.3</v>
      </c>
      <c r="P36" s="1191">
        <f>SUM(P32:P35)</f>
        <v>209228.3</v>
      </c>
      <c r="R36" s="1172"/>
      <c r="T36" s="850" t="s">
        <v>2650</v>
      </c>
      <c r="U36" s="1199">
        <v>600205.28</v>
      </c>
      <c r="V36" s="1185">
        <f>U36/V31</f>
        <v>0.42189659196027657</v>
      </c>
      <c r="X36" s="1185">
        <f>U36/V31</f>
        <v>0.42189659196027657</v>
      </c>
      <c r="Z36" s="1201">
        <v>0.42197000000000001</v>
      </c>
      <c r="AB36" s="1185">
        <f>Z36-X36</f>
        <v>7.3408039723443785E-5</v>
      </c>
    </row>
    <row r="37" spans="1:28">
      <c r="A37" s="830">
        <v>37</v>
      </c>
      <c r="B37" s="1181"/>
      <c r="C37" s="850" t="s">
        <v>3038</v>
      </c>
      <c r="D37" s="1183">
        <v>-236659.25</v>
      </c>
      <c r="E37" s="1183">
        <v>-202674.48</v>
      </c>
      <c r="F37" s="1183">
        <v>-190196.2</v>
      </c>
      <c r="G37" s="1183">
        <v>-138483.69</v>
      </c>
      <c r="H37" s="1183">
        <v>-100274.94</v>
      </c>
      <c r="I37" s="1183">
        <v>-90595.34</v>
      </c>
      <c r="J37" s="1183">
        <v>-72895</v>
      </c>
      <c r="K37" s="1183">
        <v>-77163.539999999994</v>
      </c>
      <c r="L37" s="1183">
        <v>-100656</v>
      </c>
      <c r="M37" s="1183">
        <v>-171846.87</v>
      </c>
      <c r="N37" s="1183"/>
      <c r="O37" s="1183">
        <v>-148162.43</v>
      </c>
      <c r="P37" s="1184">
        <v>-206175.97</v>
      </c>
      <c r="R37" s="1172"/>
    </row>
    <row r="38" spans="1:28">
      <c r="A38" s="830">
        <v>38</v>
      </c>
      <c r="B38" s="1181"/>
      <c r="C38" s="850" t="s">
        <v>3039</v>
      </c>
      <c r="D38" s="928">
        <f t="shared" ref="D38:M38" si="11">SUM(D36:D37)</f>
        <v>-25729.209999999992</v>
      </c>
      <c r="E38" s="928">
        <f t="shared" si="11"/>
        <v>33933.459999999992</v>
      </c>
      <c r="F38" s="928">
        <f t="shared" si="11"/>
        <v>72068.69</v>
      </c>
      <c r="G38" s="928">
        <f t="shared" si="11"/>
        <v>57172.429999999993</v>
      </c>
      <c r="H38" s="928">
        <f t="shared" si="11"/>
        <v>17312.699999999997</v>
      </c>
      <c r="I38" s="928">
        <f t="shared" si="11"/>
        <v>-4196.7299999999959</v>
      </c>
      <c r="J38" s="928">
        <f t="shared" si="11"/>
        <v>6871.8899999999994</v>
      </c>
      <c r="K38" s="928">
        <f t="shared" si="11"/>
        <v>6235.570000000007</v>
      </c>
      <c r="L38" s="928">
        <f t="shared" si="11"/>
        <v>-4695.5</v>
      </c>
      <c r="M38" s="928">
        <f t="shared" si="11"/>
        <v>12962</v>
      </c>
      <c r="N38" s="928">
        <v>-7433.6600000000544</v>
      </c>
      <c r="O38" s="928">
        <f>SUM(O36:O37)</f>
        <v>22893.869999999995</v>
      </c>
      <c r="P38" s="1182">
        <f>SUM(P36:P37)</f>
        <v>3052.3299999999872</v>
      </c>
      <c r="R38" s="1187">
        <f>SUM(D38:Q38)-N38</f>
        <v>197881.50000000003</v>
      </c>
    </row>
    <row r="39" spans="1:28">
      <c r="A39" s="830">
        <v>39</v>
      </c>
      <c r="B39" s="1181"/>
      <c r="C39" s="850" t="s">
        <v>3040</v>
      </c>
      <c r="D39" s="928">
        <v>32.700000000000003</v>
      </c>
      <c r="E39" s="928">
        <f t="shared" ref="E39:M39" si="12">ROUND(ROUND(D41*E$6,2)/365*E$7,2)</f>
        <v>-72.569999999999993</v>
      </c>
      <c r="F39" s="928">
        <f t="shared" si="12"/>
        <v>68.62</v>
      </c>
      <c r="G39" s="928">
        <f t="shared" si="12"/>
        <v>393.01</v>
      </c>
      <c r="H39" s="928">
        <f t="shared" si="12"/>
        <v>672.56</v>
      </c>
      <c r="I39" s="928">
        <f t="shared" si="12"/>
        <v>731.43</v>
      </c>
      <c r="J39" s="928">
        <f t="shared" si="12"/>
        <v>746.56</v>
      </c>
      <c r="K39" s="928">
        <f t="shared" si="12"/>
        <v>782.15</v>
      </c>
      <c r="L39" s="928">
        <f t="shared" si="12"/>
        <v>788.64</v>
      </c>
      <c r="M39" s="928">
        <f t="shared" si="12"/>
        <v>785.09</v>
      </c>
      <c r="N39" s="928">
        <v>-340.03</v>
      </c>
      <c r="O39" s="928">
        <f>ROUND(ROUND(N41*O$6,2)/365*O$7,2)</f>
        <v>786.38</v>
      </c>
      <c r="P39" s="1182">
        <f>ROUND(ROUND(O41*P$6,2)/365*P$7,2)</f>
        <v>921.6</v>
      </c>
      <c r="R39" s="1188">
        <f>SUM(D39:Q39)</f>
        <v>6296.1400000000012</v>
      </c>
    </row>
    <row r="40" spans="1:28">
      <c r="A40" s="830">
        <v>40</v>
      </c>
      <c r="B40" s="1181"/>
      <c r="C40" s="850" t="s">
        <v>3041</v>
      </c>
      <c r="D40" s="1183">
        <f t="shared" ref="D40:P40" si="13">SUM(D38:D39)</f>
        <v>-25696.509999999991</v>
      </c>
      <c r="E40" s="1183">
        <f t="shared" si="13"/>
        <v>33860.889999999992</v>
      </c>
      <c r="F40" s="1183">
        <f t="shared" si="13"/>
        <v>72137.31</v>
      </c>
      <c r="G40" s="1183">
        <f t="shared" si="13"/>
        <v>57565.439999999995</v>
      </c>
      <c r="H40" s="1183">
        <f t="shared" si="13"/>
        <v>17985.259999999998</v>
      </c>
      <c r="I40" s="1183">
        <f t="shared" si="13"/>
        <v>-3465.2999999999961</v>
      </c>
      <c r="J40" s="1183">
        <f t="shared" si="13"/>
        <v>7618.4499999999989</v>
      </c>
      <c r="K40" s="1183">
        <f t="shared" si="13"/>
        <v>7017.7200000000066</v>
      </c>
      <c r="L40" s="1183">
        <f t="shared" si="13"/>
        <v>-3906.86</v>
      </c>
      <c r="M40" s="1183">
        <f t="shared" si="13"/>
        <v>13747.09</v>
      </c>
      <c r="N40" s="1183">
        <f t="shared" si="13"/>
        <v>-7773.6900000000542</v>
      </c>
      <c r="O40" s="1183">
        <f t="shared" si="13"/>
        <v>23680.249999999996</v>
      </c>
      <c r="P40" s="1184">
        <f t="shared" si="13"/>
        <v>3973.9299999999871</v>
      </c>
      <c r="R40" s="1190">
        <f>SUM(R38:R39)</f>
        <v>204177.64000000004</v>
      </c>
    </row>
    <row r="41" spans="1:28">
      <c r="A41" s="830">
        <v>41</v>
      </c>
      <c r="B41" s="1181"/>
      <c r="C41" s="850" t="s">
        <v>3042</v>
      </c>
      <c r="D41" s="928">
        <v>-18262.849999999926</v>
      </c>
      <c r="E41" s="928">
        <f t="shared" ref="E41:P41" si="14">D41+E40</f>
        <v>15598.040000000066</v>
      </c>
      <c r="F41" s="928">
        <f t="shared" si="14"/>
        <v>87735.350000000064</v>
      </c>
      <c r="G41" s="928">
        <f t="shared" si="14"/>
        <v>145300.79000000007</v>
      </c>
      <c r="H41" s="928">
        <f t="shared" si="14"/>
        <v>163286.05000000008</v>
      </c>
      <c r="I41" s="928">
        <f t="shared" si="14"/>
        <v>159820.75000000009</v>
      </c>
      <c r="J41" s="928">
        <f t="shared" si="14"/>
        <v>167439.2000000001</v>
      </c>
      <c r="K41" s="928">
        <f t="shared" si="14"/>
        <v>174456.9200000001</v>
      </c>
      <c r="L41" s="928">
        <f t="shared" si="14"/>
        <v>170550.06000000011</v>
      </c>
      <c r="M41" s="928">
        <f t="shared" si="14"/>
        <v>184297.15000000011</v>
      </c>
      <c r="N41" s="928">
        <f t="shared" si="14"/>
        <v>176523.46000000005</v>
      </c>
      <c r="O41" s="928">
        <f t="shared" si="14"/>
        <v>200203.71000000005</v>
      </c>
      <c r="P41" s="1191">
        <f t="shared" si="14"/>
        <v>204177.64000000004</v>
      </c>
      <c r="R41" s="1172"/>
      <c r="V41" s="1200">
        <f>ROUND(U46/Z46,0)</f>
        <v>194349</v>
      </c>
    </row>
    <row r="42" spans="1:28">
      <c r="A42" s="830">
        <v>42</v>
      </c>
      <c r="B42" s="1181"/>
      <c r="C42" s="850"/>
      <c r="D42" s="928"/>
      <c r="E42" s="928"/>
      <c r="F42" s="928"/>
      <c r="G42" s="928"/>
      <c r="H42" s="928"/>
      <c r="I42" s="928"/>
      <c r="J42" s="928"/>
      <c r="K42" s="928"/>
      <c r="L42" s="928"/>
      <c r="M42" s="928"/>
      <c r="N42" s="928"/>
      <c r="O42" s="928"/>
      <c r="P42" s="1182"/>
      <c r="R42" s="1172"/>
      <c r="T42" s="850"/>
      <c r="U42" s="928"/>
      <c r="V42" s="1200">
        <f>ROUND(U47/Z47,0)</f>
        <v>150108</v>
      </c>
    </row>
    <row r="43" spans="1:28">
      <c r="A43" s="830">
        <v>43</v>
      </c>
      <c r="B43" s="829" t="s">
        <v>3047</v>
      </c>
      <c r="C43" s="890">
        <v>511</v>
      </c>
      <c r="D43" s="899"/>
      <c r="E43" s="899"/>
      <c r="F43" s="928"/>
      <c r="G43" s="899"/>
      <c r="H43" s="899"/>
      <c r="I43" s="899"/>
      <c r="J43" s="899"/>
      <c r="K43" s="899"/>
      <c r="L43" s="899"/>
      <c r="M43" s="899"/>
      <c r="N43" s="899"/>
      <c r="O43" s="899"/>
      <c r="P43" s="1196"/>
      <c r="R43" s="1172"/>
      <c r="U43" s="830">
        <v>511</v>
      </c>
      <c r="V43" s="1200">
        <f>ROUND(U48/Z48,0)</f>
        <v>30410</v>
      </c>
      <c r="W43" s="1200">
        <f>SUM(V41:V43)</f>
        <v>374867</v>
      </c>
    </row>
    <row r="44" spans="1:28" ht="15.6">
      <c r="A44" s="830">
        <v>44</v>
      </c>
      <c r="B44" s="1181" t="s">
        <v>1057</v>
      </c>
      <c r="C44" s="830" t="s">
        <v>3043</v>
      </c>
      <c r="D44" s="899">
        <v>13</v>
      </c>
      <c r="E44" s="899">
        <v>13</v>
      </c>
      <c r="F44" s="899">
        <v>13</v>
      </c>
      <c r="G44" s="899">
        <v>12</v>
      </c>
      <c r="H44" s="899">
        <v>11</v>
      </c>
      <c r="I44" s="899">
        <v>11</v>
      </c>
      <c r="J44" s="899">
        <v>12</v>
      </c>
      <c r="K44" s="899">
        <v>14</v>
      </c>
      <c r="L44" s="899">
        <v>14</v>
      </c>
      <c r="M44" s="899">
        <v>14</v>
      </c>
      <c r="N44" s="899"/>
      <c r="O44" s="899">
        <v>15</v>
      </c>
      <c r="P44" s="1196">
        <v>15</v>
      </c>
      <c r="Q44" s="1200"/>
      <c r="R44" s="1187"/>
      <c r="V44" s="1197">
        <v>368658</v>
      </c>
      <c r="W44" s="830" t="s">
        <v>2514</v>
      </c>
      <c r="X44" s="899"/>
    </row>
    <row r="45" spans="1:28">
      <c r="A45" s="830">
        <v>45</v>
      </c>
      <c r="B45" s="1181" t="s">
        <v>3034</v>
      </c>
      <c r="C45" s="830" t="s">
        <v>3048</v>
      </c>
      <c r="D45" s="928"/>
      <c r="E45" s="928"/>
      <c r="F45" s="928"/>
      <c r="G45" s="928"/>
      <c r="H45" s="928"/>
      <c r="I45" s="928"/>
      <c r="J45" s="928"/>
      <c r="K45" s="928"/>
      <c r="L45" s="928"/>
      <c r="M45" s="928"/>
      <c r="N45" s="928"/>
      <c r="O45" s="928"/>
      <c r="P45" s="1182"/>
      <c r="Q45" s="1200"/>
      <c r="R45" s="1187"/>
      <c r="T45" s="850"/>
      <c r="U45" s="928"/>
      <c r="V45" s="1185"/>
      <c r="X45" s="1185"/>
      <c r="AB45" s="1185">
        <f>Z45-X45</f>
        <v>0</v>
      </c>
    </row>
    <row r="46" spans="1:28" ht="15.6">
      <c r="A46" s="830">
        <v>46</v>
      </c>
      <c r="B46" s="1181" t="s">
        <v>3034</v>
      </c>
      <c r="C46" s="830" t="s">
        <v>3052</v>
      </c>
      <c r="D46" s="928">
        <v>24408.720000000001</v>
      </c>
      <c r="E46" s="928">
        <v>24347.09</v>
      </c>
      <c r="F46" s="928">
        <v>26046.639999999999</v>
      </c>
      <c r="G46" s="928">
        <v>21717.279999999999</v>
      </c>
      <c r="H46" s="928">
        <v>16779</v>
      </c>
      <c r="I46" s="928">
        <v>15091.22</v>
      </c>
      <c r="J46" s="928">
        <v>17932.71</v>
      </c>
      <c r="K46" s="928">
        <v>18108.96</v>
      </c>
      <c r="L46" s="928">
        <v>18207.560000000001</v>
      </c>
      <c r="M46" s="928">
        <v>26756.82</v>
      </c>
      <c r="N46" s="928"/>
      <c r="O46" s="928">
        <v>26775.89</v>
      </c>
      <c r="P46" s="1182">
        <v>27850.22</v>
      </c>
      <c r="Q46" s="1200"/>
      <c r="R46" s="1187"/>
      <c r="T46" s="850" t="s">
        <v>2696</v>
      </c>
      <c r="U46" s="1199">
        <v>27850.22</v>
      </c>
      <c r="V46" s="1185">
        <f>U46/V41</f>
        <v>0.14330004270667718</v>
      </c>
      <c r="X46" s="1185">
        <f>U46/V41</f>
        <v>0.14330004270667718</v>
      </c>
      <c r="Z46" s="1201">
        <v>0.14330000000000001</v>
      </c>
      <c r="AB46" s="1185">
        <f>Z46-X46</f>
        <v>-4.270667716688159E-8</v>
      </c>
    </row>
    <row r="47" spans="1:28" ht="15.6">
      <c r="A47" s="830">
        <v>47</v>
      </c>
      <c r="B47" s="1181" t="s">
        <v>3034</v>
      </c>
      <c r="C47" s="830" t="s">
        <v>3053</v>
      </c>
      <c r="D47" s="928">
        <v>17642.72</v>
      </c>
      <c r="E47" s="928">
        <v>17141.97</v>
      </c>
      <c r="F47" s="928">
        <v>17869.32</v>
      </c>
      <c r="G47" s="928">
        <v>18878.98</v>
      </c>
      <c r="H47" s="928">
        <v>15487.99</v>
      </c>
      <c r="I47" s="928">
        <v>14520.07</v>
      </c>
      <c r="J47" s="928">
        <v>14364.33</v>
      </c>
      <c r="K47" s="928">
        <v>18497.830000000002</v>
      </c>
      <c r="L47" s="928">
        <v>17425.45</v>
      </c>
      <c r="M47" s="928">
        <v>22192.17</v>
      </c>
      <c r="N47" s="928"/>
      <c r="O47" s="928">
        <v>24679.29</v>
      </c>
      <c r="P47" s="1182">
        <v>16487.87</v>
      </c>
      <c r="Q47" s="1200"/>
      <c r="R47" s="1187"/>
      <c r="T47" s="850" t="s">
        <v>2696</v>
      </c>
      <c r="U47" s="1199">
        <v>16487.87</v>
      </c>
      <c r="V47" s="1185">
        <f>U47/V42</f>
        <v>0.10984004849841447</v>
      </c>
      <c r="X47" s="1185">
        <f>U47/V42</f>
        <v>0.10984004849841447</v>
      </c>
      <c r="Z47" s="830">
        <v>0.10983999999999999</v>
      </c>
      <c r="AB47" s="1185">
        <f>Z47-X47</f>
        <v>-4.8498414478848062E-8</v>
      </c>
    </row>
    <row r="48" spans="1:28" ht="15.6">
      <c r="A48" s="830">
        <v>48</v>
      </c>
      <c r="B48" s="1181" t="s">
        <v>3034</v>
      </c>
      <c r="C48" s="830" t="s">
        <v>3054</v>
      </c>
      <c r="D48" s="1183">
        <v>0</v>
      </c>
      <c r="E48" s="1183">
        <v>0</v>
      </c>
      <c r="F48" s="1183">
        <v>0</v>
      </c>
      <c r="G48" s="1183">
        <v>423.17</v>
      </c>
      <c r="H48" s="1183">
        <v>259.12</v>
      </c>
      <c r="I48" s="1183">
        <v>1016.82</v>
      </c>
      <c r="J48" s="1183">
        <v>1606.73</v>
      </c>
      <c r="K48" s="1183">
        <v>1540.8</v>
      </c>
      <c r="L48" s="1183">
        <v>952.08</v>
      </c>
      <c r="M48" s="1183">
        <v>1230.6199999999999</v>
      </c>
      <c r="N48" s="1183"/>
      <c r="O48" s="1183">
        <v>2046.46</v>
      </c>
      <c r="P48" s="1184">
        <v>823.81</v>
      </c>
      <c r="Q48" s="1200"/>
      <c r="R48" s="1187"/>
      <c r="T48" s="850" t="s">
        <v>2696</v>
      </c>
      <c r="U48" s="1199">
        <v>823.81</v>
      </c>
      <c r="V48" s="1185">
        <f>U48/V43</f>
        <v>2.7090101940151264E-2</v>
      </c>
      <c r="X48" s="1185">
        <f>U48/V43</f>
        <v>2.7090101940151264E-2</v>
      </c>
      <c r="Z48" s="830">
        <v>2.7089999999999999E-2</v>
      </c>
      <c r="AB48" s="1185">
        <f>Z48-X48</f>
        <v>-1.0194015126474554E-7</v>
      </c>
    </row>
    <row r="49" spans="1:31" ht="15.6">
      <c r="A49" s="830">
        <v>49</v>
      </c>
      <c r="B49" s="1181"/>
      <c r="C49" s="850" t="s">
        <v>3036</v>
      </c>
      <c r="D49" s="928">
        <f t="shared" ref="D49:M49" si="15">SUM(D45:D48)</f>
        <v>42051.44</v>
      </c>
      <c r="E49" s="928">
        <f t="shared" si="15"/>
        <v>41489.06</v>
      </c>
      <c r="F49" s="928">
        <f t="shared" si="15"/>
        <v>43915.96</v>
      </c>
      <c r="G49" s="928">
        <f t="shared" si="15"/>
        <v>41019.429999999993</v>
      </c>
      <c r="H49" s="928">
        <f t="shared" si="15"/>
        <v>32526.109999999997</v>
      </c>
      <c r="I49" s="928">
        <f t="shared" si="15"/>
        <v>30628.11</v>
      </c>
      <c r="J49" s="928">
        <f t="shared" si="15"/>
        <v>33903.770000000004</v>
      </c>
      <c r="K49" s="928">
        <f t="shared" si="15"/>
        <v>38147.590000000004</v>
      </c>
      <c r="L49" s="928">
        <f t="shared" si="15"/>
        <v>36585.090000000004</v>
      </c>
      <c r="M49" s="928">
        <f t="shared" si="15"/>
        <v>50179.61</v>
      </c>
      <c r="N49" s="928"/>
      <c r="O49" s="928">
        <f>SUM(O45:O48)</f>
        <v>53501.64</v>
      </c>
      <c r="P49" s="1191">
        <f>SUM(P45:P48)</f>
        <v>45161.899999999994</v>
      </c>
      <c r="R49" s="1172"/>
      <c r="T49" s="850" t="s">
        <v>2650</v>
      </c>
      <c r="U49" s="1199">
        <v>158168.07999999999</v>
      </c>
      <c r="V49" s="1185">
        <f>U49/V44</f>
        <v>0.42903742764296443</v>
      </c>
      <c r="X49" s="1185">
        <f>U49/V44</f>
        <v>0.42903742764296443</v>
      </c>
      <c r="Z49" s="1201">
        <v>0.42197000000000001</v>
      </c>
      <c r="AB49" s="1185">
        <f>Z49-X49</f>
        <v>-7.0674276429644189E-3</v>
      </c>
    </row>
    <row r="50" spans="1:31">
      <c r="A50" s="830">
        <v>50</v>
      </c>
      <c r="B50" s="1181"/>
      <c r="C50" s="850" t="s">
        <v>3038</v>
      </c>
      <c r="D50" s="1183">
        <v>-27464.58</v>
      </c>
      <c r="E50" s="1183">
        <v>-22140.3</v>
      </c>
      <c r="F50" s="1183">
        <v>-27445.86</v>
      </c>
      <c r="G50" s="1183">
        <v>-15686.52</v>
      </c>
      <c r="H50" s="1183">
        <v>-8773.82</v>
      </c>
      <c r="I50" s="1183">
        <v>-9574.73</v>
      </c>
      <c r="J50" s="1183">
        <v>-6888</v>
      </c>
      <c r="K50" s="1183">
        <v>-11372.34</v>
      </c>
      <c r="L50" s="1183">
        <v>-10659.32</v>
      </c>
      <c r="M50" s="1183">
        <v>-12106.08</v>
      </c>
      <c r="N50" s="1183"/>
      <c r="O50" s="1183">
        <v>-17439.3</v>
      </c>
      <c r="P50" s="1184">
        <v>-28242.9</v>
      </c>
      <c r="R50" s="1172"/>
    </row>
    <row r="51" spans="1:31">
      <c r="A51" s="830">
        <v>51</v>
      </c>
      <c r="B51" s="1181"/>
      <c r="C51" s="850" t="s">
        <v>3039</v>
      </c>
      <c r="D51" s="928">
        <f t="shared" ref="D51:M51" si="16">SUM(D49:D50)</f>
        <v>14586.86</v>
      </c>
      <c r="E51" s="928">
        <f t="shared" si="16"/>
        <v>19348.759999999998</v>
      </c>
      <c r="F51" s="928">
        <f t="shared" si="16"/>
        <v>16470.099999999999</v>
      </c>
      <c r="G51" s="928">
        <f t="shared" si="16"/>
        <v>25332.909999999993</v>
      </c>
      <c r="H51" s="928">
        <f t="shared" si="16"/>
        <v>23752.289999999997</v>
      </c>
      <c r="I51" s="928">
        <f t="shared" si="16"/>
        <v>21053.38</v>
      </c>
      <c r="J51" s="928">
        <f t="shared" si="16"/>
        <v>27015.770000000004</v>
      </c>
      <c r="K51" s="928">
        <f t="shared" si="16"/>
        <v>26775.250000000004</v>
      </c>
      <c r="L51" s="928">
        <f t="shared" si="16"/>
        <v>25925.770000000004</v>
      </c>
      <c r="M51" s="928">
        <f t="shared" si="16"/>
        <v>38073.53</v>
      </c>
      <c r="N51" s="928">
        <v>-245706.20000000004</v>
      </c>
      <c r="O51" s="928">
        <f>SUM(O49:O50)</f>
        <v>36062.339999999997</v>
      </c>
      <c r="P51" s="1182">
        <f>SUM(P49:P50)</f>
        <v>16918.999999999993</v>
      </c>
      <c r="R51" s="1187">
        <f>SUM(D51:Q51)-N51</f>
        <v>291315.96000000002</v>
      </c>
    </row>
    <row r="52" spans="1:31">
      <c r="A52" s="830">
        <v>52</v>
      </c>
      <c r="B52" s="1181"/>
      <c r="C52" s="850" t="s">
        <v>3040</v>
      </c>
      <c r="D52" s="928">
        <v>1080.97</v>
      </c>
      <c r="E52" s="928">
        <f t="shared" ref="E52:M52" si="17">ROUND(ROUND(D54*E$6,2)/365*E$7,2)</f>
        <v>1038.6199999999999</v>
      </c>
      <c r="F52" s="928">
        <f t="shared" si="17"/>
        <v>1239.5999999999999</v>
      </c>
      <c r="G52" s="928">
        <f t="shared" si="17"/>
        <v>1341.47</v>
      </c>
      <c r="H52" s="928">
        <f t="shared" si="17"/>
        <v>1509.65</v>
      </c>
      <c r="I52" s="928">
        <f t="shared" si="17"/>
        <v>1574.11</v>
      </c>
      <c r="J52" s="928">
        <f t="shared" si="17"/>
        <v>1747.2</v>
      </c>
      <c r="K52" s="928">
        <f t="shared" si="17"/>
        <v>1881.56</v>
      </c>
      <c r="L52" s="928">
        <f t="shared" si="17"/>
        <v>1950.41</v>
      </c>
      <c r="M52" s="928">
        <f t="shared" si="17"/>
        <v>2114.4299999999998</v>
      </c>
      <c r="N52" s="928">
        <v>-11238.970000000001</v>
      </c>
      <c r="O52" s="928">
        <f>ROUND(ROUND(N54*O$6,2)/365*O$7,2)</f>
        <v>1080.6199999999999</v>
      </c>
      <c r="P52" s="1182">
        <f>ROUND(ROUND(O54*P$6,2)/365*P$7,2)</f>
        <v>1287.6199999999999</v>
      </c>
      <c r="R52" s="1188">
        <f>SUM(D52:Q52)</f>
        <v>6607.2899999999972</v>
      </c>
    </row>
    <row r="53" spans="1:31">
      <c r="A53" s="830">
        <v>53</v>
      </c>
      <c r="B53" s="1181"/>
      <c r="C53" s="850" t="s">
        <v>3041</v>
      </c>
      <c r="D53" s="1183">
        <f t="shared" ref="D53:P53" si="18">SUM(D51:D52)</f>
        <v>15667.83</v>
      </c>
      <c r="E53" s="1183">
        <f t="shared" si="18"/>
        <v>20387.379999999997</v>
      </c>
      <c r="F53" s="1183">
        <f t="shared" si="18"/>
        <v>17709.699999999997</v>
      </c>
      <c r="G53" s="1183">
        <f t="shared" si="18"/>
        <v>26674.379999999994</v>
      </c>
      <c r="H53" s="1183">
        <f t="shared" si="18"/>
        <v>25261.94</v>
      </c>
      <c r="I53" s="1183">
        <f t="shared" si="18"/>
        <v>22627.49</v>
      </c>
      <c r="J53" s="1183">
        <f t="shared" si="18"/>
        <v>28762.970000000005</v>
      </c>
      <c r="K53" s="1183">
        <f t="shared" si="18"/>
        <v>28656.810000000005</v>
      </c>
      <c r="L53" s="1183">
        <f t="shared" si="18"/>
        <v>27876.180000000004</v>
      </c>
      <c r="M53" s="1183">
        <f t="shared" si="18"/>
        <v>40187.96</v>
      </c>
      <c r="N53" s="1183">
        <f t="shared" si="18"/>
        <v>-256945.17000000004</v>
      </c>
      <c r="O53" s="1183">
        <f t="shared" si="18"/>
        <v>37142.959999999999</v>
      </c>
      <c r="P53" s="1184">
        <f t="shared" si="18"/>
        <v>18206.619999999992</v>
      </c>
      <c r="R53" s="1190">
        <f>SUM(R51:R52)</f>
        <v>297923.25</v>
      </c>
    </row>
    <row r="54" spans="1:31" ht="15" thickBot="1">
      <c r="A54" s="830">
        <v>54</v>
      </c>
      <c r="B54" s="1181"/>
      <c r="C54" s="1202" t="s">
        <v>3042</v>
      </c>
      <c r="D54" s="1203">
        <v>261374.02999999997</v>
      </c>
      <c r="E54" s="1203">
        <f t="shared" ref="E54:P54" si="19">D54+E53</f>
        <v>281761.40999999997</v>
      </c>
      <c r="F54" s="1203">
        <f t="shared" si="19"/>
        <v>299471.11</v>
      </c>
      <c r="G54" s="1203">
        <f t="shared" si="19"/>
        <v>326145.49</v>
      </c>
      <c r="H54" s="1203">
        <f t="shared" si="19"/>
        <v>351407.43</v>
      </c>
      <c r="I54" s="1203">
        <f t="shared" si="19"/>
        <v>374034.92</v>
      </c>
      <c r="J54" s="1203">
        <f t="shared" si="19"/>
        <v>402797.89</v>
      </c>
      <c r="K54" s="1204">
        <f t="shared" si="19"/>
        <v>431454.7</v>
      </c>
      <c r="L54" s="928">
        <f t="shared" si="19"/>
        <v>459330.88</v>
      </c>
      <c r="M54" s="928">
        <f t="shared" si="19"/>
        <v>499518.84</v>
      </c>
      <c r="N54" s="928">
        <f t="shared" si="19"/>
        <v>242573.66999999998</v>
      </c>
      <c r="O54" s="928">
        <f t="shared" si="19"/>
        <v>279716.63</v>
      </c>
      <c r="P54" s="1191">
        <f t="shared" si="19"/>
        <v>297923.25</v>
      </c>
      <c r="Q54" s="1172"/>
      <c r="R54" s="1172"/>
    </row>
    <row r="55" spans="1:31" ht="15" thickBot="1">
      <c r="A55" s="830">
        <v>55</v>
      </c>
      <c r="B55" s="1205"/>
      <c r="D55" s="899"/>
      <c r="E55" s="899"/>
      <c r="F55" s="928"/>
      <c r="G55" s="899"/>
      <c r="H55" s="899"/>
      <c r="I55" s="899"/>
      <c r="J55" s="899"/>
      <c r="K55" s="1206"/>
      <c r="L55" s="1206"/>
      <c r="M55" s="1206"/>
      <c r="N55" s="1206"/>
      <c r="O55" s="1206"/>
      <c r="P55" s="1206"/>
      <c r="Q55" s="1207"/>
      <c r="R55" s="832"/>
    </row>
    <row r="56" spans="1:31">
      <c r="A56" s="830">
        <v>56</v>
      </c>
      <c r="B56" s="831" t="s">
        <v>3055</v>
      </c>
      <c r="C56" s="1205" t="s">
        <v>3056</v>
      </c>
      <c r="D56" s="1206"/>
      <c r="E56" s="1206"/>
      <c r="F56" s="1208"/>
      <c r="G56" s="1206"/>
      <c r="H56" s="1206"/>
      <c r="I56" s="1206"/>
      <c r="J56" s="1206"/>
      <c r="K56" s="1206"/>
      <c r="L56" s="1206"/>
      <c r="M56" s="1206"/>
      <c r="N56" s="1206"/>
      <c r="O56" s="1206"/>
      <c r="P56" s="1209"/>
      <c r="Q56" s="832"/>
      <c r="R56" s="1210"/>
      <c r="T56" s="830">
        <v>504</v>
      </c>
      <c r="U56" s="850" t="s">
        <v>3056</v>
      </c>
    </row>
    <row r="57" spans="1:31" ht="15.6">
      <c r="A57" s="830">
        <v>57</v>
      </c>
      <c r="B57" s="1181" t="s">
        <v>1057</v>
      </c>
      <c r="C57" s="830" t="s">
        <v>3043</v>
      </c>
      <c r="D57" s="899">
        <v>1</v>
      </c>
      <c r="E57" s="899">
        <v>1</v>
      </c>
      <c r="F57" s="899">
        <v>1</v>
      </c>
      <c r="G57" s="899">
        <v>1</v>
      </c>
      <c r="H57" s="899">
        <v>1</v>
      </c>
      <c r="I57" s="899">
        <v>1</v>
      </c>
      <c r="J57" s="899">
        <v>1</v>
      </c>
      <c r="K57" s="899">
        <v>1</v>
      </c>
      <c r="L57" s="899">
        <v>1</v>
      </c>
      <c r="M57" s="899">
        <v>1</v>
      </c>
      <c r="N57" s="899"/>
      <c r="O57" s="899">
        <v>1</v>
      </c>
      <c r="P57" s="1196">
        <v>1</v>
      </c>
      <c r="Q57" s="834"/>
      <c r="R57" s="1195"/>
      <c r="V57" s="1197">
        <v>3958</v>
      </c>
      <c r="W57" s="830" t="s">
        <v>2514</v>
      </c>
      <c r="X57" s="899">
        <f>V57</f>
        <v>3958</v>
      </c>
    </row>
    <row r="58" spans="1:31" ht="15.6">
      <c r="A58" s="830">
        <v>58</v>
      </c>
      <c r="B58" s="1181" t="s">
        <v>3034</v>
      </c>
      <c r="C58" s="830" t="s">
        <v>3035</v>
      </c>
      <c r="D58" s="928">
        <v>1137.43</v>
      </c>
      <c r="E58" s="928">
        <v>1070.55</v>
      </c>
      <c r="F58" s="928">
        <v>1269.57</v>
      </c>
      <c r="G58" s="928">
        <v>816.22</v>
      </c>
      <c r="H58" s="928">
        <v>522.54999999999995</v>
      </c>
      <c r="I58" s="928">
        <v>149.27000000000001</v>
      </c>
      <c r="J58" s="928">
        <v>84.93</v>
      </c>
      <c r="K58" s="928">
        <v>35.869999999999997</v>
      </c>
      <c r="L58" s="928">
        <v>31.94</v>
      </c>
      <c r="M58" s="928">
        <v>143.25</v>
      </c>
      <c r="N58" s="928"/>
      <c r="O58" s="928">
        <v>683.85</v>
      </c>
      <c r="P58" s="1182">
        <v>915.96</v>
      </c>
      <c r="Q58" s="1200"/>
      <c r="R58" s="1187"/>
      <c r="T58" s="850" t="s">
        <v>2696</v>
      </c>
      <c r="U58" s="1199">
        <v>915.96</v>
      </c>
      <c r="V58" s="1185">
        <f>U58/V57</f>
        <v>0.23141990904497223</v>
      </c>
      <c r="X58" s="1185">
        <f>U58/X57</f>
        <v>0.23141990904497223</v>
      </c>
      <c r="Z58" s="830">
        <v>0.23141999999999999</v>
      </c>
      <c r="AB58" s="1185">
        <f>Z58-X58</f>
        <v>9.0955027759465068E-8</v>
      </c>
    </row>
    <row r="59" spans="1:31" ht="15.6">
      <c r="A59" s="830">
        <v>59</v>
      </c>
      <c r="B59" s="1181" t="s">
        <v>3044</v>
      </c>
      <c r="C59" s="830" t="s">
        <v>3057</v>
      </c>
      <c r="D59" s="928">
        <v>1070.55</v>
      </c>
      <c r="E59" s="928">
        <v>1269.57</v>
      </c>
      <c r="F59" s="928">
        <v>816.22</v>
      </c>
      <c r="G59" s="928">
        <v>522.54999999999995</v>
      </c>
      <c r="H59" s="928">
        <v>149.27000000000001</v>
      </c>
      <c r="I59" s="928">
        <v>84.93</v>
      </c>
      <c r="J59" s="928">
        <v>35.869999999999997</v>
      </c>
      <c r="K59" s="928">
        <v>31.94</v>
      </c>
      <c r="L59" s="928">
        <v>143.25</v>
      </c>
      <c r="M59" s="928">
        <v>683.85</v>
      </c>
      <c r="N59" s="928"/>
      <c r="O59" s="928">
        <v>915.96</v>
      </c>
      <c r="P59" s="928">
        <v>1053.42</v>
      </c>
      <c r="Q59" s="1187"/>
      <c r="R59" s="1187"/>
      <c r="T59" s="850" t="s">
        <v>2650</v>
      </c>
      <c r="U59" s="1199">
        <v>1724.03</v>
      </c>
      <c r="V59" s="1185">
        <f>U59/V57</f>
        <v>0.43558110156644769</v>
      </c>
      <c r="X59" s="1185">
        <f>U59/X57</f>
        <v>0.43558110156644769</v>
      </c>
      <c r="Z59" s="830">
        <v>0.43558000000000002</v>
      </c>
      <c r="AB59" s="1185">
        <f>Z59-X59</f>
        <v>-1.1015664476698994E-6</v>
      </c>
      <c r="AD59" s="1200">
        <f>P59</f>
        <v>1053.42</v>
      </c>
    </row>
    <row r="60" spans="1:31">
      <c r="A60" s="830">
        <v>60</v>
      </c>
      <c r="B60" s="1181" t="s">
        <v>3044</v>
      </c>
      <c r="C60" s="830" t="s">
        <v>3058</v>
      </c>
      <c r="D60" s="1183">
        <v>-1137.43</v>
      </c>
      <c r="E60" s="1183">
        <f t="shared" ref="E60:M60" si="20">-D59</f>
        <v>-1070.55</v>
      </c>
      <c r="F60" s="1183">
        <f t="shared" si="20"/>
        <v>-1269.57</v>
      </c>
      <c r="G60" s="1183">
        <f t="shared" si="20"/>
        <v>-816.22</v>
      </c>
      <c r="H60" s="1183">
        <f t="shared" si="20"/>
        <v>-522.54999999999995</v>
      </c>
      <c r="I60" s="1183">
        <f t="shared" si="20"/>
        <v>-149.27000000000001</v>
      </c>
      <c r="J60" s="1183">
        <f t="shared" si="20"/>
        <v>-84.93</v>
      </c>
      <c r="K60" s="1183">
        <f t="shared" si="20"/>
        <v>-35.869999999999997</v>
      </c>
      <c r="L60" s="1183">
        <f t="shared" si="20"/>
        <v>-31.94</v>
      </c>
      <c r="M60" s="1183">
        <f t="shared" si="20"/>
        <v>-143.25</v>
      </c>
      <c r="N60" s="1183"/>
      <c r="O60" s="1183">
        <f>-M59</f>
        <v>-683.85</v>
      </c>
      <c r="P60" s="1183">
        <f>-O59</f>
        <v>-915.96</v>
      </c>
      <c r="Q60" s="1187"/>
      <c r="R60" s="1187"/>
      <c r="T60" s="850"/>
      <c r="U60" s="928"/>
      <c r="V60" s="1185"/>
      <c r="X60" s="1185"/>
      <c r="AB60" s="1185"/>
      <c r="AD60" s="1200">
        <f>+D60</f>
        <v>-1137.43</v>
      </c>
      <c r="AE60" s="1200"/>
    </row>
    <row r="61" spans="1:31">
      <c r="A61" s="830">
        <v>61</v>
      </c>
      <c r="B61" s="829"/>
      <c r="C61" s="850" t="s">
        <v>3036</v>
      </c>
      <c r="D61" s="928">
        <f t="shared" ref="D61:M61" si="21">SUM(D58:D60)</f>
        <v>1070.55</v>
      </c>
      <c r="E61" s="928">
        <f t="shared" si="21"/>
        <v>1269.57</v>
      </c>
      <c r="F61" s="928">
        <f t="shared" si="21"/>
        <v>816.22</v>
      </c>
      <c r="G61" s="928">
        <f t="shared" si="21"/>
        <v>522.54999999999995</v>
      </c>
      <c r="H61" s="928">
        <f t="shared" si="21"/>
        <v>149.26999999999998</v>
      </c>
      <c r="I61" s="928">
        <f t="shared" si="21"/>
        <v>84.93</v>
      </c>
      <c r="J61" s="928">
        <f t="shared" si="21"/>
        <v>35.870000000000005</v>
      </c>
      <c r="K61" s="928">
        <f t="shared" si="21"/>
        <v>31.940000000000005</v>
      </c>
      <c r="L61" s="928">
        <f t="shared" si="21"/>
        <v>143.25</v>
      </c>
      <c r="M61" s="928">
        <f t="shared" si="21"/>
        <v>683.85</v>
      </c>
      <c r="N61" s="928"/>
      <c r="O61" s="928">
        <f>SUM(O58:O60)</f>
        <v>915.95999999999992</v>
      </c>
      <c r="P61" s="1182">
        <f>SUM(P58:P60)</f>
        <v>1053.42</v>
      </c>
      <c r="R61" s="1172"/>
    </row>
    <row r="62" spans="1:31">
      <c r="A62" s="830">
        <v>62</v>
      </c>
      <c r="B62" s="1181"/>
      <c r="C62" s="850" t="s">
        <v>3038</v>
      </c>
      <c r="D62" s="1183">
        <v>-127.65</v>
      </c>
      <c r="E62" s="1183">
        <v>-93.93</v>
      </c>
      <c r="F62" s="1183">
        <v>-78.319999999999993</v>
      </c>
      <c r="G62" s="1183">
        <v>-48.24</v>
      </c>
      <c r="H62" s="1183">
        <v>-31.22</v>
      </c>
      <c r="I62" s="1183">
        <v>-23.85</v>
      </c>
      <c r="J62" s="1183">
        <v>-24.45</v>
      </c>
      <c r="K62" s="1183">
        <v>-21.6</v>
      </c>
      <c r="L62" s="1183">
        <v>-32.049999999999997</v>
      </c>
      <c r="M62" s="1183">
        <v>-59.39</v>
      </c>
      <c r="N62" s="1183"/>
      <c r="O62" s="1183">
        <v>-89.84</v>
      </c>
      <c r="P62" s="1184">
        <v>-127</v>
      </c>
      <c r="R62" s="1172"/>
      <c r="U62" s="928"/>
    </row>
    <row r="63" spans="1:31">
      <c r="A63" s="830">
        <v>63</v>
      </c>
      <c r="B63" s="1181"/>
      <c r="C63" s="850" t="s">
        <v>3039</v>
      </c>
      <c r="D63" s="928">
        <f t="shared" ref="D63:M63" si="22">SUM(D61:D62)</f>
        <v>942.9</v>
      </c>
      <c r="E63" s="928">
        <f t="shared" si="22"/>
        <v>1175.6399999999999</v>
      </c>
      <c r="F63" s="928">
        <f t="shared" si="22"/>
        <v>737.90000000000009</v>
      </c>
      <c r="G63" s="928">
        <f t="shared" si="22"/>
        <v>474.30999999999995</v>
      </c>
      <c r="H63" s="928">
        <f t="shared" si="22"/>
        <v>118.04999999999998</v>
      </c>
      <c r="I63" s="928">
        <f t="shared" si="22"/>
        <v>61.080000000000005</v>
      </c>
      <c r="J63" s="928">
        <f t="shared" si="22"/>
        <v>11.420000000000005</v>
      </c>
      <c r="K63" s="928">
        <f t="shared" si="22"/>
        <v>10.340000000000003</v>
      </c>
      <c r="L63" s="928">
        <f t="shared" si="22"/>
        <v>111.2</v>
      </c>
      <c r="M63" s="928">
        <f t="shared" si="22"/>
        <v>624.46</v>
      </c>
      <c r="N63" s="928">
        <v>-6518.3300000000017</v>
      </c>
      <c r="O63" s="928">
        <f>SUM(O61:O62)</f>
        <v>826.11999999999989</v>
      </c>
      <c r="P63" s="1182">
        <f>SUM(P61:P62)</f>
        <v>926.42000000000007</v>
      </c>
      <c r="R63" s="1187">
        <f>SUM(D63:Q63)-N63</f>
        <v>6019.84</v>
      </c>
      <c r="U63" s="928">
        <v>948.8900000000001</v>
      </c>
    </row>
    <row r="64" spans="1:31">
      <c r="A64" s="830">
        <v>64</v>
      </c>
      <c r="B64" s="1181"/>
      <c r="C64" s="850" t="s">
        <v>3040</v>
      </c>
      <c r="D64" s="928">
        <v>28.68</v>
      </c>
      <c r="E64" s="928">
        <f t="shared" ref="E64:M64" si="23">ROUND(ROUND(D66*E$6,2)/365*E$7,2)</f>
        <v>29.76</v>
      </c>
      <c r="F64" s="928">
        <f t="shared" si="23"/>
        <v>38.25</v>
      </c>
      <c r="G64" s="928">
        <f t="shared" si="23"/>
        <v>42.43</v>
      </c>
      <c r="H64" s="928">
        <f t="shared" si="23"/>
        <v>46.23</v>
      </c>
      <c r="I64" s="928">
        <f t="shared" si="23"/>
        <v>45.48</v>
      </c>
      <c r="J64" s="928">
        <f t="shared" si="23"/>
        <v>47.92</v>
      </c>
      <c r="K64" s="928">
        <f t="shared" si="23"/>
        <v>48.2</v>
      </c>
      <c r="L64" s="928">
        <f t="shared" si="23"/>
        <v>46.91</v>
      </c>
      <c r="M64" s="928">
        <f t="shared" si="23"/>
        <v>48.5</v>
      </c>
      <c r="N64" s="928">
        <v>-298.17</v>
      </c>
      <c r="O64" s="928">
        <f>ROUND(ROUND(N66*O$6,2)/365*O$7,2)</f>
        <v>19.559999999999999</v>
      </c>
      <c r="P64" s="1182">
        <f>ROUND(ROUND(O66*P$6,2)/365*P$7,2)</f>
        <v>24.11</v>
      </c>
      <c r="R64" s="1188">
        <f>SUM(D64:Q64)</f>
        <v>167.86</v>
      </c>
      <c r="U64" s="928">
        <v>3.09</v>
      </c>
    </row>
    <row r="65" spans="1:31">
      <c r="A65" s="830">
        <v>65</v>
      </c>
      <c r="B65" s="1181"/>
      <c r="C65" s="850" t="s">
        <v>3041</v>
      </c>
      <c r="D65" s="1183">
        <f t="shared" ref="D65:P65" si="24">SUM(D63:D64)</f>
        <v>971.57999999999993</v>
      </c>
      <c r="E65" s="1183">
        <f t="shared" si="24"/>
        <v>1205.3999999999999</v>
      </c>
      <c r="F65" s="1183">
        <f t="shared" si="24"/>
        <v>776.15000000000009</v>
      </c>
      <c r="G65" s="1183">
        <f t="shared" si="24"/>
        <v>516.7399999999999</v>
      </c>
      <c r="H65" s="1183">
        <f t="shared" si="24"/>
        <v>164.27999999999997</v>
      </c>
      <c r="I65" s="1183">
        <f t="shared" si="24"/>
        <v>106.56</v>
      </c>
      <c r="J65" s="1183">
        <f t="shared" si="24"/>
        <v>59.34</v>
      </c>
      <c r="K65" s="1183">
        <f t="shared" si="24"/>
        <v>58.540000000000006</v>
      </c>
      <c r="L65" s="1183">
        <f t="shared" si="24"/>
        <v>158.11000000000001</v>
      </c>
      <c r="M65" s="1183">
        <f t="shared" si="24"/>
        <v>672.96</v>
      </c>
      <c r="N65" s="1183">
        <f t="shared" si="24"/>
        <v>-6816.5000000000018</v>
      </c>
      <c r="O65" s="1183">
        <f t="shared" si="24"/>
        <v>845.67999999999984</v>
      </c>
      <c r="P65" s="1184">
        <f t="shared" si="24"/>
        <v>950.53000000000009</v>
      </c>
      <c r="R65" s="1190">
        <f>SUM(R63:R64)</f>
        <v>6187.7</v>
      </c>
      <c r="U65" s="928">
        <v>951.98000000000013</v>
      </c>
    </row>
    <row r="66" spans="1:31">
      <c r="A66" s="830">
        <v>66</v>
      </c>
      <c r="B66" s="1181"/>
      <c r="C66" s="850" t="s">
        <v>3042</v>
      </c>
      <c r="D66" s="928">
        <v>7489.91</v>
      </c>
      <c r="E66" s="928">
        <f t="shared" ref="E66:P66" si="25">D66+E65</f>
        <v>8695.31</v>
      </c>
      <c r="F66" s="928">
        <f t="shared" si="25"/>
        <v>9471.4599999999991</v>
      </c>
      <c r="G66" s="928">
        <f t="shared" si="25"/>
        <v>9988.1999999999989</v>
      </c>
      <c r="H66" s="928">
        <f t="shared" si="25"/>
        <v>10152.48</v>
      </c>
      <c r="I66" s="928">
        <f t="shared" si="25"/>
        <v>10259.039999999999</v>
      </c>
      <c r="J66" s="928">
        <f t="shared" si="25"/>
        <v>10318.379999999999</v>
      </c>
      <c r="K66" s="928">
        <f t="shared" si="25"/>
        <v>10376.92</v>
      </c>
      <c r="L66" s="928">
        <f t="shared" si="25"/>
        <v>10535.03</v>
      </c>
      <c r="M66" s="928">
        <f t="shared" si="25"/>
        <v>11207.990000000002</v>
      </c>
      <c r="N66" s="928">
        <f t="shared" si="25"/>
        <v>4391.49</v>
      </c>
      <c r="O66" s="928">
        <f t="shared" si="25"/>
        <v>5237.17</v>
      </c>
      <c r="P66" s="1191">
        <f t="shared" si="25"/>
        <v>6187.7</v>
      </c>
      <c r="R66" s="1172"/>
      <c r="U66" s="928">
        <v>1808.02</v>
      </c>
      <c r="V66" s="1200">
        <f>1808.02-1805.56</f>
        <v>2.4600000000000364</v>
      </c>
    </row>
    <row r="67" spans="1:31">
      <c r="A67" s="830">
        <v>67</v>
      </c>
      <c r="B67" s="1181"/>
      <c r="C67" s="850"/>
      <c r="D67" s="928"/>
      <c r="E67" s="928"/>
      <c r="F67" s="928"/>
      <c r="G67" s="928"/>
      <c r="H67" s="928"/>
      <c r="I67" s="928"/>
      <c r="J67" s="928"/>
      <c r="K67" s="928"/>
      <c r="L67" s="928"/>
      <c r="M67" s="928"/>
      <c r="N67" s="899"/>
      <c r="O67" s="928"/>
      <c r="P67" s="1182"/>
      <c r="R67" s="1172"/>
      <c r="T67" s="850"/>
      <c r="U67" s="928"/>
      <c r="V67" s="1200"/>
    </row>
    <row r="68" spans="1:31">
      <c r="A68" s="830">
        <v>68</v>
      </c>
      <c r="B68" s="829" t="s">
        <v>3055</v>
      </c>
      <c r="C68" s="890">
        <v>504</v>
      </c>
      <c r="D68" s="899"/>
      <c r="E68" s="899"/>
      <c r="F68" s="928"/>
      <c r="G68" s="899"/>
      <c r="H68" s="899"/>
      <c r="I68" s="899"/>
      <c r="J68" s="899"/>
      <c r="K68" s="899"/>
      <c r="L68" s="899"/>
      <c r="M68" s="899"/>
      <c r="N68" s="899"/>
      <c r="O68" s="899"/>
      <c r="P68" s="1196"/>
      <c r="R68" s="1172"/>
      <c r="U68" s="830">
        <v>504</v>
      </c>
    </row>
    <row r="69" spans="1:31" ht="15.6">
      <c r="A69" s="830">
        <v>69</v>
      </c>
      <c r="B69" s="1181" t="s">
        <v>1057</v>
      </c>
      <c r="C69" s="830" t="s">
        <v>3043</v>
      </c>
      <c r="D69" s="899">
        <v>26545</v>
      </c>
      <c r="E69" s="899">
        <v>26585</v>
      </c>
      <c r="F69" s="899">
        <v>26564</v>
      </c>
      <c r="G69" s="899">
        <v>26465</v>
      </c>
      <c r="H69" s="899">
        <v>26386</v>
      </c>
      <c r="I69" s="899">
        <v>26319</v>
      </c>
      <c r="J69" s="899">
        <v>26276</v>
      </c>
      <c r="K69" s="899">
        <v>26268</v>
      </c>
      <c r="L69" s="899">
        <v>26300</v>
      </c>
      <c r="M69" s="899">
        <v>26526</v>
      </c>
      <c r="N69" s="899"/>
      <c r="O69" s="899">
        <v>26673</v>
      </c>
      <c r="P69" s="1196">
        <v>26797</v>
      </c>
      <c r="Q69" s="834"/>
      <c r="R69" s="1195"/>
      <c r="V69" s="1197">
        <v>11976706</v>
      </c>
      <c r="W69" s="830" t="s">
        <v>2514</v>
      </c>
      <c r="X69" s="899"/>
    </row>
    <row r="70" spans="1:31" ht="15.6">
      <c r="A70" s="830">
        <v>70</v>
      </c>
      <c r="B70" s="1181" t="s">
        <v>3034</v>
      </c>
      <c r="C70" s="830" t="s">
        <v>3035</v>
      </c>
      <c r="D70" s="928">
        <v>3043133.11</v>
      </c>
      <c r="E70" s="928">
        <v>3244574.11</v>
      </c>
      <c r="F70" s="928">
        <v>3697205.87</v>
      </c>
      <c r="G70" s="928">
        <v>2113981.9</v>
      </c>
      <c r="H70" s="928">
        <v>1248101.71</v>
      </c>
      <c r="I70" s="928">
        <v>805125.81</v>
      </c>
      <c r="J70" s="928">
        <v>709410.37</v>
      </c>
      <c r="K70" s="928">
        <v>648656</v>
      </c>
      <c r="L70" s="928">
        <v>620869.32999999996</v>
      </c>
      <c r="M70" s="928">
        <v>1126102.92</v>
      </c>
      <c r="N70" s="928"/>
      <c r="O70" s="928">
        <v>1834162.29</v>
      </c>
      <c r="P70" s="1182">
        <v>2778115.34</v>
      </c>
      <c r="Q70" s="1200"/>
      <c r="R70" s="1187"/>
      <c r="T70" s="850" t="s">
        <v>2696</v>
      </c>
      <c r="U70" s="1199">
        <v>2778115.34</v>
      </c>
      <c r="V70" s="1185">
        <f>U70/V69</f>
        <v>0.23195988446238888</v>
      </c>
      <c r="X70" s="1185">
        <f>U70/V69</f>
        <v>0.23195988446238888</v>
      </c>
      <c r="Z70" s="830">
        <v>0.23141999999999999</v>
      </c>
      <c r="AB70" s="1185">
        <f>Z70-X70</f>
        <v>-5.3988446238889543E-4</v>
      </c>
    </row>
    <row r="71" spans="1:31" ht="15.6">
      <c r="A71" s="830">
        <v>71</v>
      </c>
      <c r="B71" s="1181" t="s">
        <v>3044</v>
      </c>
      <c r="C71" s="830" t="s">
        <v>3045</v>
      </c>
      <c r="D71" s="928">
        <f>ROUND(ROUND(10187002*0.8988,0)*0.23142,2)</f>
        <v>2118899.34</v>
      </c>
      <c r="E71" s="928">
        <f>ROUND(ROUND(12666270*0.9016,0)*0.23142,2)</f>
        <v>2642795.34</v>
      </c>
      <c r="F71" s="928">
        <f>ROUND(ROUND(8619566*0.9062,0)*0.23142,2)</f>
        <v>1807633.42</v>
      </c>
      <c r="G71" s="928">
        <f>ROUND(ROUND(4713041*0.8984,0)*0.23142,2)</f>
        <v>979877.64</v>
      </c>
      <c r="H71" s="928">
        <f>ROUND(ROUND(2695771*0.8858,0)*0.23142,2)</f>
        <v>552611.06000000006</v>
      </c>
      <c r="I71" s="928">
        <f>ROUND(ROUND(2099565*0.8784,0)*0.23142,2)</f>
        <v>426798.19</v>
      </c>
      <c r="J71" s="928">
        <f>ROUND(ROUND(2183931*0.8827,0)*0.23142,2)</f>
        <v>446121.29</v>
      </c>
      <c r="K71" s="928">
        <f>ROUND(ROUND(1243727*0.8744,0)*0.23142,2)</f>
        <v>251672.72</v>
      </c>
      <c r="L71" s="928">
        <f>ROUND(ROUND(2978172*0.8851,0)*0.23142,2)</f>
        <v>610018.49</v>
      </c>
      <c r="M71" s="928">
        <f>ROUND(ROUND(6393900*0.8771,0)*0.23142,2)</f>
        <v>1297824.19</v>
      </c>
      <c r="N71" s="928"/>
      <c r="O71" s="928">
        <f>ROUND(ROUND(10324809*0.8841,0)*0.23142,2)</f>
        <v>2112439.71</v>
      </c>
      <c r="P71" s="1182">
        <f>ROUND(ROUND(11506709*0.9041,0)*0.23142,2)</f>
        <v>2407512.25</v>
      </c>
      <c r="Q71" s="1200"/>
      <c r="R71" s="1187"/>
      <c r="T71" s="850" t="s">
        <v>2650</v>
      </c>
      <c r="U71" s="1199">
        <v>5228298.07</v>
      </c>
      <c r="V71" s="1185">
        <f>U71/V69</f>
        <v>0.43653890059587336</v>
      </c>
      <c r="X71" s="1185">
        <f>U71/V69</f>
        <v>0.43653890059587336</v>
      </c>
      <c r="Z71" s="830">
        <f>+Z59</f>
        <v>0.43558000000000002</v>
      </c>
      <c r="AB71" s="1185">
        <f>Z71-X71</f>
        <v>-9.5890059587333543E-4</v>
      </c>
      <c r="AD71" s="1200">
        <f>P71</f>
        <v>2407512.25</v>
      </c>
    </row>
    <row r="72" spans="1:31">
      <c r="A72" s="830">
        <v>72</v>
      </c>
      <c r="B72" s="1181" t="s">
        <v>3044</v>
      </c>
      <c r="C72" s="830" t="s">
        <v>3046</v>
      </c>
      <c r="D72" s="1183">
        <v>-2112086.7999999998</v>
      </c>
      <c r="E72" s="1183">
        <f t="shared" ref="E72:M72" si="26">-D71</f>
        <v>-2118899.34</v>
      </c>
      <c r="F72" s="1183">
        <f t="shared" si="26"/>
        <v>-2642795.34</v>
      </c>
      <c r="G72" s="1183">
        <f t="shared" si="26"/>
        <v>-1807633.42</v>
      </c>
      <c r="H72" s="1183">
        <f t="shared" si="26"/>
        <v>-979877.64</v>
      </c>
      <c r="I72" s="1183">
        <f t="shared" si="26"/>
        <v>-552611.06000000006</v>
      </c>
      <c r="J72" s="1183">
        <f t="shared" si="26"/>
        <v>-426798.19</v>
      </c>
      <c r="K72" s="1183">
        <f t="shared" si="26"/>
        <v>-446121.29</v>
      </c>
      <c r="L72" s="1183">
        <f t="shared" si="26"/>
        <v>-251672.72</v>
      </c>
      <c r="M72" s="1183">
        <f t="shared" si="26"/>
        <v>-610018.49</v>
      </c>
      <c r="N72" s="1183"/>
      <c r="O72" s="1183">
        <f>-M71</f>
        <v>-1297824.19</v>
      </c>
      <c r="P72" s="1184">
        <f>-O71</f>
        <v>-2112439.71</v>
      </c>
      <c r="Q72" s="1200"/>
      <c r="R72" s="1187"/>
      <c r="T72" s="850"/>
      <c r="U72" s="928"/>
      <c r="V72" s="1185"/>
      <c r="X72" s="1185"/>
      <c r="AB72" s="1185"/>
      <c r="AD72" s="1200">
        <f>+D72</f>
        <v>-2112086.7999999998</v>
      </c>
      <c r="AE72" s="1200"/>
    </row>
    <row r="73" spans="1:31">
      <c r="A73" s="830">
        <v>73</v>
      </c>
      <c r="B73" s="1181"/>
      <c r="C73" s="850" t="s">
        <v>3036</v>
      </c>
      <c r="D73" s="928">
        <f t="shared" ref="D73:M73" si="27">SUM(D70:D72)</f>
        <v>3049945.6499999994</v>
      </c>
      <c r="E73" s="928">
        <f t="shared" si="27"/>
        <v>3768470.1099999994</v>
      </c>
      <c r="F73" s="928">
        <f t="shared" si="27"/>
        <v>2862043.95</v>
      </c>
      <c r="G73" s="928">
        <f t="shared" si="27"/>
        <v>1286226.1200000001</v>
      </c>
      <c r="H73" s="928">
        <f t="shared" si="27"/>
        <v>820835.13</v>
      </c>
      <c r="I73" s="928">
        <f t="shared" si="27"/>
        <v>679312.94</v>
      </c>
      <c r="J73" s="928">
        <f t="shared" si="27"/>
        <v>728733.47</v>
      </c>
      <c r="K73" s="928">
        <f t="shared" si="27"/>
        <v>454207.43</v>
      </c>
      <c r="L73" s="928">
        <f t="shared" si="27"/>
        <v>979215.09999999986</v>
      </c>
      <c r="M73" s="928">
        <f t="shared" si="27"/>
        <v>1813908.6199999999</v>
      </c>
      <c r="N73" s="928"/>
      <c r="O73" s="928">
        <f>SUM(O70:O72)</f>
        <v>2648777.81</v>
      </c>
      <c r="P73" s="1182">
        <f>SUM(P70:P72)</f>
        <v>3073187.88</v>
      </c>
      <c r="R73" s="1172"/>
    </row>
    <row r="74" spans="1:31">
      <c r="A74" s="830">
        <v>74</v>
      </c>
      <c r="B74" s="1181"/>
      <c r="C74" s="850" t="s">
        <v>3038</v>
      </c>
      <c r="D74" s="1183">
        <v>-3388469.25</v>
      </c>
      <c r="E74" s="1183">
        <v>-2497129.0499999998</v>
      </c>
      <c r="F74" s="1183">
        <v>-2080492.48</v>
      </c>
      <c r="G74" s="1183">
        <v>-1276671.6000000001</v>
      </c>
      <c r="H74" s="1183">
        <v>-823770.92</v>
      </c>
      <c r="I74" s="1183">
        <v>-627708.15</v>
      </c>
      <c r="J74" s="1183">
        <v>-642448.19999999995</v>
      </c>
      <c r="K74" s="1183">
        <v>-567388.80000000005</v>
      </c>
      <c r="L74" s="1183">
        <v>-842915</v>
      </c>
      <c r="M74" s="1183">
        <v>-1575379.14</v>
      </c>
      <c r="N74" s="1183"/>
      <c r="O74" s="1183">
        <v>-2396302.3199999998</v>
      </c>
      <c r="P74" s="1184">
        <v>-3403219</v>
      </c>
      <c r="R74" s="1172"/>
    </row>
    <row r="75" spans="1:31">
      <c r="A75" s="830">
        <v>75</v>
      </c>
      <c r="B75" s="1181"/>
      <c r="C75" s="850" t="s">
        <v>3039</v>
      </c>
      <c r="D75" s="928">
        <f t="shared" ref="D75:M75" si="28">SUM(D73:D74)</f>
        <v>-338523.60000000056</v>
      </c>
      <c r="E75" s="928">
        <f t="shared" si="28"/>
        <v>1271341.0599999996</v>
      </c>
      <c r="F75" s="928">
        <f t="shared" si="28"/>
        <v>781551.4700000002</v>
      </c>
      <c r="G75" s="928">
        <f t="shared" si="28"/>
        <v>9554.5200000000186</v>
      </c>
      <c r="H75" s="928">
        <f t="shared" si="28"/>
        <v>-2935.7900000000373</v>
      </c>
      <c r="I75" s="928">
        <f t="shared" si="28"/>
        <v>51604.789999999921</v>
      </c>
      <c r="J75" s="928">
        <f t="shared" si="28"/>
        <v>86285.270000000019</v>
      </c>
      <c r="K75" s="928">
        <f t="shared" si="28"/>
        <v>-113181.37000000005</v>
      </c>
      <c r="L75" s="928">
        <f t="shared" si="28"/>
        <v>136300.09999999986</v>
      </c>
      <c r="M75" s="928">
        <f t="shared" si="28"/>
        <v>238529.47999999998</v>
      </c>
      <c r="N75" s="928">
        <v>28946.250000001055</v>
      </c>
      <c r="O75" s="928">
        <f>SUM(O73:O74)</f>
        <v>252475.49000000022</v>
      </c>
      <c r="P75" s="1182">
        <f>SUM(P73:P74)</f>
        <v>-330031.12000000011</v>
      </c>
      <c r="R75" s="1187">
        <f>SUM(D75:Q75)-N75</f>
        <v>2042970.2999999986</v>
      </c>
    </row>
    <row r="76" spans="1:31">
      <c r="A76" s="830">
        <v>76</v>
      </c>
      <c r="B76" s="1181"/>
      <c r="C76" s="850" t="s">
        <v>3040</v>
      </c>
      <c r="D76" s="928">
        <v>-127.35</v>
      </c>
      <c r="E76" s="928">
        <f t="shared" ref="E76:M76" si="29">ROUND(ROUND(D78*E$6,2)/365*E$7,2)</f>
        <v>-1460.72</v>
      </c>
      <c r="F76" s="928">
        <f t="shared" si="29"/>
        <v>3969.55</v>
      </c>
      <c r="G76" s="928">
        <f t="shared" si="29"/>
        <v>7560.44</v>
      </c>
      <c r="H76" s="928">
        <f t="shared" si="29"/>
        <v>7891.67</v>
      </c>
      <c r="I76" s="928">
        <f t="shared" si="29"/>
        <v>7659.3</v>
      </c>
      <c r="J76" s="928">
        <f t="shared" si="29"/>
        <v>8264.06</v>
      </c>
      <c r="K76" s="928">
        <f t="shared" si="29"/>
        <v>8705.7199999999993</v>
      </c>
      <c r="L76" s="928">
        <f t="shared" si="29"/>
        <v>7952.61</v>
      </c>
      <c r="M76" s="928">
        <f t="shared" si="29"/>
        <v>8762.2000000000007</v>
      </c>
      <c r="N76" s="928">
        <v>1324.06</v>
      </c>
      <c r="O76" s="928">
        <f>ROUND(ROUND(N78*O$6,2)/365*O$7,2)</f>
        <v>9716.0300000000007</v>
      </c>
      <c r="P76" s="1182">
        <f>ROUND(ROUND(O78*P$6,2)/365*P$7,2)</f>
        <v>11246.84</v>
      </c>
      <c r="R76" s="1188">
        <f>SUM(D76:Q76)</f>
        <v>81464.409999999989</v>
      </c>
    </row>
    <row r="77" spans="1:31">
      <c r="A77" s="830">
        <v>77</v>
      </c>
      <c r="B77" s="1181"/>
      <c r="C77" s="850" t="s">
        <v>3041</v>
      </c>
      <c r="D77" s="1183">
        <f t="shared" ref="D77:P77" si="30">SUM(D75:D76)</f>
        <v>-338650.95000000054</v>
      </c>
      <c r="E77" s="1183">
        <f t="shared" si="30"/>
        <v>1269880.3399999996</v>
      </c>
      <c r="F77" s="1183">
        <f t="shared" si="30"/>
        <v>785521.02000000025</v>
      </c>
      <c r="G77" s="1183">
        <f t="shared" si="30"/>
        <v>17114.960000000017</v>
      </c>
      <c r="H77" s="1183">
        <f t="shared" si="30"/>
        <v>4955.8799999999628</v>
      </c>
      <c r="I77" s="1183">
        <f t="shared" si="30"/>
        <v>59264.089999999924</v>
      </c>
      <c r="J77" s="1183">
        <f t="shared" si="30"/>
        <v>94549.330000000016</v>
      </c>
      <c r="K77" s="1183">
        <f t="shared" si="30"/>
        <v>-104475.65000000005</v>
      </c>
      <c r="L77" s="1183">
        <f t="shared" si="30"/>
        <v>144252.70999999985</v>
      </c>
      <c r="M77" s="1183">
        <f t="shared" si="30"/>
        <v>247291.68</v>
      </c>
      <c r="N77" s="1183">
        <f t="shared" si="30"/>
        <v>30270.310000001056</v>
      </c>
      <c r="O77" s="1183">
        <f t="shared" si="30"/>
        <v>262191.52000000025</v>
      </c>
      <c r="P77" s="1184">
        <f t="shared" si="30"/>
        <v>-318784.28000000009</v>
      </c>
      <c r="R77" s="1190">
        <f>SUM(R75:R76)</f>
        <v>2124434.7099999986</v>
      </c>
    </row>
    <row r="78" spans="1:31">
      <c r="A78" s="830">
        <v>78</v>
      </c>
      <c r="B78" s="1181"/>
      <c r="C78" s="850" t="s">
        <v>3042</v>
      </c>
      <c r="D78" s="928">
        <v>-367597.20000000222</v>
      </c>
      <c r="E78" s="928">
        <f t="shared" ref="E78:P78" si="31">D78+E77</f>
        <v>902283.13999999734</v>
      </c>
      <c r="F78" s="928">
        <f t="shared" si="31"/>
        <v>1687804.1599999976</v>
      </c>
      <c r="G78" s="928">
        <f t="shared" si="31"/>
        <v>1704919.1199999976</v>
      </c>
      <c r="H78" s="928">
        <f t="shared" si="31"/>
        <v>1709874.9999999974</v>
      </c>
      <c r="I78" s="928">
        <f t="shared" si="31"/>
        <v>1769139.0899999973</v>
      </c>
      <c r="J78" s="928">
        <f t="shared" si="31"/>
        <v>1863688.4199999974</v>
      </c>
      <c r="K78" s="928">
        <f t="shared" si="31"/>
        <v>1759212.7699999972</v>
      </c>
      <c r="L78" s="928">
        <f t="shared" si="31"/>
        <v>1903465.4799999972</v>
      </c>
      <c r="M78" s="928">
        <f t="shared" si="31"/>
        <v>2150757.1599999974</v>
      </c>
      <c r="N78" s="928">
        <f t="shared" si="31"/>
        <v>2181027.4699999983</v>
      </c>
      <c r="O78" s="928">
        <f t="shared" si="31"/>
        <v>2443218.9899999984</v>
      </c>
      <c r="P78" s="1191">
        <f t="shared" si="31"/>
        <v>2124434.7099999981</v>
      </c>
      <c r="R78" s="1172"/>
      <c r="V78" s="1200">
        <f>ROUND(U99/Z99,0)</f>
        <v>887875</v>
      </c>
    </row>
    <row r="79" spans="1:31" ht="15" thickBot="1">
      <c r="A79" s="830">
        <v>79</v>
      </c>
      <c r="B79" s="1211"/>
      <c r="C79" s="850"/>
      <c r="D79" s="928"/>
      <c r="E79" s="928"/>
      <c r="F79" s="928"/>
      <c r="G79" s="928"/>
      <c r="H79" s="928"/>
      <c r="I79" s="928"/>
      <c r="J79" s="928"/>
      <c r="K79" s="928"/>
      <c r="L79" s="928"/>
      <c r="M79" s="928"/>
      <c r="N79" s="928"/>
      <c r="O79" s="928"/>
      <c r="P79" s="928"/>
      <c r="Q79" s="1163"/>
      <c r="R79" s="1163"/>
      <c r="T79" s="850"/>
      <c r="U79" s="928"/>
      <c r="V79" s="1200">
        <f>ROUND(U100/Z100,0)</f>
        <v>275531</v>
      </c>
    </row>
    <row r="80" spans="1:31">
      <c r="A80" s="830">
        <v>80</v>
      </c>
      <c r="B80" s="831" t="s">
        <v>3055</v>
      </c>
      <c r="C80" s="832" t="s">
        <v>3059</v>
      </c>
      <c r="D80" s="1206"/>
      <c r="E80" s="1206"/>
      <c r="F80" s="1208"/>
      <c r="G80" s="1206"/>
      <c r="H80" s="1206"/>
      <c r="I80" s="1206"/>
      <c r="J80" s="1206"/>
      <c r="K80" s="1206"/>
      <c r="L80" s="1206"/>
      <c r="M80" s="1206"/>
      <c r="N80" s="1206"/>
      <c r="O80" s="1206"/>
      <c r="P80" s="1209"/>
      <c r="Q80" s="832"/>
      <c r="R80" s="1210"/>
      <c r="T80" s="850"/>
      <c r="U80" s="928"/>
      <c r="V80" s="1200"/>
    </row>
    <row r="81" spans="1:31">
      <c r="A81" s="830">
        <v>81</v>
      </c>
      <c r="B81" s="1181" t="s">
        <v>1057</v>
      </c>
      <c r="C81" s="830" t="s">
        <v>3043</v>
      </c>
      <c r="D81" s="899"/>
      <c r="E81" s="899"/>
      <c r="F81" s="899"/>
      <c r="G81" s="899"/>
      <c r="H81" s="899"/>
      <c r="I81" s="899"/>
      <c r="J81" s="899"/>
      <c r="K81" s="899"/>
      <c r="L81" s="899"/>
      <c r="M81" s="899">
        <v>7</v>
      </c>
      <c r="N81" s="899"/>
      <c r="O81" s="899">
        <v>7</v>
      </c>
      <c r="P81" s="1196">
        <v>7</v>
      </c>
      <c r="Q81" s="834"/>
      <c r="R81" s="1195"/>
      <c r="T81" s="850"/>
      <c r="U81" s="928"/>
      <c r="V81" s="1200"/>
    </row>
    <row r="82" spans="1:31">
      <c r="A82" s="830">
        <v>82</v>
      </c>
      <c r="B82" s="1181" t="s">
        <v>3034</v>
      </c>
      <c r="C82" s="830" t="s">
        <v>3052</v>
      </c>
      <c r="D82" s="928"/>
      <c r="E82" s="928"/>
      <c r="F82" s="928"/>
      <c r="G82" s="928"/>
      <c r="H82" s="928"/>
      <c r="I82" s="928"/>
      <c r="J82" s="928"/>
      <c r="K82" s="928"/>
      <c r="L82" s="928"/>
      <c r="M82" s="928"/>
      <c r="N82" s="928"/>
      <c r="O82" s="928">
        <v>18669.12</v>
      </c>
      <c r="P82" s="1182">
        <v>19643.849999999999</v>
      </c>
      <c r="Q82" s="1200"/>
      <c r="R82" s="1187"/>
      <c r="T82" s="850"/>
      <c r="U82" s="928"/>
      <c r="V82" s="1200"/>
    </row>
    <row r="83" spans="1:31">
      <c r="A83" s="830">
        <v>83</v>
      </c>
      <c r="B83" s="1181" t="s">
        <v>3034</v>
      </c>
      <c r="C83" s="830" t="s">
        <v>3053</v>
      </c>
      <c r="D83" s="928"/>
      <c r="E83" s="928"/>
      <c r="F83" s="928"/>
      <c r="G83" s="928"/>
      <c r="H83" s="928"/>
      <c r="I83" s="928"/>
      <c r="J83" s="928"/>
      <c r="K83" s="928"/>
      <c r="L83" s="928"/>
      <c r="M83" s="928"/>
      <c r="N83" s="928"/>
      <c r="O83" s="928">
        <v>35157.15</v>
      </c>
      <c r="P83" s="1182">
        <v>39654.980000000003</v>
      </c>
      <c r="Q83" s="1200"/>
      <c r="R83" s="1187"/>
      <c r="T83" s="850"/>
      <c r="U83" s="928"/>
      <c r="V83" s="1200"/>
    </row>
    <row r="84" spans="1:31">
      <c r="A84" s="830">
        <v>84</v>
      </c>
      <c r="B84" s="1181" t="s">
        <v>3034</v>
      </c>
      <c r="C84" s="830" t="s">
        <v>3054</v>
      </c>
      <c r="D84" s="928"/>
      <c r="E84" s="928"/>
      <c r="F84" s="928"/>
      <c r="G84" s="928"/>
      <c r="H84" s="928"/>
      <c r="I84" s="928"/>
      <c r="J84" s="928"/>
      <c r="K84" s="928"/>
      <c r="L84" s="928"/>
      <c r="M84" s="928"/>
      <c r="N84" s="928"/>
      <c r="O84" s="928">
        <v>24299.87</v>
      </c>
      <c r="P84" s="1182">
        <v>27107.24</v>
      </c>
      <c r="Q84" s="1200"/>
      <c r="R84" s="1187"/>
      <c r="T84" s="850"/>
      <c r="U84" s="928"/>
      <c r="V84" s="1200"/>
    </row>
    <row r="85" spans="1:31" ht="15">
      <c r="A85" s="830">
        <v>85</v>
      </c>
      <c r="B85" s="1181" t="s">
        <v>3044</v>
      </c>
      <c r="C85" s="1212" t="s">
        <v>3060</v>
      </c>
      <c r="D85" s="928"/>
      <c r="E85" s="928"/>
      <c r="F85" s="928"/>
      <c r="G85" s="928"/>
      <c r="H85" s="928"/>
      <c r="I85" s="928"/>
      <c r="J85" s="928"/>
      <c r="K85" s="928"/>
      <c r="L85" s="928"/>
      <c r="M85" s="928">
        <v>18669.12</v>
      </c>
      <c r="N85" s="928"/>
      <c r="O85" s="928">
        <v>19643.849999999999</v>
      </c>
      <c r="P85" s="1182">
        <v>19935.75</v>
      </c>
      <c r="Q85" s="1200"/>
      <c r="R85" s="1187"/>
      <c r="T85" s="850"/>
      <c r="U85" s="928"/>
      <c r="V85" s="1200"/>
      <c r="AD85" s="1200"/>
    </row>
    <row r="86" spans="1:31" ht="15">
      <c r="A86" s="830">
        <v>86</v>
      </c>
      <c r="B86" s="1181" t="s">
        <v>3044</v>
      </c>
      <c r="C86" s="1212" t="s">
        <v>3061</v>
      </c>
      <c r="D86" s="928"/>
      <c r="E86" s="928"/>
      <c r="F86" s="928"/>
      <c r="G86" s="928"/>
      <c r="H86" s="928"/>
      <c r="I86" s="928"/>
      <c r="J86" s="928"/>
      <c r="K86" s="928"/>
      <c r="L86" s="928"/>
      <c r="M86" s="928">
        <v>35157.15</v>
      </c>
      <c r="N86" s="928"/>
      <c r="O86" s="928">
        <v>39654.980000000003</v>
      </c>
      <c r="P86" s="1182">
        <v>41795.550000000003</v>
      </c>
      <c r="Q86" s="1200"/>
      <c r="R86" s="1187"/>
      <c r="T86" s="850"/>
      <c r="U86" s="928"/>
      <c r="V86" s="1200"/>
      <c r="AD86" s="1200"/>
    </row>
    <row r="87" spans="1:31" ht="15">
      <c r="A87" s="830">
        <v>87</v>
      </c>
      <c r="B87" s="1181" t="s">
        <v>3044</v>
      </c>
      <c r="C87" s="1212" t="s">
        <v>3062</v>
      </c>
      <c r="D87" s="928"/>
      <c r="E87" s="928"/>
      <c r="F87" s="928"/>
      <c r="G87" s="928"/>
      <c r="H87" s="928"/>
      <c r="I87" s="928"/>
      <c r="J87" s="928"/>
      <c r="K87" s="928"/>
      <c r="L87" s="928"/>
      <c r="M87" s="928">
        <v>24299.87</v>
      </c>
      <c r="N87" s="928"/>
      <c r="O87" s="928">
        <v>27107.24</v>
      </c>
      <c r="P87" s="1182">
        <v>31678.16</v>
      </c>
      <c r="Q87" s="1200"/>
      <c r="R87" s="1187"/>
      <c r="T87" s="850"/>
      <c r="U87" s="928"/>
      <c r="V87" s="1200"/>
      <c r="AD87" s="1200"/>
    </row>
    <row r="88" spans="1:31">
      <c r="A88" s="830">
        <v>88</v>
      </c>
      <c r="B88" s="1181" t="s">
        <v>3044</v>
      </c>
      <c r="C88" s="830" t="s">
        <v>3058</v>
      </c>
      <c r="D88" s="1183"/>
      <c r="E88" s="1183">
        <f t="shared" ref="E88:M88" si="32">-D85</f>
        <v>0</v>
      </c>
      <c r="F88" s="1183">
        <f t="shared" si="32"/>
        <v>0</v>
      </c>
      <c r="G88" s="1183">
        <f t="shared" si="32"/>
        <v>0</v>
      </c>
      <c r="H88" s="1183">
        <f t="shared" si="32"/>
        <v>0</v>
      </c>
      <c r="I88" s="1183">
        <f t="shared" si="32"/>
        <v>0</v>
      </c>
      <c r="J88" s="1183">
        <f t="shared" si="32"/>
        <v>0</v>
      </c>
      <c r="K88" s="1183">
        <f t="shared" si="32"/>
        <v>0</v>
      </c>
      <c r="L88" s="1183">
        <f t="shared" si="32"/>
        <v>0</v>
      </c>
      <c r="M88" s="1183">
        <f t="shared" si="32"/>
        <v>0</v>
      </c>
      <c r="N88" s="928"/>
      <c r="O88" s="1183">
        <f>-M85-M86-M87</f>
        <v>-78126.14</v>
      </c>
      <c r="P88" s="1183">
        <f>-O85-O86-O87</f>
        <v>-86406.07</v>
      </c>
      <c r="Q88" s="1187"/>
      <c r="R88" s="1187"/>
      <c r="T88" s="850"/>
      <c r="U88" s="928"/>
      <c r="V88" s="1200"/>
      <c r="AD88" s="1200">
        <f>M88</f>
        <v>0</v>
      </c>
      <c r="AE88" s="1200">
        <f>SUM(AD85:AD88)</f>
        <v>0</v>
      </c>
    </row>
    <row r="89" spans="1:31">
      <c r="A89" s="830">
        <v>89</v>
      </c>
      <c r="B89" s="1181"/>
      <c r="C89" s="850" t="s">
        <v>3036</v>
      </c>
      <c r="D89" s="928">
        <f t="shared" ref="D89:M89" si="33">SUM(D82:D88)</f>
        <v>0</v>
      </c>
      <c r="E89" s="928">
        <f t="shared" si="33"/>
        <v>0</v>
      </c>
      <c r="F89" s="928">
        <f t="shared" si="33"/>
        <v>0</v>
      </c>
      <c r="G89" s="928">
        <f t="shared" si="33"/>
        <v>0</v>
      </c>
      <c r="H89" s="928">
        <f t="shared" si="33"/>
        <v>0</v>
      </c>
      <c r="I89" s="928">
        <f t="shared" si="33"/>
        <v>0</v>
      </c>
      <c r="J89" s="928">
        <f t="shared" si="33"/>
        <v>0</v>
      </c>
      <c r="K89" s="928">
        <f t="shared" si="33"/>
        <v>0</v>
      </c>
      <c r="L89" s="928">
        <f t="shared" si="33"/>
        <v>0</v>
      </c>
      <c r="M89" s="928">
        <f t="shared" si="33"/>
        <v>78126.14</v>
      </c>
      <c r="N89" s="1204"/>
      <c r="O89" s="928">
        <f>SUM(O82:O88)</f>
        <v>86406.069999999992</v>
      </c>
      <c r="P89" s="1182">
        <f>SUM(P82:P88)</f>
        <v>93409.459999999992</v>
      </c>
      <c r="R89" s="1172"/>
      <c r="T89" s="850"/>
      <c r="U89" s="928"/>
      <c r="V89" s="1200"/>
    </row>
    <row r="90" spans="1:31">
      <c r="A90" s="830">
        <v>90</v>
      </c>
      <c r="B90" s="1181"/>
      <c r="C90" s="850" t="s">
        <v>3038</v>
      </c>
      <c r="D90" s="1183">
        <v>0</v>
      </c>
      <c r="E90" s="1183">
        <v>0</v>
      </c>
      <c r="F90" s="1183">
        <v>0</v>
      </c>
      <c r="G90" s="1183">
        <v>0</v>
      </c>
      <c r="H90" s="1183">
        <v>0</v>
      </c>
      <c r="I90" s="1183">
        <v>0</v>
      </c>
      <c r="J90" s="1183">
        <v>0</v>
      </c>
      <c r="K90" s="1183">
        <v>0</v>
      </c>
      <c r="L90" s="1183">
        <v>0</v>
      </c>
      <c r="M90" s="1183">
        <v>-6053.04</v>
      </c>
      <c r="N90" s="1183"/>
      <c r="O90" s="1183">
        <v>-8138.34</v>
      </c>
      <c r="P90" s="1184">
        <v>-13180.02</v>
      </c>
      <c r="R90" s="1172"/>
      <c r="T90" s="850"/>
      <c r="U90" s="928"/>
      <c r="V90" s="1200"/>
    </row>
    <row r="91" spans="1:31">
      <c r="A91" s="830">
        <v>91</v>
      </c>
      <c r="B91" s="1181"/>
      <c r="C91" s="850" t="s">
        <v>3039</v>
      </c>
      <c r="D91" s="928">
        <f t="shared" ref="D91:M91" si="34">SUM(D89:D90)</f>
        <v>0</v>
      </c>
      <c r="E91" s="928">
        <f t="shared" si="34"/>
        <v>0</v>
      </c>
      <c r="F91" s="928">
        <f t="shared" si="34"/>
        <v>0</v>
      </c>
      <c r="G91" s="928">
        <f t="shared" si="34"/>
        <v>0</v>
      </c>
      <c r="H91" s="928">
        <f t="shared" si="34"/>
        <v>0</v>
      </c>
      <c r="I91" s="928">
        <f t="shared" si="34"/>
        <v>0</v>
      </c>
      <c r="J91" s="928">
        <f t="shared" si="34"/>
        <v>0</v>
      </c>
      <c r="K91" s="928">
        <f t="shared" si="34"/>
        <v>0</v>
      </c>
      <c r="L91" s="928">
        <f t="shared" si="34"/>
        <v>0</v>
      </c>
      <c r="M91" s="928">
        <f t="shared" si="34"/>
        <v>72073.100000000006</v>
      </c>
      <c r="N91" s="928">
        <v>0</v>
      </c>
      <c r="O91" s="928">
        <f>SUM(O89:O90)</f>
        <v>78267.73</v>
      </c>
      <c r="P91" s="1182">
        <f>SUM(P89:P90)</f>
        <v>80229.439999999988</v>
      </c>
      <c r="R91" s="1187">
        <f>SUM(D91:Q91)-N91</f>
        <v>230570.27000000002</v>
      </c>
      <c r="T91" s="850"/>
      <c r="U91" s="928"/>
      <c r="V91" s="1200"/>
    </row>
    <row r="92" spans="1:31">
      <c r="A92" s="830">
        <v>92</v>
      </c>
      <c r="B92" s="1181"/>
      <c r="C92" s="850" t="s">
        <v>3040</v>
      </c>
      <c r="D92" s="928"/>
      <c r="E92" s="928"/>
      <c r="F92" s="928"/>
      <c r="G92" s="928"/>
      <c r="H92" s="928"/>
      <c r="I92" s="928"/>
      <c r="J92" s="928"/>
      <c r="K92" s="928"/>
      <c r="L92" s="928"/>
      <c r="M92" s="928">
        <f>ROUND(ROUND(L94*M$6,2)/365*M$7,2)</f>
        <v>0</v>
      </c>
      <c r="N92" s="928">
        <v>0</v>
      </c>
      <c r="O92" s="928">
        <f>ROUND(ROUND(N94*O$6,2)/365*O$7,2)</f>
        <v>321.07</v>
      </c>
      <c r="P92" s="1182">
        <f>ROUND(ROUND(O94*P$6,2)/365*P$7,2)</f>
        <v>693.54</v>
      </c>
      <c r="R92" s="1188">
        <f>SUM(D92:Q92)</f>
        <v>1014.6099999999999</v>
      </c>
      <c r="T92" s="850"/>
      <c r="U92" s="928"/>
      <c r="V92" s="1200"/>
    </row>
    <row r="93" spans="1:31">
      <c r="A93" s="830">
        <v>93</v>
      </c>
      <c r="B93" s="1181"/>
      <c r="C93" s="850" t="s">
        <v>3041</v>
      </c>
      <c r="D93" s="1183">
        <f t="shared" ref="D93:P93" si="35">SUM(D91:D92)</f>
        <v>0</v>
      </c>
      <c r="E93" s="1183">
        <f t="shared" si="35"/>
        <v>0</v>
      </c>
      <c r="F93" s="1183">
        <f t="shared" si="35"/>
        <v>0</v>
      </c>
      <c r="G93" s="1183">
        <f t="shared" si="35"/>
        <v>0</v>
      </c>
      <c r="H93" s="1183">
        <f t="shared" si="35"/>
        <v>0</v>
      </c>
      <c r="I93" s="1183">
        <f t="shared" si="35"/>
        <v>0</v>
      </c>
      <c r="J93" s="1183">
        <f t="shared" si="35"/>
        <v>0</v>
      </c>
      <c r="K93" s="1183">
        <f t="shared" si="35"/>
        <v>0</v>
      </c>
      <c r="L93" s="1183">
        <f t="shared" si="35"/>
        <v>0</v>
      </c>
      <c r="M93" s="1183">
        <f t="shared" si="35"/>
        <v>72073.100000000006</v>
      </c>
      <c r="N93" s="1183">
        <f t="shared" si="35"/>
        <v>0</v>
      </c>
      <c r="O93" s="1183">
        <f t="shared" si="35"/>
        <v>78588.800000000003</v>
      </c>
      <c r="P93" s="1184">
        <f t="shared" si="35"/>
        <v>80922.979999999981</v>
      </c>
      <c r="R93" s="1190">
        <f>SUM(R91:R92)</f>
        <v>231584.88</v>
      </c>
      <c r="T93" s="850"/>
      <c r="U93" s="928"/>
      <c r="V93" s="1200"/>
    </row>
    <row r="94" spans="1:31">
      <c r="A94" s="830">
        <v>94</v>
      </c>
      <c r="B94" s="1181"/>
      <c r="C94" s="850" t="s">
        <v>3042</v>
      </c>
      <c r="D94" s="928"/>
      <c r="E94" s="928">
        <f t="shared" ref="E94:P94" si="36">D94+E93</f>
        <v>0</v>
      </c>
      <c r="F94" s="928">
        <f t="shared" si="36"/>
        <v>0</v>
      </c>
      <c r="G94" s="928">
        <f t="shared" si="36"/>
        <v>0</v>
      </c>
      <c r="H94" s="928">
        <f t="shared" si="36"/>
        <v>0</v>
      </c>
      <c r="I94" s="928">
        <f t="shared" si="36"/>
        <v>0</v>
      </c>
      <c r="J94" s="928">
        <f t="shared" si="36"/>
        <v>0</v>
      </c>
      <c r="K94" s="928">
        <f t="shared" si="36"/>
        <v>0</v>
      </c>
      <c r="L94" s="928">
        <f t="shared" si="36"/>
        <v>0</v>
      </c>
      <c r="M94" s="928">
        <f t="shared" si="36"/>
        <v>72073.100000000006</v>
      </c>
      <c r="N94" s="928">
        <f t="shared" si="36"/>
        <v>72073.100000000006</v>
      </c>
      <c r="O94" s="928">
        <f t="shared" si="36"/>
        <v>150661.90000000002</v>
      </c>
      <c r="P94" s="1191">
        <f t="shared" si="36"/>
        <v>231584.88</v>
      </c>
      <c r="R94" s="1172"/>
      <c r="T94" s="850"/>
      <c r="U94" s="928"/>
      <c r="V94" s="1200"/>
    </row>
    <row r="95" spans="1:31">
      <c r="A95" s="830">
        <v>95</v>
      </c>
      <c r="B95" s="1181"/>
      <c r="C95" s="850"/>
      <c r="D95" s="928"/>
      <c r="E95" s="928"/>
      <c r="F95" s="928"/>
      <c r="G95" s="928"/>
      <c r="H95" s="928"/>
      <c r="I95" s="928"/>
      <c r="J95" s="928"/>
      <c r="K95" s="928"/>
      <c r="L95" s="928"/>
      <c r="M95" s="928"/>
      <c r="N95" s="899"/>
      <c r="O95" s="928"/>
      <c r="P95" s="1182"/>
      <c r="R95" s="1172"/>
      <c r="T95" s="850"/>
      <c r="U95" s="928"/>
      <c r="V95" s="1200"/>
    </row>
    <row r="96" spans="1:31">
      <c r="A96" s="830">
        <v>96</v>
      </c>
      <c r="B96" s="829" t="s">
        <v>3055</v>
      </c>
      <c r="C96" s="890">
        <v>511</v>
      </c>
      <c r="D96" s="899"/>
      <c r="E96" s="899"/>
      <c r="F96" s="928"/>
      <c r="G96" s="899"/>
      <c r="H96" s="899"/>
      <c r="I96" s="899"/>
      <c r="J96" s="899"/>
      <c r="K96" s="899"/>
      <c r="L96" s="899"/>
      <c r="M96" s="899"/>
      <c r="N96" s="899"/>
      <c r="O96" s="899"/>
      <c r="P96" s="1196"/>
      <c r="R96" s="1172"/>
      <c r="U96" s="830">
        <v>511</v>
      </c>
      <c r="V96" s="1200">
        <f>ROUND(U101/Z101,0)</f>
        <v>106750</v>
      </c>
      <c r="W96" s="1200">
        <f>SUM(V76:V96)</f>
        <v>1270156</v>
      </c>
    </row>
    <row r="97" spans="1:30" ht="15.6">
      <c r="A97" s="830">
        <v>97</v>
      </c>
      <c r="B97" s="1181" t="s">
        <v>1057</v>
      </c>
      <c r="C97" s="830" t="s">
        <v>3043</v>
      </c>
      <c r="D97" s="899">
        <v>74</v>
      </c>
      <c r="E97" s="899">
        <v>74</v>
      </c>
      <c r="F97" s="899">
        <v>73</v>
      </c>
      <c r="G97" s="899">
        <v>73</v>
      </c>
      <c r="H97" s="899">
        <v>73</v>
      </c>
      <c r="I97" s="899">
        <v>73</v>
      </c>
      <c r="J97" s="899">
        <v>74</v>
      </c>
      <c r="K97" s="899">
        <v>75</v>
      </c>
      <c r="L97" s="899">
        <v>75</v>
      </c>
      <c r="M97" s="899">
        <v>75</v>
      </c>
      <c r="N97" s="899"/>
      <c r="O97" s="899">
        <v>75</v>
      </c>
      <c r="P97" s="1196">
        <v>75</v>
      </c>
      <c r="Q97" s="834"/>
      <c r="R97" s="1195"/>
      <c r="V97" s="1197">
        <v>1270156</v>
      </c>
      <c r="W97" s="830" t="s">
        <v>2514</v>
      </c>
      <c r="X97" s="899"/>
    </row>
    <row r="98" spans="1:30">
      <c r="A98" s="830">
        <v>98</v>
      </c>
      <c r="B98" s="1181" t="s">
        <v>3034</v>
      </c>
      <c r="C98" s="830" t="s">
        <v>3048</v>
      </c>
      <c r="D98" s="928"/>
      <c r="E98" s="928"/>
      <c r="F98" s="928"/>
      <c r="G98" s="928"/>
      <c r="H98" s="928"/>
      <c r="I98" s="928"/>
      <c r="J98" s="928"/>
      <c r="K98" s="928"/>
      <c r="L98" s="928"/>
      <c r="M98" s="928"/>
      <c r="N98" s="928"/>
      <c r="O98" s="928"/>
      <c r="P98" s="1182"/>
      <c r="Q98" s="1200"/>
      <c r="R98" s="1187"/>
      <c r="T98" s="850" t="s">
        <v>2696</v>
      </c>
      <c r="U98" s="928"/>
      <c r="V98" s="1185"/>
      <c r="X98" s="1185"/>
      <c r="AB98" s="1185">
        <f>Z98-X98</f>
        <v>0</v>
      </c>
    </row>
    <row r="99" spans="1:30" ht="15.6">
      <c r="A99" s="830">
        <v>99</v>
      </c>
      <c r="B99" s="1181" t="s">
        <v>3034</v>
      </c>
      <c r="C99" s="830" t="s">
        <v>3052</v>
      </c>
      <c r="D99" s="928">
        <v>137096.94</v>
      </c>
      <c r="E99" s="928">
        <v>142202.75</v>
      </c>
      <c r="F99" s="928">
        <v>148808.72</v>
      </c>
      <c r="G99" s="928">
        <v>101345.27</v>
      </c>
      <c r="H99" s="928">
        <v>68346.91</v>
      </c>
      <c r="I99" s="928">
        <v>49023.82</v>
      </c>
      <c r="J99" s="928">
        <v>39985.11</v>
      </c>
      <c r="K99" s="928">
        <v>42022.45</v>
      </c>
      <c r="L99" s="928">
        <v>36146.300000000003</v>
      </c>
      <c r="M99" s="928">
        <v>62882.46</v>
      </c>
      <c r="N99" s="928"/>
      <c r="O99" s="928">
        <v>97254.58</v>
      </c>
      <c r="P99" s="1182">
        <v>127232.51</v>
      </c>
      <c r="Q99" s="1200"/>
      <c r="R99" s="1187"/>
      <c r="T99" s="850" t="s">
        <v>2696</v>
      </c>
      <c r="U99" s="1199">
        <v>127232.51</v>
      </c>
      <c r="V99" s="1185">
        <f>U99/V78</f>
        <v>0.14330002534140504</v>
      </c>
      <c r="X99" s="1185">
        <f>U99/V78</f>
        <v>0.14330002534140504</v>
      </c>
      <c r="Z99" s="1201">
        <v>0.14330000000000001</v>
      </c>
      <c r="AB99" s="1185">
        <f>Z99-X99</f>
        <v>-2.5341405029966069E-8</v>
      </c>
    </row>
    <row r="100" spans="1:30" ht="15.6">
      <c r="A100" s="830">
        <v>100</v>
      </c>
      <c r="B100" s="1181" t="s">
        <v>3034</v>
      </c>
      <c r="C100" s="830" t="s">
        <v>3053</v>
      </c>
      <c r="D100" s="928">
        <v>40242.300000000003</v>
      </c>
      <c r="E100" s="928">
        <v>40294.370000000003</v>
      </c>
      <c r="F100" s="928">
        <v>44890.31</v>
      </c>
      <c r="G100" s="928">
        <v>28516.880000000001</v>
      </c>
      <c r="H100" s="928">
        <v>22122.75</v>
      </c>
      <c r="I100" s="928">
        <v>15140.33</v>
      </c>
      <c r="J100" s="928">
        <v>13956.5</v>
      </c>
      <c r="K100" s="928">
        <v>11827.35</v>
      </c>
      <c r="L100" s="928">
        <v>10390.42</v>
      </c>
      <c r="M100" s="928">
        <v>23311.23</v>
      </c>
      <c r="N100" s="928"/>
      <c r="O100" s="928">
        <v>30469.07</v>
      </c>
      <c r="P100" s="1182">
        <v>30264.34</v>
      </c>
      <c r="Q100" s="1200"/>
      <c r="R100" s="1187"/>
      <c r="T100" s="850" t="s">
        <v>2696</v>
      </c>
      <c r="U100" s="1199">
        <v>30264.34</v>
      </c>
      <c r="V100" s="1185">
        <f>U100/V79</f>
        <v>0.10984005429516099</v>
      </c>
      <c r="X100" s="1185">
        <f>U100/V79</f>
        <v>0.10984005429516099</v>
      </c>
      <c r="Z100" s="830">
        <v>0.10983999999999999</v>
      </c>
      <c r="AB100" s="1185">
        <f>Z100-X100</f>
        <v>-5.4295160992201552E-8</v>
      </c>
    </row>
    <row r="101" spans="1:30" ht="15.6">
      <c r="A101" s="830">
        <v>101</v>
      </c>
      <c r="B101" s="1181" t="s">
        <v>3034</v>
      </c>
      <c r="C101" s="830" t="s">
        <v>3054</v>
      </c>
      <c r="D101" s="928">
        <v>4186.92</v>
      </c>
      <c r="E101" s="928">
        <v>4559.41</v>
      </c>
      <c r="F101" s="928">
        <v>5498.64</v>
      </c>
      <c r="G101" s="928">
        <v>1679.4</v>
      </c>
      <c r="H101" s="928">
        <v>375.09</v>
      </c>
      <c r="I101" s="928">
        <v>0</v>
      </c>
      <c r="J101" s="928"/>
      <c r="K101" s="928"/>
      <c r="L101" s="928"/>
      <c r="M101" s="928">
        <v>794.06</v>
      </c>
      <c r="N101" s="928"/>
      <c r="O101" s="928">
        <v>2193.0700000000002</v>
      </c>
      <c r="P101" s="1182">
        <v>2891.86</v>
      </c>
      <c r="Q101" s="1200"/>
      <c r="R101" s="1187"/>
      <c r="T101" s="850" t="s">
        <v>2696</v>
      </c>
      <c r="U101" s="1199">
        <v>2891.86</v>
      </c>
      <c r="V101" s="1185">
        <f>U101/V96</f>
        <v>2.7090023419203749E-2</v>
      </c>
      <c r="X101" s="1185">
        <f>U101/V96</f>
        <v>2.7090023419203749E-2</v>
      </c>
      <c r="Z101" s="830">
        <v>2.7089999999999999E-2</v>
      </c>
      <c r="AB101" s="1185">
        <f>Z101-X101</f>
        <v>-2.3419203749874828E-8</v>
      </c>
    </row>
    <row r="102" spans="1:30" ht="15.6">
      <c r="A102" s="830">
        <v>102</v>
      </c>
      <c r="B102" s="1181" t="s">
        <v>3044</v>
      </c>
      <c r="C102" s="830" t="s">
        <v>3045</v>
      </c>
      <c r="D102" s="928">
        <f>ROUND(ROUND(10187002*0.1012,0)*0.10984,2)</f>
        <v>113236.8</v>
      </c>
      <c r="E102" s="928">
        <f>ROUND(ROUND(12666270*0.0984,0)*0.10984,2)</f>
        <v>136900.29</v>
      </c>
      <c r="F102" s="928">
        <f>ROUND(ROUND(8619566*0.0938,0)*0.10984,2)</f>
        <v>88807.29</v>
      </c>
      <c r="G102" s="928">
        <f>ROUND(ROUND(4713041*0.1016,0)*0.10984,2)</f>
        <v>52596.33</v>
      </c>
      <c r="H102" s="928">
        <f>ROUND(ROUND(2695771*0.1142,0)*0.10984,2)</f>
        <v>33815.01</v>
      </c>
      <c r="I102" s="928">
        <f>ROUND(ROUND(2099565*0.1216,0)*0.10984,2)</f>
        <v>28042.92</v>
      </c>
      <c r="J102" s="928">
        <f>ROUND(ROUND(2183931*0.1173,0)*0.10984,2)</f>
        <v>28138.26</v>
      </c>
      <c r="K102" s="928">
        <f>ROUND(ROUND(1243727*0.1256,0)*0.10984,2)</f>
        <v>17158.330000000002</v>
      </c>
      <c r="L102" s="928">
        <f>ROUND(ROUND(2978172*0.1149,0)*0.10984,2)</f>
        <v>37586.370000000003</v>
      </c>
      <c r="M102" s="928">
        <f>ROUND(ROUND(6393900*0.1229,0)*0.10984,2)</f>
        <v>86313.37</v>
      </c>
      <c r="N102" s="928"/>
      <c r="O102" s="928">
        <f>ROUND(ROUND(10324809*0.1159,0)*0.10984,2)</f>
        <v>131439.49</v>
      </c>
      <c r="P102" s="928">
        <f>ROUND(ROUND(11506709*0.0959,0)*0.10984,2)</f>
        <v>121207.67</v>
      </c>
      <c r="Q102" s="1187"/>
      <c r="R102" s="1187"/>
      <c r="T102" s="850" t="s">
        <v>2650</v>
      </c>
      <c r="U102" s="1199">
        <v>535932.37</v>
      </c>
      <c r="V102" s="1185">
        <f>U102/V97</f>
        <v>0.42194216300989801</v>
      </c>
      <c r="X102" s="1185">
        <f>U102/V97</f>
        <v>0.42194216300989801</v>
      </c>
      <c r="Z102" s="1201">
        <f>+Z49</f>
        <v>0.42197000000000001</v>
      </c>
      <c r="AB102" s="1185">
        <f>Z102-X102</f>
        <v>2.7836990102003689E-5</v>
      </c>
      <c r="AD102" s="1200">
        <f>P102</f>
        <v>121207.67</v>
      </c>
    </row>
    <row r="103" spans="1:30">
      <c r="A103" s="830">
        <v>103</v>
      </c>
      <c r="B103" s="1181" t="s">
        <v>3044</v>
      </c>
      <c r="C103" s="830" t="s">
        <v>3046</v>
      </c>
      <c r="D103" s="1183">
        <v>-120997.44</v>
      </c>
      <c r="E103" s="1183">
        <f t="shared" ref="E103:M103" si="37">-D102</f>
        <v>-113236.8</v>
      </c>
      <c r="F103" s="1183">
        <f t="shared" si="37"/>
        <v>-136900.29</v>
      </c>
      <c r="G103" s="1183">
        <f t="shared" si="37"/>
        <v>-88807.29</v>
      </c>
      <c r="H103" s="1183">
        <f t="shared" si="37"/>
        <v>-52596.33</v>
      </c>
      <c r="I103" s="1183">
        <f t="shared" si="37"/>
        <v>-33815.01</v>
      </c>
      <c r="J103" s="1183">
        <f t="shared" si="37"/>
        <v>-28042.92</v>
      </c>
      <c r="K103" s="1183">
        <f t="shared" si="37"/>
        <v>-28138.26</v>
      </c>
      <c r="L103" s="1183">
        <f t="shared" si="37"/>
        <v>-17158.330000000002</v>
      </c>
      <c r="M103" s="1183">
        <f t="shared" si="37"/>
        <v>-37586.370000000003</v>
      </c>
      <c r="N103" s="1183"/>
      <c r="O103" s="1183">
        <f>-M102</f>
        <v>-86313.37</v>
      </c>
      <c r="P103" s="1184">
        <f>-O102</f>
        <v>-131439.49</v>
      </c>
      <c r="Q103" s="1200"/>
      <c r="R103" s="1187"/>
      <c r="T103" s="850"/>
      <c r="U103" s="928"/>
      <c r="V103" s="1185"/>
      <c r="X103" s="1185"/>
      <c r="AB103" s="1185"/>
      <c r="AD103" s="1200">
        <f>D103</f>
        <v>-120997.44</v>
      </c>
    </row>
    <row r="104" spans="1:30">
      <c r="A104" s="830">
        <v>104</v>
      </c>
      <c r="B104" s="1181"/>
      <c r="C104" s="850" t="s">
        <v>3036</v>
      </c>
      <c r="D104" s="928">
        <f t="shared" ref="D104:M104" si="38">SUM(D98:D103)</f>
        <v>173765.52000000002</v>
      </c>
      <c r="E104" s="928">
        <f t="shared" si="38"/>
        <v>210720.02000000002</v>
      </c>
      <c r="F104" s="928">
        <f t="shared" si="38"/>
        <v>151104.67000000001</v>
      </c>
      <c r="G104" s="928">
        <f t="shared" si="38"/>
        <v>95330.590000000011</v>
      </c>
      <c r="H104" s="928">
        <f t="shared" si="38"/>
        <v>72063.430000000008</v>
      </c>
      <c r="I104" s="928">
        <f t="shared" si="38"/>
        <v>58392.060000000005</v>
      </c>
      <c r="J104" s="928">
        <f t="shared" si="38"/>
        <v>54036.95</v>
      </c>
      <c r="K104" s="928">
        <f t="shared" si="38"/>
        <v>42869.87000000001</v>
      </c>
      <c r="L104" s="928">
        <f t="shared" si="38"/>
        <v>66964.759999999995</v>
      </c>
      <c r="M104" s="928">
        <f t="shared" si="38"/>
        <v>135714.75</v>
      </c>
      <c r="N104" s="928"/>
      <c r="O104" s="928">
        <f>SUM(O98:O103)</f>
        <v>175042.84</v>
      </c>
      <c r="P104" s="1191">
        <f>SUM(P98:P103)</f>
        <v>150156.89000000001</v>
      </c>
      <c r="R104" s="1172"/>
    </row>
    <row r="105" spans="1:30">
      <c r="A105" s="830">
        <v>105</v>
      </c>
      <c r="B105" s="1181"/>
      <c r="C105" s="850" t="s">
        <v>3038</v>
      </c>
      <c r="D105" s="1183">
        <v>-156336.84</v>
      </c>
      <c r="E105" s="1183">
        <v>-126029.4</v>
      </c>
      <c r="F105" s="1183">
        <v>-154119.06</v>
      </c>
      <c r="G105" s="1183">
        <v>-95426.33</v>
      </c>
      <c r="H105" s="1183">
        <v>-58226.26</v>
      </c>
      <c r="I105" s="1183">
        <v>-63541.39</v>
      </c>
      <c r="J105" s="1183">
        <v>-42476</v>
      </c>
      <c r="K105" s="1183">
        <v>-60923.25</v>
      </c>
      <c r="L105" s="1183">
        <v>-57103.5</v>
      </c>
      <c r="M105" s="1183">
        <v>-64854</v>
      </c>
      <c r="N105" s="1183"/>
      <c r="O105" s="1183">
        <v>-87196.5</v>
      </c>
      <c r="P105" s="1184">
        <v>-141214.5</v>
      </c>
      <c r="R105" s="1172"/>
    </row>
    <row r="106" spans="1:30">
      <c r="A106" s="830">
        <v>106</v>
      </c>
      <c r="B106" s="1181"/>
      <c r="C106" s="850" t="s">
        <v>3039</v>
      </c>
      <c r="D106" s="928">
        <f t="shared" ref="D106:M106" si="39">SUM(D104:D105)</f>
        <v>17428.680000000022</v>
      </c>
      <c r="E106" s="928">
        <f t="shared" si="39"/>
        <v>84690.620000000024</v>
      </c>
      <c r="F106" s="928">
        <f t="shared" si="39"/>
        <v>-3014.3899999999849</v>
      </c>
      <c r="G106" s="928">
        <f t="shared" si="39"/>
        <v>-95.739999999990687</v>
      </c>
      <c r="H106" s="928">
        <f t="shared" si="39"/>
        <v>13837.170000000006</v>
      </c>
      <c r="I106" s="928">
        <f t="shared" si="39"/>
        <v>-5149.3299999999945</v>
      </c>
      <c r="J106" s="928">
        <f t="shared" si="39"/>
        <v>11560.949999999997</v>
      </c>
      <c r="K106" s="928">
        <f t="shared" si="39"/>
        <v>-18053.37999999999</v>
      </c>
      <c r="L106" s="928">
        <f t="shared" si="39"/>
        <v>9861.2599999999948</v>
      </c>
      <c r="M106" s="928">
        <f t="shared" si="39"/>
        <v>70860.75</v>
      </c>
      <c r="N106" s="928">
        <v>-233597.07000000004</v>
      </c>
      <c r="O106" s="928">
        <f>SUM(O104:O105)</f>
        <v>87846.34</v>
      </c>
      <c r="P106" s="1182">
        <f>SUM(P104:P105)</f>
        <v>8942.390000000014</v>
      </c>
      <c r="R106" s="1187">
        <f>SUM(D106:Q106)-N106</f>
        <v>278715.32000000007</v>
      </c>
    </row>
    <row r="107" spans="1:30">
      <c r="A107" s="830">
        <v>107</v>
      </c>
      <c r="B107" s="1181"/>
      <c r="C107" s="850" t="s">
        <v>3040</v>
      </c>
      <c r="D107" s="928">
        <v>1027.7</v>
      </c>
      <c r="E107" s="928">
        <f t="shared" ref="E107:M107" si="40">ROUND(ROUND(D109*E$6,2)/365*E$7,2)</f>
        <v>1001.58</v>
      </c>
      <c r="F107" s="928">
        <f t="shared" si="40"/>
        <v>1485.9</v>
      </c>
      <c r="G107" s="928">
        <f t="shared" si="40"/>
        <v>1506.07</v>
      </c>
      <c r="H107" s="928">
        <f t="shared" si="40"/>
        <v>1562.8</v>
      </c>
      <c r="I107" s="928">
        <f t="shared" si="40"/>
        <v>1581.37</v>
      </c>
      <c r="J107" s="928">
        <f t="shared" si="40"/>
        <v>1632.41</v>
      </c>
      <c r="K107" s="928">
        <f t="shared" si="40"/>
        <v>1694.04</v>
      </c>
      <c r="L107" s="928">
        <f t="shared" si="40"/>
        <v>1565.44</v>
      </c>
      <c r="M107" s="928">
        <f t="shared" si="40"/>
        <v>1646.69</v>
      </c>
      <c r="N107" s="928">
        <v>-10685.080000000002</v>
      </c>
      <c r="O107" s="928">
        <f>ROUND(ROUND(N109*O$6,2)/365*O$7,2)</f>
        <v>828.35</v>
      </c>
      <c r="P107" s="1182">
        <f>ROUND(ROUND(O109*P$6,2)/365*P$7,2)</f>
        <v>1264.1600000000001</v>
      </c>
      <c r="R107" s="1188">
        <f>SUM(D107:Q107)</f>
        <v>6111.4299999999985</v>
      </c>
    </row>
    <row r="108" spans="1:30">
      <c r="A108" s="830">
        <v>108</v>
      </c>
      <c r="B108" s="1181"/>
      <c r="C108" s="850" t="s">
        <v>3041</v>
      </c>
      <c r="D108" s="1183">
        <f t="shared" ref="D108:P108" si="41">SUM(D106:D107)</f>
        <v>18456.380000000023</v>
      </c>
      <c r="E108" s="1183">
        <f t="shared" si="41"/>
        <v>85692.200000000026</v>
      </c>
      <c r="F108" s="1183">
        <f t="shared" si="41"/>
        <v>-1528.4899999999848</v>
      </c>
      <c r="G108" s="1183">
        <f t="shared" si="41"/>
        <v>1410.3300000000092</v>
      </c>
      <c r="H108" s="1183">
        <f t="shared" si="41"/>
        <v>15399.970000000005</v>
      </c>
      <c r="I108" s="1183">
        <f t="shared" si="41"/>
        <v>-3567.9599999999946</v>
      </c>
      <c r="J108" s="1183">
        <f t="shared" si="41"/>
        <v>13193.359999999997</v>
      </c>
      <c r="K108" s="1183">
        <f t="shared" si="41"/>
        <v>-16359.339999999989</v>
      </c>
      <c r="L108" s="1183">
        <f t="shared" si="41"/>
        <v>11426.699999999995</v>
      </c>
      <c r="M108" s="1183">
        <f t="shared" si="41"/>
        <v>72507.44</v>
      </c>
      <c r="N108" s="1183">
        <f t="shared" si="41"/>
        <v>-244282.15000000002</v>
      </c>
      <c r="O108" s="1183">
        <f t="shared" si="41"/>
        <v>88674.69</v>
      </c>
      <c r="P108" s="1184">
        <f t="shared" si="41"/>
        <v>10206.550000000014</v>
      </c>
      <c r="R108" s="1190">
        <f>SUM(R106:R107)</f>
        <v>284826.75000000006</v>
      </c>
    </row>
    <row r="109" spans="1:30">
      <c r="A109" s="830">
        <v>109</v>
      </c>
      <c r="B109" s="1181"/>
      <c r="C109" s="850" t="s">
        <v>3042</v>
      </c>
      <c r="D109" s="928">
        <v>252053.45000000004</v>
      </c>
      <c r="E109" s="928">
        <f t="shared" ref="E109:P109" si="42">D109+E108</f>
        <v>337745.65000000008</v>
      </c>
      <c r="F109" s="928">
        <f t="shared" si="42"/>
        <v>336217.16000000009</v>
      </c>
      <c r="G109" s="928">
        <f t="shared" si="42"/>
        <v>337627.49000000011</v>
      </c>
      <c r="H109" s="928">
        <f t="shared" si="42"/>
        <v>353027.46000000014</v>
      </c>
      <c r="I109" s="928">
        <f t="shared" si="42"/>
        <v>349459.50000000012</v>
      </c>
      <c r="J109" s="928">
        <f t="shared" si="42"/>
        <v>362652.8600000001</v>
      </c>
      <c r="K109" s="928">
        <f t="shared" si="42"/>
        <v>346293.52000000014</v>
      </c>
      <c r="L109" s="928">
        <f t="shared" si="42"/>
        <v>357720.22000000015</v>
      </c>
      <c r="M109" s="928">
        <f t="shared" si="42"/>
        <v>430227.66000000015</v>
      </c>
      <c r="N109" s="928">
        <f t="shared" si="42"/>
        <v>185945.51000000013</v>
      </c>
      <c r="O109" s="928">
        <f t="shared" si="42"/>
        <v>274620.20000000013</v>
      </c>
      <c r="P109" s="1191">
        <f t="shared" si="42"/>
        <v>284826.75000000012</v>
      </c>
      <c r="R109" s="1172"/>
    </row>
    <row r="110" spans="1:30">
      <c r="A110" s="830">
        <v>110</v>
      </c>
      <c r="B110" s="1181"/>
      <c r="D110" s="899"/>
      <c r="E110" s="899"/>
      <c r="F110" s="928"/>
      <c r="G110" s="899"/>
      <c r="H110" s="899"/>
      <c r="I110" s="899"/>
      <c r="J110" s="899"/>
      <c r="K110" s="899"/>
      <c r="L110" s="899"/>
      <c r="M110" s="899"/>
      <c r="N110" s="899"/>
      <c r="O110" s="899"/>
      <c r="P110" s="1196"/>
      <c r="R110" s="1172"/>
    </row>
    <row r="111" spans="1:30">
      <c r="A111" s="830">
        <v>111</v>
      </c>
      <c r="B111" s="829" t="s">
        <v>3055</v>
      </c>
      <c r="C111" s="890">
        <v>512</v>
      </c>
      <c r="D111" s="899" t="s">
        <v>3032</v>
      </c>
      <c r="E111" s="899"/>
      <c r="F111" s="928"/>
      <c r="G111" s="899"/>
      <c r="H111" s="899"/>
      <c r="I111" s="899"/>
      <c r="J111" s="899"/>
      <c r="L111" s="899"/>
      <c r="M111" s="899"/>
      <c r="N111" s="899"/>
      <c r="O111" s="899"/>
      <c r="P111" s="1196"/>
      <c r="R111" s="1172"/>
    </row>
    <row r="112" spans="1:30">
      <c r="A112" s="830">
        <v>112</v>
      </c>
      <c r="B112" s="1181" t="s">
        <v>1057</v>
      </c>
      <c r="C112" s="830" t="s">
        <v>3043</v>
      </c>
      <c r="D112" s="899">
        <v>0</v>
      </c>
      <c r="E112" s="899">
        <v>0</v>
      </c>
      <c r="F112" s="899">
        <v>0</v>
      </c>
      <c r="G112" s="899">
        <v>0</v>
      </c>
      <c r="H112" s="899">
        <v>0</v>
      </c>
      <c r="I112" s="899">
        <v>0</v>
      </c>
      <c r="J112" s="899">
        <v>0</v>
      </c>
      <c r="K112" s="899">
        <v>0</v>
      </c>
      <c r="L112" s="899">
        <v>0</v>
      </c>
      <c r="M112" s="899">
        <v>0</v>
      </c>
      <c r="N112" s="899"/>
      <c r="O112" s="899">
        <v>0</v>
      </c>
      <c r="P112" s="1196">
        <v>0</v>
      </c>
      <c r="Q112" s="834"/>
      <c r="R112" s="1195"/>
      <c r="V112" s="899"/>
      <c r="X112" s="899"/>
    </row>
    <row r="113" spans="1:30">
      <c r="A113" s="830">
        <v>113</v>
      </c>
      <c r="B113" s="1181" t="s">
        <v>3034</v>
      </c>
      <c r="C113" s="830" t="s">
        <v>3035</v>
      </c>
      <c r="D113" s="1183">
        <v>0</v>
      </c>
      <c r="E113" s="1183">
        <v>0</v>
      </c>
      <c r="F113" s="1183">
        <v>0</v>
      </c>
      <c r="G113" s="1183">
        <v>0</v>
      </c>
      <c r="H113" s="1183">
        <v>0</v>
      </c>
      <c r="I113" s="1183">
        <v>0</v>
      </c>
      <c r="J113" s="1183">
        <v>0</v>
      </c>
      <c r="K113" s="1183">
        <v>0</v>
      </c>
      <c r="L113" s="1183">
        <v>0</v>
      </c>
      <c r="M113" s="1183">
        <v>0</v>
      </c>
      <c r="N113" s="1183"/>
      <c r="O113" s="1183">
        <v>0</v>
      </c>
      <c r="P113" s="1184">
        <v>0</v>
      </c>
      <c r="Q113" s="1200"/>
      <c r="R113" s="1187"/>
      <c r="T113" s="850"/>
      <c r="U113" s="928"/>
      <c r="V113" s="1185"/>
      <c r="X113" s="1185"/>
      <c r="AB113" s="1185"/>
    </row>
    <row r="114" spans="1:30">
      <c r="A114" s="830">
        <v>114</v>
      </c>
      <c r="B114" s="1181"/>
      <c r="C114" s="850" t="s">
        <v>3036</v>
      </c>
      <c r="D114" s="928">
        <f t="shared" ref="D114:M114" si="43">D113</f>
        <v>0</v>
      </c>
      <c r="E114" s="928">
        <f t="shared" si="43"/>
        <v>0</v>
      </c>
      <c r="F114" s="928">
        <f t="shared" si="43"/>
        <v>0</v>
      </c>
      <c r="G114" s="928">
        <f t="shared" si="43"/>
        <v>0</v>
      </c>
      <c r="H114" s="928">
        <f t="shared" si="43"/>
        <v>0</v>
      </c>
      <c r="I114" s="928">
        <f t="shared" si="43"/>
        <v>0</v>
      </c>
      <c r="J114" s="928">
        <f t="shared" si="43"/>
        <v>0</v>
      </c>
      <c r="K114" s="928">
        <f t="shared" si="43"/>
        <v>0</v>
      </c>
      <c r="L114" s="928">
        <f t="shared" si="43"/>
        <v>0</v>
      </c>
      <c r="M114" s="928">
        <f t="shared" si="43"/>
        <v>0</v>
      </c>
      <c r="N114" s="928"/>
      <c r="O114" s="928">
        <f>O113</f>
        <v>0</v>
      </c>
      <c r="P114" s="1182">
        <f>P113</f>
        <v>0</v>
      </c>
      <c r="R114" s="1172"/>
      <c r="T114" s="850"/>
      <c r="U114" s="928"/>
      <c r="V114" s="1185"/>
      <c r="X114" s="1185"/>
      <c r="AB114" s="1185"/>
    </row>
    <row r="115" spans="1:30">
      <c r="A115" s="830">
        <v>115</v>
      </c>
      <c r="B115" s="1181"/>
      <c r="C115" s="850" t="s">
        <v>3038</v>
      </c>
      <c r="D115" s="1183">
        <v>0</v>
      </c>
      <c r="E115" s="1183">
        <v>0</v>
      </c>
      <c r="F115" s="1183">
        <v>0</v>
      </c>
      <c r="G115" s="1183">
        <v>0</v>
      </c>
      <c r="H115" s="1183">
        <v>0</v>
      </c>
      <c r="I115" s="1183">
        <v>0</v>
      </c>
      <c r="J115" s="1183">
        <v>0</v>
      </c>
      <c r="K115" s="1183">
        <v>0</v>
      </c>
      <c r="L115" s="1183">
        <v>0</v>
      </c>
      <c r="M115" s="1183">
        <v>0</v>
      </c>
      <c r="N115" s="1183"/>
      <c r="O115" s="1183">
        <v>0</v>
      </c>
      <c r="P115" s="1184">
        <v>0</v>
      </c>
      <c r="R115" s="1172"/>
    </row>
    <row r="116" spans="1:30">
      <c r="A116" s="830">
        <v>116</v>
      </c>
      <c r="B116" s="1181"/>
      <c r="C116" s="850" t="s">
        <v>3039</v>
      </c>
      <c r="D116" s="928">
        <f t="shared" ref="D116:M116" si="44">SUM(D114:D115)</f>
        <v>0</v>
      </c>
      <c r="E116" s="928">
        <f t="shared" si="44"/>
        <v>0</v>
      </c>
      <c r="F116" s="928">
        <f t="shared" si="44"/>
        <v>0</v>
      </c>
      <c r="G116" s="928">
        <f t="shared" si="44"/>
        <v>0</v>
      </c>
      <c r="H116" s="928">
        <f t="shared" si="44"/>
        <v>0</v>
      </c>
      <c r="I116" s="928">
        <f t="shared" si="44"/>
        <v>0</v>
      </c>
      <c r="J116" s="928">
        <f t="shared" si="44"/>
        <v>0</v>
      </c>
      <c r="K116" s="928">
        <f t="shared" si="44"/>
        <v>0</v>
      </c>
      <c r="L116" s="928">
        <f t="shared" si="44"/>
        <v>0</v>
      </c>
      <c r="M116" s="928">
        <f t="shared" si="44"/>
        <v>0</v>
      </c>
      <c r="N116" s="928">
        <v>-496.46</v>
      </c>
      <c r="O116" s="928">
        <f>SUM(O114:O115)</f>
        <v>0</v>
      </c>
      <c r="P116" s="1182">
        <f>SUM(P114:P115)</f>
        <v>0</v>
      </c>
      <c r="R116" s="1187">
        <f>SUM(D116:Q116)-N116</f>
        <v>0</v>
      </c>
    </row>
    <row r="117" spans="1:30">
      <c r="A117" s="830">
        <v>117</v>
      </c>
      <c r="B117" s="1181"/>
      <c r="C117" s="850" t="s">
        <v>3040</v>
      </c>
      <c r="D117" s="928">
        <v>2.1800000000000002</v>
      </c>
      <c r="E117" s="928">
        <f t="shared" ref="E117:M117" si="45">ROUND(ROUND(D119*E$6,2)/365*E$7,2)</f>
        <v>1.98</v>
      </c>
      <c r="F117" s="928">
        <f t="shared" si="45"/>
        <v>2.2000000000000002</v>
      </c>
      <c r="G117" s="928">
        <f t="shared" si="45"/>
        <v>2.25</v>
      </c>
      <c r="H117" s="928">
        <f t="shared" si="45"/>
        <v>2.34</v>
      </c>
      <c r="I117" s="928">
        <f t="shared" si="45"/>
        <v>2.27</v>
      </c>
      <c r="J117" s="928">
        <f t="shared" si="45"/>
        <v>2.38</v>
      </c>
      <c r="K117" s="928">
        <f t="shared" si="45"/>
        <v>2.39</v>
      </c>
      <c r="L117" s="928">
        <f t="shared" si="45"/>
        <v>2.33</v>
      </c>
      <c r="M117" s="928">
        <f t="shared" si="45"/>
        <v>2.38</v>
      </c>
      <c r="N117" s="928">
        <v>-22.7</v>
      </c>
      <c r="O117" s="928">
        <f>ROUND(ROUND(N119*O$6,2)/365*O$7,2)</f>
        <v>0</v>
      </c>
      <c r="P117" s="1182">
        <f>ROUND(ROUND(O119*P$6,2)/365*P$7,2)</f>
        <v>0</v>
      </c>
      <c r="R117" s="1188">
        <f>SUM(D117:Q117)</f>
        <v>0</v>
      </c>
    </row>
    <row r="118" spans="1:30">
      <c r="A118" s="830">
        <v>118</v>
      </c>
      <c r="B118" s="1181"/>
      <c r="C118" s="850" t="s">
        <v>3041</v>
      </c>
      <c r="D118" s="1183">
        <f t="shared" ref="D118:P118" si="46">SUM(D116:D117)</f>
        <v>2.1800000000000002</v>
      </c>
      <c r="E118" s="1183">
        <f t="shared" si="46"/>
        <v>1.98</v>
      </c>
      <c r="F118" s="1183">
        <f t="shared" si="46"/>
        <v>2.2000000000000002</v>
      </c>
      <c r="G118" s="1183">
        <f t="shared" si="46"/>
        <v>2.25</v>
      </c>
      <c r="H118" s="1183">
        <f t="shared" si="46"/>
        <v>2.34</v>
      </c>
      <c r="I118" s="1183">
        <f t="shared" si="46"/>
        <v>2.27</v>
      </c>
      <c r="J118" s="1183">
        <f t="shared" si="46"/>
        <v>2.38</v>
      </c>
      <c r="K118" s="1183">
        <f t="shared" si="46"/>
        <v>2.39</v>
      </c>
      <c r="L118" s="1183">
        <f t="shared" si="46"/>
        <v>2.33</v>
      </c>
      <c r="M118" s="1183">
        <f t="shared" si="46"/>
        <v>2.38</v>
      </c>
      <c r="N118" s="1183">
        <f t="shared" si="46"/>
        <v>-519.16</v>
      </c>
      <c r="O118" s="1183">
        <f t="shared" si="46"/>
        <v>0</v>
      </c>
      <c r="P118" s="1184">
        <f t="shared" si="46"/>
        <v>0</v>
      </c>
      <c r="R118" s="1190">
        <f>SUM(R116:R117)</f>
        <v>0</v>
      </c>
    </row>
    <row r="119" spans="1:30" ht="15" thickBot="1">
      <c r="A119" s="830">
        <v>119</v>
      </c>
      <c r="B119" s="1213"/>
      <c r="C119" s="1202" t="s">
        <v>3042</v>
      </c>
      <c r="D119" s="1203">
        <v>498.64000000000004</v>
      </c>
      <c r="E119" s="1203">
        <f t="shared" ref="E119:P119" si="47">D119+E118</f>
        <v>500.62000000000006</v>
      </c>
      <c r="F119" s="1203">
        <f t="shared" si="47"/>
        <v>502.82000000000005</v>
      </c>
      <c r="G119" s="1203">
        <f t="shared" si="47"/>
        <v>505.07000000000005</v>
      </c>
      <c r="H119" s="1203">
        <f t="shared" si="47"/>
        <v>507.41</v>
      </c>
      <c r="I119" s="1203">
        <f t="shared" si="47"/>
        <v>509.68</v>
      </c>
      <c r="J119" s="1203">
        <f t="shared" si="47"/>
        <v>512.06000000000006</v>
      </c>
      <c r="K119" s="1204">
        <f t="shared" si="47"/>
        <v>514.45000000000005</v>
      </c>
      <c r="L119" s="928">
        <f t="shared" si="47"/>
        <v>516.78000000000009</v>
      </c>
      <c r="M119" s="928">
        <f t="shared" si="47"/>
        <v>519.16000000000008</v>
      </c>
      <c r="N119" s="928">
        <f t="shared" si="47"/>
        <v>0</v>
      </c>
      <c r="O119" s="928">
        <f t="shared" si="47"/>
        <v>0</v>
      </c>
      <c r="P119" s="1191">
        <f t="shared" si="47"/>
        <v>0</v>
      </c>
      <c r="R119" s="1172"/>
      <c r="V119" s="1200">
        <f>ROUND(U124/Z124,0)</f>
        <v>0</v>
      </c>
    </row>
    <row r="120" spans="1:30" ht="15" thickBot="1">
      <c r="A120" s="830">
        <v>120</v>
      </c>
      <c r="B120" s="1205"/>
      <c r="C120" s="1214"/>
      <c r="D120" s="899"/>
      <c r="E120" s="899"/>
      <c r="F120" s="928"/>
      <c r="G120" s="899"/>
      <c r="H120" s="899"/>
      <c r="I120" s="899"/>
      <c r="J120" s="899"/>
      <c r="K120" s="1206"/>
      <c r="L120" s="1206"/>
      <c r="M120" s="1206"/>
      <c r="N120" s="1206"/>
      <c r="O120" s="1206"/>
      <c r="P120" s="1215"/>
      <c r="Q120" s="832"/>
      <c r="R120" s="832"/>
      <c r="T120" s="850"/>
      <c r="U120" s="928"/>
      <c r="V120" s="1200">
        <f>ROUND(U125/Z125,0)</f>
        <v>0</v>
      </c>
    </row>
    <row r="121" spans="1:30">
      <c r="A121" s="830">
        <v>121</v>
      </c>
      <c r="B121" s="832" t="s">
        <v>3063</v>
      </c>
      <c r="C121" s="1205" t="s">
        <v>3064</v>
      </c>
      <c r="D121" s="1206"/>
      <c r="E121" s="1206"/>
      <c r="F121" s="1208"/>
      <c r="G121" s="1206"/>
      <c r="H121" s="1206"/>
      <c r="I121" s="1206"/>
      <c r="J121" s="1206"/>
      <c r="K121" s="1206"/>
      <c r="L121" s="1206"/>
      <c r="M121" s="1206"/>
      <c r="N121" s="1206"/>
      <c r="O121" s="1206"/>
      <c r="P121" s="1209"/>
      <c r="Q121" s="832"/>
      <c r="R121" s="1210"/>
      <c r="U121" s="830">
        <v>505</v>
      </c>
      <c r="V121" s="1200">
        <f>ROUND(U126/Z126,0)</f>
        <v>0</v>
      </c>
      <c r="W121" s="1200">
        <f>SUM(V117:V121)</f>
        <v>0</v>
      </c>
    </row>
    <row r="122" spans="1:30" ht="15.6">
      <c r="A122" s="830">
        <v>122</v>
      </c>
      <c r="B122" s="1181" t="s">
        <v>1057</v>
      </c>
      <c r="C122" s="830" t="s">
        <v>3043</v>
      </c>
      <c r="D122" s="899">
        <v>1</v>
      </c>
      <c r="E122" s="899">
        <v>1</v>
      </c>
      <c r="F122" s="899">
        <v>1</v>
      </c>
      <c r="G122" s="899">
        <v>1</v>
      </c>
      <c r="H122" s="899">
        <v>1</v>
      </c>
      <c r="I122" s="899">
        <v>1</v>
      </c>
      <c r="J122" s="899">
        <v>1</v>
      </c>
      <c r="K122" s="899">
        <v>1</v>
      </c>
      <c r="L122" s="899">
        <v>1</v>
      </c>
      <c r="M122" s="899">
        <v>1</v>
      </c>
      <c r="N122" s="899"/>
      <c r="O122" s="899">
        <v>1</v>
      </c>
      <c r="P122" s="1196">
        <v>1</v>
      </c>
      <c r="Q122" s="834"/>
      <c r="R122" s="1195"/>
      <c r="V122" s="1197">
        <v>0</v>
      </c>
      <c r="W122" s="830" t="s">
        <v>2514</v>
      </c>
      <c r="X122" s="899">
        <f>V122</f>
        <v>0</v>
      </c>
    </row>
    <row r="123" spans="1:30">
      <c r="A123" s="830">
        <v>123</v>
      </c>
      <c r="B123" s="1181" t="s">
        <v>3034</v>
      </c>
      <c r="C123" s="830" t="s">
        <v>3049</v>
      </c>
      <c r="D123" s="928">
        <v>14.1</v>
      </c>
      <c r="E123" s="928">
        <v>1.25</v>
      </c>
      <c r="F123" s="928">
        <v>0</v>
      </c>
      <c r="G123" s="928">
        <v>0</v>
      </c>
      <c r="H123" s="928">
        <v>22.85</v>
      </c>
      <c r="I123" s="928">
        <v>26.96</v>
      </c>
      <c r="J123" s="928">
        <v>0</v>
      </c>
      <c r="K123" s="928">
        <v>29.1</v>
      </c>
      <c r="L123" s="928">
        <v>0</v>
      </c>
      <c r="M123" s="928">
        <v>0</v>
      </c>
      <c r="N123" s="928"/>
      <c r="O123" s="928">
        <v>56.59</v>
      </c>
      <c r="P123" s="1182">
        <v>87.65</v>
      </c>
      <c r="Q123" s="1200"/>
      <c r="R123" s="1187"/>
      <c r="T123" s="850" t="s">
        <v>2696</v>
      </c>
      <c r="U123" s="928"/>
      <c r="V123" s="1185"/>
      <c r="X123" s="1185"/>
      <c r="AB123" s="1185">
        <f>Z123-X123</f>
        <v>0</v>
      </c>
    </row>
    <row r="124" spans="1:30" ht="15.6">
      <c r="A124" s="830">
        <v>124</v>
      </c>
      <c r="B124" s="1181" t="s">
        <v>3034</v>
      </c>
      <c r="C124" s="830" t="s">
        <v>3050</v>
      </c>
      <c r="D124" s="928">
        <v>0</v>
      </c>
      <c r="E124" s="928">
        <v>0</v>
      </c>
      <c r="F124" s="928">
        <v>0</v>
      </c>
      <c r="G124" s="928">
        <v>0</v>
      </c>
      <c r="H124" s="928">
        <v>0</v>
      </c>
      <c r="I124" s="928">
        <v>0</v>
      </c>
      <c r="J124" s="928">
        <v>0</v>
      </c>
      <c r="K124" s="928"/>
      <c r="L124" s="928"/>
      <c r="M124" s="928"/>
      <c r="N124" s="928"/>
      <c r="O124" s="928"/>
      <c r="P124" s="1182"/>
      <c r="Q124" s="1200"/>
      <c r="R124" s="1187"/>
      <c r="T124" s="850" t="s">
        <v>2696</v>
      </c>
      <c r="U124" s="1199">
        <v>0</v>
      </c>
      <c r="V124" s="1185" t="e">
        <f>U124/V119</f>
        <v>#DIV/0!</v>
      </c>
      <c r="X124" s="1185" t="e">
        <f>U124/V119</f>
        <v>#DIV/0!</v>
      </c>
      <c r="Z124" s="830">
        <v>0.17851</v>
      </c>
      <c r="AB124" s="1185" t="e">
        <f>Z124-X124</f>
        <v>#DIV/0!</v>
      </c>
    </row>
    <row r="125" spans="1:30" ht="15.6">
      <c r="A125" s="830">
        <v>125</v>
      </c>
      <c r="B125" s="1181" t="s">
        <v>3044</v>
      </c>
      <c r="C125" s="1212" t="s">
        <v>3065</v>
      </c>
      <c r="D125" s="928">
        <v>1.25</v>
      </c>
      <c r="E125" s="928">
        <v>0</v>
      </c>
      <c r="F125" s="928">
        <v>0</v>
      </c>
      <c r="G125" s="928">
        <v>22.85</v>
      </c>
      <c r="H125" s="928">
        <v>26.96</v>
      </c>
      <c r="I125" s="928">
        <v>0</v>
      </c>
      <c r="J125" s="928">
        <v>29.1</v>
      </c>
      <c r="K125" s="928">
        <v>0</v>
      </c>
      <c r="L125" s="928">
        <v>73.37</v>
      </c>
      <c r="M125" s="928">
        <v>56.59</v>
      </c>
      <c r="N125" s="928"/>
      <c r="O125" s="928">
        <v>87.65</v>
      </c>
      <c r="P125" s="1182">
        <v>46.59</v>
      </c>
      <c r="Q125" s="1200"/>
      <c r="R125" s="1187"/>
      <c r="T125" s="850" t="s">
        <v>2696</v>
      </c>
      <c r="U125" s="1199">
        <v>0</v>
      </c>
      <c r="V125" s="1185" t="e">
        <f>U125/V120</f>
        <v>#DIV/0!</v>
      </c>
      <c r="X125" s="1185" t="e">
        <f>U125/V120</f>
        <v>#DIV/0!</v>
      </c>
      <c r="Z125" s="830">
        <v>0.14457</v>
      </c>
      <c r="AB125" s="1185" t="e">
        <f>Z125-X125</f>
        <v>#DIV/0!</v>
      </c>
      <c r="AD125" s="1200">
        <f>P125</f>
        <v>46.59</v>
      </c>
    </row>
    <row r="126" spans="1:30" ht="15.6">
      <c r="A126" s="830">
        <v>126</v>
      </c>
      <c r="B126" s="1181" t="s">
        <v>3044</v>
      </c>
      <c r="C126" s="1212" t="s">
        <v>3066</v>
      </c>
      <c r="D126" s="928">
        <v>0</v>
      </c>
      <c r="E126" s="928">
        <v>0</v>
      </c>
      <c r="F126" s="928">
        <v>0</v>
      </c>
      <c r="G126" s="928">
        <v>0</v>
      </c>
      <c r="H126" s="928">
        <v>0</v>
      </c>
      <c r="I126" s="928">
        <v>0</v>
      </c>
      <c r="J126" s="928">
        <v>0</v>
      </c>
      <c r="K126" s="928"/>
      <c r="L126" s="928"/>
      <c r="M126" s="928"/>
      <c r="N126" s="928"/>
      <c r="O126" s="928"/>
      <c r="P126" s="1182"/>
      <c r="Q126" s="1200"/>
      <c r="R126" s="1187"/>
      <c r="T126" s="850" t="s">
        <v>2696</v>
      </c>
      <c r="U126" s="1199">
        <v>0</v>
      </c>
      <c r="V126" s="1185" t="e">
        <f>U126/V121</f>
        <v>#DIV/0!</v>
      </c>
      <c r="X126" s="1185" t="e">
        <f>U126/V121</f>
        <v>#DIV/0!</v>
      </c>
      <c r="Z126" s="830">
        <v>0.13944000000000001</v>
      </c>
      <c r="AB126" s="1185" t="e">
        <f>Z126-X126</f>
        <v>#DIV/0!</v>
      </c>
      <c r="AD126" s="1200">
        <f>P126</f>
        <v>0</v>
      </c>
    </row>
    <row r="127" spans="1:30" ht="15.6">
      <c r="A127" s="830">
        <v>127</v>
      </c>
      <c r="B127" s="1181" t="s">
        <v>3044</v>
      </c>
      <c r="C127" s="830" t="s">
        <v>3067</v>
      </c>
      <c r="D127" s="928">
        <v>-14.1</v>
      </c>
      <c r="E127" s="928">
        <f t="shared" ref="E127:M128" si="48">-D125</f>
        <v>-1.25</v>
      </c>
      <c r="F127" s="928">
        <f t="shared" si="48"/>
        <v>0</v>
      </c>
      <c r="G127" s="928">
        <f t="shared" si="48"/>
        <v>0</v>
      </c>
      <c r="H127" s="928">
        <f t="shared" si="48"/>
        <v>-22.85</v>
      </c>
      <c r="I127" s="928">
        <f t="shared" si="48"/>
        <v>-26.96</v>
      </c>
      <c r="J127" s="928">
        <f t="shared" si="48"/>
        <v>0</v>
      </c>
      <c r="K127" s="928">
        <f t="shared" si="48"/>
        <v>-29.1</v>
      </c>
      <c r="L127" s="928">
        <f t="shared" si="48"/>
        <v>0</v>
      </c>
      <c r="M127" s="928">
        <f t="shared" si="48"/>
        <v>-73.37</v>
      </c>
      <c r="N127" s="928"/>
      <c r="O127" s="928">
        <f>-M125</f>
        <v>-56.59</v>
      </c>
      <c r="P127" s="1182">
        <f>-O125</f>
        <v>-87.65</v>
      </c>
      <c r="Q127" s="1200"/>
      <c r="R127" s="1187"/>
      <c r="T127" s="850" t="s">
        <v>2650</v>
      </c>
      <c r="U127" s="1199">
        <v>0</v>
      </c>
      <c r="V127" s="1185" t="e">
        <f>U127/V122</f>
        <v>#DIV/0!</v>
      </c>
      <c r="X127" s="1185" t="e">
        <f>U127/X122</f>
        <v>#DIV/0!</v>
      </c>
      <c r="Z127" s="1201">
        <f>+Z36</f>
        <v>0.42197000000000001</v>
      </c>
      <c r="AB127" s="1185" t="e">
        <f>Z127-X127</f>
        <v>#DIV/0!</v>
      </c>
      <c r="AD127" s="1200">
        <f>D127</f>
        <v>-14.1</v>
      </c>
    </row>
    <row r="128" spans="1:30">
      <c r="A128" s="830">
        <v>128</v>
      </c>
      <c r="B128" s="1181" t="s">
        <v>3044</v>
      </c>
      <c r="C128" s="830" t="s">
        <v>3068</v>
      </c>
      <c r="D128" s="1183">
        <v>0</v>
      </c>
      <c r="E128" s="1183">
        <f t="shared" si="48"/>
        <v>0</v>
      </c>
      <c r="F128" s="1183">
        <f t="shared" si="48"/>
        <v>0</v>
      </c>
      <c r="G128" s="1183">
        <f t="shared" si="48"/>
        <v>0</v>
      </c>
      <c r="H128" s="1183">
        <f t="shared" si="48"/>
        <v>0</v>
      </c>
      <c r="I128" s="1183">
        <f t="shared" si="48"/>
        <v>0</v>
      </c>
      <c r="J128" s="1183">
        <f t="shared" si="48"/>
        <v>0</v>
      </c>
      <c r="K128" s="1183">
        <f t="shared" si="48"/>
        <v>0</v>
      </c>
      <c r="L128" s="1183">
        <f t="shared" si="48"/>
        <v>0</v>
      </c>
      <c r="M128" s="1183">
        <f t="shared" si="48"/>
        <v>0</v>
      </c>
      <c r="N128" s="1183"/>
      <c r="O128" s="1183">
        <f>-M126</f>
        <v>0</v>
      </c>
      <c r="P128" s="1184">
        <f>-O126</f>
        <v>0</v>
      </c>
      <c r="Q128" s="1200"/>
      <c r="R128" s="1187"/>
      <c r="AD128" s="1200">
        <f>D128</f>
        <v>0</v>
      </c>
    </row>
    <row r="129" spans="1:30">
      <c r="A129" s="830">
        <v>129</v>
      </c>
      <c r="B129" s="1181"/>
      <c r="C129" s="850" t="s">
        <v>3036</v>
      </c>
      <c r="D129" s="928">
        <f t="shared" ref="D129:M129" si="49">SUM(D123:D128)</f>
        <v>1.25</v>
      </c>
      <c r="E129" s="928">
        <f t="shared" si="49"/>
        <v>0</v>
      </c>
      <c r="F129" s="928">
        <f t="shared" si="49"/>
        <v>0</v>
      </c>
      <c r="G129" s="928">
        <f t="shared" si="49"/>
        <v>22.85</v>
      </c>
      <c r="H129" s="928">
        <f t="shared" si="49"/>
        <v>26.96</v>
      </c>
      <c r="I129" s="928">
        <f t="shared" si="49"/>
        <v>0</v>
      </c>
      <c r="J129" s="928">
        <f t="shared" si="49"/>
        <v>29.1</v>
      </c>
      <c r="K129" s="928">
        <f t="shared" si="49"/>
        <v>0</v>
      </c>
      <c r="L129" s="928">
        <f t="shared" si="49"/>
        <v>73.37</v>
      </c>
      <c r="M129" s="928">
        <f t="shared" si="49"/>
        <v>-16.78</v>
      </c>
      <c r="N129" s="928"/>
      <c r="O129" s="928">
        <f>SUM(O123:O128)</f>
        <v>87.65</v>
      </c>
      <c r="P129" s="1182">
        <f>SUM(P123:P128)</f>
        <v>46.59</v>
      </c>
      <c r="R129" s="1172"/>
    </row>
    <row r="130" spans="1:30">
      <c r="A130" s="830">
        <v>130</v>
      </c>
      <c r="B130" s="1181"/>
      <c r="C130" s="850" t="s">
        <v>3038</v>
      </c>
      <c r="D130" s="1183">
        <v>-498.23</v>
      </c>
      <c r="E130" s="1183">
        <v>-423.12</v>
      </c>
      <c r="F130" s="1183">
        <v>-397.9</v>
      </c>
      <c r="G130" s="1183">
        <v>-289.11</v>
      </c>
      <c r="H130" s="1183">
        <v>-210.22</v>
      </c>
      <c r="I130" s="1183">
        <v>-189.53</v>
      </c>
      <c r="J130" s="1183">
        <v>-152.5</v>
      </c>
      <c r="K130" s="1183">
        <v>-161.43</v>
      </c>
      <c r="L130" s="1183">
        <v>-209.7</v>
      </c>
      <c r="M130" s="1183">
        <v>-357.27</v>
      </c>
      <c r="N130" s="1183"/>
      <c r="O130" s="1183">
        <v>-308.02999999999997</v>
      </c>
      <c r="P130" s="1184">
        <v>-430.43</v>
      </c>
      <c r="R130" s="1172"/>
    </row>
    <row r="131" spans="1:30">
      <c r="A131" s="830">
        <v>131</v>
      </c>
      <c r="B131" s="1181"/>
      <c r="C131" s="850" t="s">
        <v>3039</v>
      </c>
      <c r="D131" s="928">
        <f t="shared" ref="D131:M131" si="50">SUM(D129:D130)</f>
        <v>-496.98</v>
      </c>
      <c r="E131" s="928">
        <f t="shared" si="50"/>
        <v>-423.12</v>
      </c>
      <c r="F131" s="928">
        <f t="shared" si="50"/>
        <v>-397.9</v>
      </c>
      <c r="G131" s="928">
        <f t="shared" si="50"/>
        <v>-266.26</v>
      </c>
      <c r="H131" s="928">
        <f t="shared" si="50"/>
        <v>-183.26</v>
      </c>
      <c r="I131" s="928">
        <f t="shared" si="50"/>
        <v>-189.53</v>
      </c>
      <c r="J131" s="928">
        <f t="shared" si="50"/>
        <v>-123.4</v>
      </c>
      <c r="K131" s="928">
        <f t="shared" si="50"/>
        <v>-161.43</v>
      </c>
      <c r="L131" s="928">
        <f t="shared" si="50"/>
        <v>-136.32999999999998</v>
      </c>
      <c r="M131" s="928">
        <f t="shared" si="50"/>
        <v>-374.04999999999995</v>
      </c>
      <c r="N131" s="928">
        <v>3548.04</v>
      </c>
      <c r="O131" s="928">
        <f>SUM(O129:O130)</f>
        <v>-220.37999999999997</v>
      </c>
      <c r="P131" s="1182">
        <f>SUM(P129:P130)</f>
        <v>-383.84000000000003</v>
      </c>
      <c r="R131" s="1187">
        <f>SUM(D131:Q131)-N131</f>
        <v>-3356.4799999999996</v>
      </c>
    </row>
    <row r="132" spans="1:30">
      <c r="A132" s="830">
        <v>132</v>
      </c>
      <c r="B132" s="1181"/>
      <c r="C132" s="850" t="s">
        <v>3040</v>
      </c>
      <c r="D132" s="928">
        <v>-15.61</v>
      </c>
      <c r="E132" s="928">
        <f t="shared" ref="E132:M132" si="51">ROUND(ROUND(D134*E$6,2)/365*E$7,2)</f>
        <v>-16.14</v>
      </c>
      <c r="F132" s="928">
        <f t="shared" si="51"/>
        <v>-19.8</v>
      </c>
      <c r="G132" s="928">
        <f t="shared" si="51"/>
        <v>-22.03</v>
      </c>
      <c r="H132" s="928">
        <f t="shared" si="51"/>
        <v>-24.1</v>
      </c>
      <c r="I132" s="928">
        <f t="shared" si="51"/>
        <v>-24.25</v>
      </c>
      <c r="J132" s="928">
        <f t="shared" si="51"/>
        <v>-26.29</v>
      </c>
      <c r="K132" s="928">
        <f t="shared" si="51"/>
        <v>-26.98</v>
      </c>
      <c r="L132" s="928">
        <f t="shared" si="51"/>
        <v>-26.97</v>
      </c>
      <c r="M132" s="928">
        <f t="shared" si="51"/>
        <v>-28.21</v>
      </c>
      <c r="N132" s="928">
        <v>162.29999999999998</v>
      </c>
      <c r="O132" s="928">
        <f>ROUND(ROUND(N134*O$6,2)/365*O$7,2)</f>
        <v>-12.56</v>
      </c>
      <c r="P132" s="1182">
        <f>ROUND(ROUND(O134*P$6,2)/365*P$7,2)</f>
        <v>-14.06</v>
      </c>
      <c r="R132" s="1188">
        <f>SUM(D132:Q132)</f>
        <v>-94.700000000000017</v>
      </c>
    </row>
    <row r="133" spans="1:30">
      <c r="A133" s="830">
        <v>133</v>
      </c>
      <c r="B133" s="1181"/>
      <c r="C133" s="850" t="s">
        <v>3041</v>
      </c>
      <c r="D133" s="1183">
        <f t="shared" ref="D133:P133" si="52">SUM(D131:D132)</f>
        <v>-512.59</v>
      </c>
      <c r="E133" s="1183">
        <f t="shared" si="52"/>
        <v>-439.26</v>
      </c>
      <c r="F133" s="1183">
        <f t="shared" si="52"/>
        <v>-417.7</v>
      </c>
      <c r="G133" s="1183">
        <f t="shared" si="52"/>
        <v>-288.28999999999996</v>
      </c>
      <c r="H133" s="1183">
        <f t="shared" si="52"/>
        <v>-207.35999999999999</v>
      </c>
      <c r="I133" s="1183">
        <f t="shared" si="52"/>
        <v>-213.78</v>
      </c>
      <c r="J133" s="1183">
        <f t="shared" si="52"/>
        <v>-149.69</v>
      </c>
      <c r="K133" s="1183">
        <f t="shared" si="52"/>
        <v>-188.41</v>
      </c>
      <c r="L133" s="1183">
        <f t="shared" si="52"/>
        <v>-163.29999999999998</v>
      </c>
      <c r="M133" s="1183">
        <f t="shared" si="52"/>
        <v>-402.25999999999993</v>
      </c>
      <c r="N133" s="1183">
        <f t="shared" si="52"/>
        <v>3710.34</v>
      </c>
      <c r="O133" s="1183">
        <f t="shared" si="52"/>
        <v>-232.93999999999997</v>
      </c>
      <c r="P133" s="1184">
        <f t="shared" si="52"/>
        <v>-397.90000000000003</v>
      </c>
      <c r="R133" s="1190">
        <f>SUM(R131:R132)</f>
        <v>-3451.1799999999994</v>
      </c>
    </row>
    <row r="134" spans="1:30">
      <c r="A134" s="830">
        <v>134</v>
      </c>
      <c r="B134" s="1181"/>
      <c r="C134" s="850" t="s">
        <v>3042</v>
      </c>
      <c r="D134" s="928">
        <v>-4060.6299999999978</v>
      </c>
      <c r="E134" s="928">
        <f t="shared" ref="E134:P134" si="53">D134+E133</f>
        <v>-4499.8899999999976</v>
      </c>
      <c r="F134" s="928">
        <f t="shared" si="53"/>
        <v>-4917.5899999999974</v>
      </c>
      <c r="G134" s="928">
        <f t="shared" si="53"/>
        <v>-5205.8799999999974</v>
      </c>
      <c r="H134" s="928">
        <f t="shared" si="53"/>
        <v>-5413.2399999999971</v>
      </c>
      <c r="I134" s="928">
        <f t="shared" si="53"/>
        <v>-5627.0199999999968</v>
      </c>
      <c r="J134" s="928">
        <f t="shared" si="53"/>
        <v>-5776.7099999999964</v>
      </c>
      <c r="K134" s="928">
        <f t="shared" si="53"/>
        <v>-5965.1199999999963</v>
      </c>
      <c r="L134" s="928">
        <f t="shared" si="53"/>
        <v>-6128.4199999999964</v>
      </c>
      <c r="M134" s="928">
        <f t="shared" si="53"/>
        <v>-6530.6799999999967</v>
      </c>
      <c r="N134" s="928">
        <f t="shared" si="53"/>
        <v>-2820.3399999999965</v>
      </c>
      <c r="O134" s="928">
        <f t="shared" si="53"/>
        <v>-3053.2799999999966</v>
      </c>
      <c r="P134" s="1191">
        <f t="shared" si="53"/>
        <v>-3451.1799999999967</v>
      </c>
      <c r="R134" s="1172"/>
    </row>
    <row r="135" spans="1:30">
      <c r="A135" s="830">
        <v>135</v>
      </c>
      <c r="B135" s="1181"/>
      <c r="C135" s="850"/>
      <c r="D135" s="928"/>
      <c r="E135" s="928"/>
      <c r="F135" s="928"/>
      <c r="G135" s="928"/>
      <c r="H135" s="928"/>
      <c r="I135" s="928"/>
      <c r="J135" s="928"/>
      <c r="K135" s="928"/>
      <c r="L135" s="928"/>
      <c r="M135" s="928"/>
      <c r="N135" s="928"/>
      <c r="O135" s="928"/>
      <c r="P135" s="1182"/>
      <c r="R135" s="1172"/>
      <c r="T135" s="850"/>
      <c r="U135" s="928"/>
      <c r="V135" s="1200">
        <f>ROUND(U138/Z138,0)</f>
        <v>112879</v>
      </c>
    </row>
    <row r="136" spans="1:30">
      <c r="A136" s="830">
        <v>136</v>
      </c>
      <c r="B136" s="829" t="s">
        <v>3069</v>
      </c>
      <c r="C136" s="890">
        <v>570</v>
      </c>
      <c r="D136" s="899"/>
      <c r="E136" s="899"/>
      <c r="F136" s="928"/>
      <c r="G136" s="899"/>
      <c r="H136" s="899"/>
      <c r="I136" s="899"/>
      <c r="J136" s="899"/>
      <c r="K136" s="899"/>
      <c r="L136" s="899"/>
      <c r="M136" s="899"/>
      <c r="N136" s="899"/>
      <c r="O136" s="899"/>
      <c r="P136" s="1196"/>
      <c r="R136" s="1172"/>
      <c r="U136" s="830">
        <v>570</v>
      </c>
      <c r="V136" s="1200">
        <f>ROUND(U139/Z139,0)</f>
        <v>117354</v>
      </c>
      <c r="W136" s="1200">
        <f>SUM(V135:V136)</f>
        <v>230233</v>
      </c>
    </row>
    <row r="137" spans="1:30" ht="15.6">
      <c r="A137" s="830">
        <v>137</v>
      </c>
      <c r="B137" s="1181" t="s">
        <v>1057</v>
      </c>
      <c r="C137" s="830" t="s">
        <v>3043</v>
      </c>
      <c r="D137" s="899">
        <v>8</v>
      </c>
      <c r="E137" s="899">
        <v>8</v>
      </c>
      <c r="F137" s="899">
        <v>7</v>
      </c>
      <c r="G137" s="899">
        <v>7</v>
      </c>
      <c r="H137" s="899">
        <v>7</v>
      </c>
      <c r="I137" s="899">
        <v>7</v>
      </c>
      <c r="J137" s="899">
        <v>8</v>
      </c>
      <c r="K137" s="899">
        <v>8</v>
      </c>
      <c r="L137" s="899">
        <v>8</v>
      </c>
      <c r="M137" s="899">
        <v>8</v>
      </c>
      <c r="N137" s="899"/>
      <c r="O137" s="899">
        <v>8</v>
      </c>
      <c r="P137" s="1196">
        <v>8</v>
      </c>
      <c r="Q137" s="834"/>
      <c r="R137" s="1195"/>
      <c r="V137" s="1197">
        <v>230233</v>
      </c>
      <c r="W137" s="830" t="s">
        <v>2514</v>
      </c>
      <c r="X137" s="899">
        <f>V137</f>
        <v>230233</v>
      </c>
    </row>
    <row r="138" spans="1:30" ht="15.6">
      <c r="A138" s="830">
        <v>138</v>
      </c>
      <c r="B138" s="1181" t="s">
        <v>3034</v>
      </c>
      <c r="C138" s="830" t="s">
        <v>3070</v>
      </c>
      <c r="D138" s="928">
        <v>9622.91</v>
      </c>
      <c r="E138" s="928">
        <v>9606.64</v>
      </c>
      <c r="F138" s="928">
        <v>9743.14</v>
      </c>
      <c r="G138" s="928">
        <v>9318.4599999999991</v>
      </c>
      <c r="H138" s="928">
        <v>8122.21</v>
      </c>
      <c r="I138" s="928">
        <v>7127.76</v>
      </c>
      <c r="J138" s="928">
        <v>6345.37</v>
      </c>
      <c r="K138" s="928">
        <v>7848.97</v>
      </c>
      <c r="L138" s="928">
        <v>6023.96</v>
      </c>
      <c r="M138" s="928">
        <v>6363.13</v>
      </c>
      <c r="N138" s="928"/>
      <c r="O138" s="928">
        <v>10635.04</v>
      </c>
      <c r="P138" s="1182">
        <v>8911.7900000000009</v>
      </c>
      <c r="Q138" s="1200"/>
      <c r="R138" s="1187"/>
      <c r="T138" s="850" t="s">
        <v>2696</v>
      </c>
      <c r="U138" s="1199">
        <v>8911.7900000000009</v>
      </c>
      <c r="V138" s="1185">
        <f>U138/V135</f>
        <v>7.8949937543741536E-2</v>
      </c>
      <c r="X138" s="1185">
        <f>U138/V135</f>
        <v>7.8949937543741536E-2</v>
      </c>
      <c r="Z138" s="830">
        <v>7.8950000000000006E-2</v>
      </c>
      <c r="AB138" s="1185">
        <f>Z138-X138</f>
        <v>6.2456258470566794E-8</v>
      </c>
    </row>
    <row r="139" spans="1:30" ht="15.6">
      <c r="A139" s="830">
        <v>139</v>
      </c>
      <c r="B139" s="1181" t="s">
        <v>3034</v>
      </c>
      <c r="C139" s="830" t="s">
        <v>3071</v>
      </c>
      <c r="D139" s="928">
        <v>3115.63</v>
      </c>
      <c r="E139" s="928">
        <v>3082.7</v>
      </c>
      <c r="F139" s="928">
        <v>3299.5</v>
      </c>
      <c r="G139" s="928">
        <v>2924.98</v>
      </c>
      <c r="H139" s="928">
        <v>1991.48</v>
      </c>
      <c r="I139" s="928">
        <v>1168.3800000000001</v>
      </c>
      <c r="J139" s="928">
        <v>688.23</v>
      </c>
      <c r="K139" s="928">
        <v>463.34</v>
      </c>
      <c r="L139" s="928">
        <v>389.96</v>
      </c>
      <c r="M139" s="928">
        <v>693.4</v>
      </c>
      <c r="N139" s="928"/>
      <c r="O139" s="928">
        <v>2205.61</v>
      </c>
      <c r="P139" s="1182">
        <v>2638.12</v>
      </c>
      <c r="Q139" s="1200"/>
      <c r="R139" s="1187"/>
      <c r="T139" s="850" t="s">
        <v>2696</v>
      </c>
      <c r="U139" s="1199">
        <v>2638.12</v>
      </c>
      <c r="V139" s="1185">
        <f>U139/V136</f>
        <v>2.2480017724150859E-2</v>
      </c>
      <c r="X139" s="1185">
        <f>U139/V136</f>
        <v>2.2480017724150859E-2</v>
      </c>
      <c r="Z139" s="830">
        <v>2.248E-2</v>
      </c>
      <c r="AB139" s="1185">
        <f>Z139-X139</f>
        <v>-1.7724150858794419E-8</v>
      </c>
    </row>
    <row r="140" spans="1:30" ht="15.6">
      <c r="A140" s="830">
        <v>140</v>
      </c>
      <c r="B140" s="1181" t="s">
        <v>3044</v>
      </c>
      <c r="C140" s="830" t="s">
        <v>3072</v>
      </c>
      <c r="D140" s="928">
        <v>9606.64</v>
      </c>
      <c r="E140" s="928">
        <v>9743.14</v>
      </c>
      <c r="F140" s="928">
        <v>9318.4599999999991</v>
      </c>
      <c r="G140" s="928">
        <v>8122.21</v>
      </c>
      <c r="H140" s="928">
        <v>7127.76</v>
      </c>
      <c r="I140" s="928">
        <v>6345.37</v>
      </c>
      <c r="J140" s="928">
        <v>7848.97</v>
      </c>
      <c r="K140" s="928">
        <v>6023.96</v>
      </c>
      <c r="L140" s="928">
        <v>6363.13</v>
      </c>
      <c r="M140" s="928">
        <v>10635.04</v>
      </c>
      <c r="N140" s="928"/>
      <c r="O140" s="928">
        <v>8911.7900000000009</v>
      </c>
      <c r="P140" s="1182">
        <v>9570.31</v>
      </c>
      <c r="Q140" s="1200"/>
      <c r="R140" s="1187"/>
      <c r="T140" s="850" t="s">
        <v>2650</v>
      </c>
      <c r="U140" s="1199">
        <v>94027.15</v>
      </c>
      <c r="V140" s="1185">
        <f>U140/V137</f>
        <v>0.4083999687273327</v>
      </c>
      <c r="X140" s="1185">
        <f>U140/X137</f>
        <v>0.4083999687273327</v>
      </c>
      <c r="Z140" s="1201">
        <v>0.40839999999999999</v>
      </c>
      <c r="AB140" s="1185">
        <f>Z140-X140</f>
        <v>3.1272667289083955E-8</v>
      </c>
      <c r="AD140" s="1200">
        <f>P140</f>
        <v>9570.31</v>
      </c>
    </row>
    <row r="141" spans="1:30">
      <c r="A141" s="830">
        <v>141</v>
      </c>
      <c r="B141" s="1181" t="s">
        <v>3044</v>
      </c>
      <c r="C141" s="830" t="s">
        <v>3073</v>
      </c>
      <c r="D141" s="928">
        <v>3082.7</v>
      </c>
      <c r="E141" s="928">
        <v>3299.5</v>
      </c>
      <c r="F141" s="928">
        <v>2924.98</v>
      </c>
      <c r="G141" s="928">
        <v>1991.48</v>
      </c>
      <c r="H141" s="928">
        <v>1168.3800000000001</v>
      </c>
      <c r="I141" s="928">
        <v>688.23</v>
      </c>
      <c r="J141" s="928">
        <v>463.34</v>
      </c>
      <c r="K141" s="928">
        <v>389.47</v>
      </c>
      <c r="L141" s="928">
        <v>693.4</v>
      </c>
      <c r="M141" s="928">
        <v>2205.61</v>
      </c>
      <c r="N141" s="928"/>
      <c r="O141" s="928">
        <v>2638.12</v>
      </c>
      <c r="P141" s="1182">
        <v>2985.23</v>
      </c>
      <c r="Q141" s="1200"/>
      <c r="R141" s="1187"/>
      <c r="U141" s="1216"/>
      <c r="AB141" s="1185"/>
      <c r="AD141" s="1200">
        <f>P141</f>
        <v>2985.23</v>
      </c>
    </row>
    <row r="142" spans="1:30">
      <c r="A142" s="830">
        <v>142</v>
      </c>
      <c r="B142" s="1181" t="s">
        <v>3044</v>
      </c>
      <c r="C142" s="830" t="s">
        <v>3074</v>
      </c>
      <c r="D142" s="928">
        <v>-9622.91</v>
      </c>
      <c r="E142" s="928">
        <f t="shared" ref="E142:M143" si="54">-D140</f>
        <v>-9606.64</v>
      </c>
      <c r="F142" s="928">
        <f t="shared" si="54"/>
        <v>-9743.14</v>
      </c>
      <c r="G142" s="928">
        <f t="shared" si="54"/>
        <v>-9318.4599999999991</v>
      </c>
      <c r="H142" s="928">
        <f t="shared" si="54"/>
        <v>-8122.21</v>
      </c>
      <c r="I142" s="928">
        <f t="shared" si="54"/>
        <v>-7127.76</v>
      </c>
      <c r="J142" s="928">
        <f t="shared" si="54"/>
        <v>-6345.37</v>
      </c>
      <c r="K142" s="928">
        <f t="shared" si="54"/>
        <v>-7848.97</v>
      </c>
      <c r="L142" s="928">
        <f t="shared" si="54"/>
        <v>-6023.96</v>
      </c>
      <c r="M142" s="928">
        <f t="shared" si="54"/>
        <v>-6363.13</v>
      </c>
      <c r="N142" s="928"/>
      <c r="O142" s="928">
        <f>-M140</f>
        <v>-10635.04</v>
      </c>
      <c r="P142" s="1182">
        <f>-O140</f>
        <v>-8911.7900000000009</v>
      </c>
      <c r="Q142" s="1200"/>
      <c r="R142" s="1187"/>
      <c r="AD142" s="1200">
        <f>D142</f>
        <v>-9622.91</v>
      </c>
    </row>
    <row r="143" spans="1:30">
      <c r="A143" s="830">
        <v>143</v>
      </c>
      <c r="B143" s="1181" t="s">
        <v>3044</v>
      </c>
      <c r="C143" s="830" t="s">
        <v>3075</v>
      </c>
      <c r="D143" s="1183">
        <v>-3115.63</v>
      </c>
      <c r="E143" s="1183">
        <f t="shared" si="54"/>
        <v>-3082.7</v>
      </c>
      <c r="F143" s="1183">
        <f t="shared" si="54"/>
        <v>-3299.5</v>
      </c>
      <c r="G143" s="1183">
        <f t="shared" si="54"/>
        <v>-2924.98</v>
      </c>
      <c r="H143" s="1183">
        <f t="shared" si="54"/>
        <v>-1991.48</v>
      </c>
      <c r="I143" s="1183">
        <f t="shared" si="54"/>
        <v>-1168.3800000000001</v>
      </c>
      <c r="J143" s="1183">
        <f t="shared" si="54"/>
        <v>-688.23</v>
      </c>
      <c r="K143" s="1183">
        <f t="shared" si="54"/>
        <v>-463.34</v>
      </c>
      <c r="L143" s="1183">
        <f t="shared" si="54"/>
        <v>-389.47</v>
      </c>
      <c r="M143" s="1183">
        <f t="shared" si="54"/>
        <v>-693.4</v>
      </c>
      <c r="N143" s="1183"/>
      <c r="O143" s="1183">
        <f>-M141</f>
        <v>-2205.61</v>
      </c>
      <c r="P143" s="1184">
        <f>-O141</f>
        <v>-2638.12</v>
      </c>
      <c r="Q143" s="1200"/>
      <c r="R143" s="1187"/>
      <c r="AD143" s="1200">
        <f>D143</f>
        <v>-3115.63</v>
      </c>
    </row>
    <row r="144" spans="1:30">
      <c r="A144" s="830">
        <v>144</v>
      </c>
      <c r="B144" s="1181"/>
      <c r="C144" s="850" t="s">
        <v>3036</v>
      </c>
      <c r="D144" s="928">
        <f t="shared" ref="D144:M144" si="55">SUM(D138:D143)</f>
        <v>12689.34</v>
      </c>
      <c r="E144" s="928">
        <f t="shared" si="55"/>
        <v>13042.64</v>
      </c>
      <c r="F144" s="928">
        <f t="shared" si="55"/>
        <v>12243.439999999999</v>
      </c>
      <c r="G144" s="928">
        <f t="shared" si="55"/>
        <v>10113.689999999999</v>
      </c>
      <c r="H144" s="928">
        <f t="shared" si="55"/>
        <v>8296.1400000000031</v>
      </c>
      <c r="I144" s="928">
        <f t="shared" si="55"/>
        <v>7033.5999999999976</v>
      </c>
      <c r="J144" s="928">
        <f t="shared" si="55"/>
        <v>8312.3100000000013</v>
      </c>
      <c r="K144" s="928">
        <f t="shared" si="55"/>
        <v>6413.4299999999994</v>
      </c>
      <c r="L144" s="928">
        <f t="shared" si="55"/>
        <v>7057.0199999999986</v>
      </c>
      <c r="M144" s="928">
        <f t="shared" si="55"/>
        <v>12840.65</v>
      </c>
      <c r="N144" s="928"/>
      <c r="O144" s="928">
        <f>SUM(O138:O143)</f>
        <v>11549.91</v>
      </c>
      <c r="P144" s="1182">
        <f>SUM(P138:P143)</f>
        <v>12555.54</v>
      </c>
      <c r="R144" s="1172"/>
    </row>
    <row r="145" spans="1:28">
      <c r="A145" s="830">
        <v>145</v>
      </c>
      <c r="B145" s="1181"/>
      <c r="C145" s="850" t="s">
        <v>3038</v>
      </c>
      <c r="D145" s="1183">
        <v>-18824.16</v>
      </c>
      <c r="E145" s="1183">
        <v>-18920.32</v>
      </c>
      <c r="F145" s="1183">
        <v>-13555.43</v>
      </c>
      <c r="G145" s="1183">
        <v>-13490.89</v>
      </c>
      <c r="H145" s="1183">
        <v>-9723.49</v>
      </c>
      <c r="I145" s="1183">
        <v>-8083.39</v>
      </c>
      <c r="J145" s="1183">
        <v>-7533.76</v>
      </c>
      <c r="K145" s="1183">
        <v>-8838.16</v>
      </c>
      <c r="L145" s="1183">
        <v>-6932.32</v>
      </c>
      <c r="M145" s="1183">
        <v>-8996.48</v>
      </c>
      <c r="N145" s="1183"/>
      <c r="O145" s="1183">
        <v>-12708</v>
      </c>
      <c r="P145" s="1184">
        <v>-14600.88</v>
      </c>
      <c r="R145" s="1172"/>
    </row>
    <row r="146" spans="1:28">
      <c r="A146" s="830">
        <v>146</v>
      </c>
      <c r="B146" s="1181"/>
      <c r="C146" s="850" t="s">
        <v>3039</v>
      </c>
      <c r="D146" s="928">
        <f t="shared" ref="D146:M146" si="56">SUM(D144:D145)</f>
        <v>-6134.82</v>
      </c>
      <c r="E146" s="928">
        <f t="shared" si="56"/>
        <v>-5877.68</v>
      </c>
      <c r="F146" s="928">
        <f t="shared" si="56"/>
        <v>-1311.9900000000016</v>
      </c>
      <c r="G146" s="928">
        <f t="shared" si="56"/>
        <v>-3377.2000000000007</v>
      </c>
      <c r="H146" s="928">
        <f t="shared" si="56"/>
        <v>-1427.3499999999967</v>
      </c>
      <c r="I146" s="928">
        <f t="shared" si="56"/>
        <v>-1049.7900000000027</v>
      </c>
      <c r="J146" s="928">
        <f t="shared" si="56"/>
        <v>778.55000000000109</v>
      </c>
      <c r="K146" s="928">
        <f t="shared" si="56"/>
        <v>-2424.7300000000005</v>
      </c>
      <c r="L146" s="928">
        <f t="shared" si="56"/>
        <v>124.69999999999891</v>
      </c>
      <c r="M146" s="928">
        <f t="shared" si="56"/>
        <v>3844.17</v>
      </c>
      <c r="N146" s="928">
        <v>34503.840000000004</v>
      </c>
      <c r="O146" s="928">
        <f>SUM(O144:O145)</f>
        <v>-1158.0900000000001</v>
      </c>
      <c r="P146" s="1182">
        <f>SUM(P144:P145)</f>
        <v>-2045.3399999999983</v>
      </c>
      <c r="R146" s="1187">
        <f>SUM(D146:Q146)-N146</f>
        <v>-20059.57</v>
      </c>
    </row>
    <row r="147" spans="1:28">
      <c r="A147" s="830">
        <v>147</v>
      </c>
      <c r="B147" s="1181"/>
      <c r="C147" s="850" t="s">
        <v>3040</v>
      </c>
      <c r="D147" s="928">
        <v>-151.80000000000001</v>
      </c>
      <c r="E147" s="928">
        <f t="shared" ref="E147:M147" si="57">ROUND(ROUND(D149*E$6,2)/365*E$7,2)</f>
        <v>-162.09</v>
      </c>
      <c r="F147" s="928">
        <f t="shared" si="57"/>
        <v>-206.03</v>
      </c>
      <c r="G147" s="928">
        <f t="shared" si="57"/>
        <v>-216.57</v>
      </c>
      <c r="H147" s="928">
        <f t="shared" si="57"/>
        <v>-240.43</v>
      </c>
      <c r="I147" s="928">
        <f t="shared" si="57"/>
        <v>-240.14</v>
      </c>
      <c r="J147" s="928">
        <f t="shared" si="57"/>
        <v>-256.45</v>
      </c>
      <c r="K147" s="928">
        <f t="shared" si="57"/>
        <v>-254.01</v>
      </c>
      <c r="L147" s="928">
        <f t="shared" si="57"/>
        <v>-257.93</v>
      </c>
      <c r="M147" s="928">
        <f t="shared" si="57"/>
        <v>-263.26</v>
      </c>
      <c r="N147" s="928">
        <v>1578.2499999999998</v>
      </c>
      <c r="O147" s="928">
        <f>ROUND(ROUND(N149*O$6,2)/365*O$7,2)</f>
        <v>-78.08</v>
      </c>
      <c r="P147" s="1182">
        <f>ROUND(ROUND(O149*P$6,2)/365*P$7,2)</f>
        <v>-86.37</v>
      </c>
      <c r="R147" s="1188">
        <f>SUM(D147:Q147)</f>
        <v>-834.91000000000031</v>
      </c>
    </row>
    <row r="148" spans="1:28">
      <c r="A148" s="830">
        <v>148</v>
      </c>
      <c r="B148" s="1181"/>
      <c r="C148" s="850" t="s">
        <v>3041</v>
      </c>
      <c r="D148" s="1183">
        <f t="shared" ref="D148:P148" si="58">SUM(D146:D147)</f>
        <v>-6286.62</v>
      </c>
      <c r="E148" s="1183">
        <f t="shared" si="58"/>
        <v>-6039.77</v>
      </c>
      <c r="F148" s="1183">
        <f t="shared" si="58"/>
        <v>-1518.0200000000016</v>
      </c>
      <c r="G148" s="1183">
        <f t="shared" si="58"/>
        <v>-3593.7700000000009</v>
      </c>
      <c r="H148" s="1183">
        <f t="shared" si="58"/>
        <v>-1667.7799999999968</v>
      </c>
      <c r="I148" s="1183">
        <f t="shared" si="58"/>
        <v>-1289.9300000000026</v>
      </c>
      <c r="J148" s="1183">
        <f t="shared" si="58"/>
        <v>522.10000000000105</v>
      </c>
      <c r="K148" s="1183">
        <f t="shared" si="58"/>
        <v>-2678.7400000000007</v>
      </c>
      <c r="L148" s="1183">
        <f t="shared" si="58"/>
        <v>-133.2300000000011</v>
      </c>
      <c r="M148" s="1183">
        <f t="shared" si="58"/>
        <v>3580.91</v>
      </c>
      <c r="N148" s="1183">
        <f t="shared" si="58"/>
        <v>36082.090000000004</v>
      </c>
      <c r="O148" s="1183">
        <f t="shared" si="58"/>
        <v>-1236.17</v>
      </c>
      <c r="P148" s="1184">
        <f t="shared" si="58"/>
        <v>-2131.7099999999982</v>
      </c>
      <c r="R148" s="1190">
        <f>SUM(R146:R147)</f>
        <v>-20894.48</v>
      </c>
    </row>
    <row r="149" spans="1:28">
      <c r="A149" s="830">
        <v>149</v>
      </c>
      <c r="B149" s="1181"/>
      <c r="C149" s="850" t="s">
        <v>3042</v>
      </c>
      <c r="D149" s="928">
        <v>-40790.459999999992</v>
      </c>
      <c r="E149" s="928">
        <f t="shared" ref="E149:P149" si="59">D149+E148</f>
        <v>-46830.229999999996</v>
      </c>
      <c r="F149" s="928">
        <f t="shared" si="59"/>
        <v>-48348.25</v>
      </c>
      <c r="G149" s="928">
        <f t="shared" si="59"/>
        <v>-51942.020000000004</v>
      </c>
      <c r="H149" s="928">
        <f t="shared" si="59"/>
        <v>-53609.8</v>
      </c>
      <c r="I149" s="928">
        <f t="shared" si="59"/>
        <v>-54899.73</v>
      </c>
      <c r="J149" s="928">
        <f t="shared" si="59"/>
        <v>-54377.630000000005</v>
      </c>
      <c r="K149" s="928">
        <f t="shared" si="59"/>
        <v>-57056.37</v>
      </c>
      <c r="L149" s="928">
        <f t="shared" si="59"/>
        <v>-57189.600000000006</v>
      </c>
      <c r="M149" s="928">
        <f t="shared" si="59"/>
        <v>-53608.69</v>
      </c>
      <c r="N149" s="928">
        <f t="shared" si="59"/>
        <v>-17526.599999999999</v>
      </c>
      <c r="O149" s="928">
        <f t="shared" si="59"/>
        <v>-18762.769999999997</v>
      </c>
      <c r="P149" s="1191">
        <f t="shared" si="59"/>
        <v>-20894.479999999996</v>
      </c>
      <c r="R149" s="1172"/>
    </row>
    <row r="150" spans="1:28">
      <c r="A150" s="830">
        <v>150</v>
      </c>
      <c r="B150" s="1181"/>
      <c r="D150" s="899"/>
      <c r="E150" s="899"/>
      <c r="F150" s="928"/>
      <c r="G150" s="899"/>
      <c r="H150" s="899"/>
      <c r="I150" s="899"/>
      <c r="J150" s="899"/>
      <c r="K150" s="899"/>
      <c r="L150" s="899"/>
      <c r="M150" s="899"/>
      <c r="N150" s="899"/>
      <c r="O150" s="899"/>
      <c r="P150" s="1196"/>
      <c r="R150" s="1172"/>
      <c r="T150" s="850"/>
      <c r="U150" s="928"/>
      <c r="V150" s="1200"/>
    </row>
    <row r="151" spans="1:28">
      <c r="A151" s="830">
        <v>151</v>
      </c>
      <c r="B151" s="830" t="s">
        <v>3069</v>
      </c>
      <c r="C151" s="890">
        <v>577</v>
      </c>
      <c r="D151" s="899" t="s">
        <v>3032</v>
      </c>
      <c r="F151" s="928"/>
      <c r="G151" s="899"/>
      <c r="H151" s="899"/>
      <c r="I151" s="899"/>
      <c r="J151" s="899"/>
      <c r="L151" s="899"/>
      <c r="M151" s="899"/>
      <c r="N151" s="899"/>
      <c r="O151" s="899"/>
      <c r="P151" s="1196"/>
      <c r="R151" s="1172"/>
      <c r="V151" s="1200"/>
      <c r="W151" s="1200"/>
    </row>
    <row r="152" spans="1:28">
      <c r="A152" s="830">
        <v>152</v>
      </c>
      <c r="B152" s="1181" t="s">
        <v>1057</v>
      </c>
      <c r="C152" s="830" t="s">
        <v>3043</v>
      </c>
      <c r="D152" s="899"/>
      <c r="E152" s="899"/>
      <c r="F152" s="899"/>
      <c r="G152" s="899"/>
      <c r="H152" s="899"/>
      <c r="I152" s="899"/>
      <c r="J152" s="899"/>
      <c r="K152" s="899"/>
      <c r="L152" s="899"/>
      <c r="M152" s="899"/>
      <c r="N152" s="899"/>
      <c r="O152" s="899"/>
      <c r="P152" s="1196"/>
      <c r="Q152" s="834"/>
      <c r="R152" s="1195"/>
      <c r="V152" s="899"/>
      <c r="X152" s="899"/>
    </row>
    <row r="153" spans="1:28">
      <c r="A153" s="830">
        <v>153</v>
      </c>
      <c r="B153" s="1181" t="s">
        <v>3034</v>
      </c>
      <c r="C153" s="830" t="s">
        <v>3076</v>
      </c>
      <c r="D153" s="928"/>
      <c r="E153" s="928"/>
      <c r="F153" s="928"/>
      <c r="G153" s="928"/>
      <c r="H153" s="928"/>
      <c r="I153" s="928"/>
      <c r="J153" s="928"/>
      <c r="K153" s="928"/>
      <c r="L153" s="928"/>
      <c r="M153" s="928"/>
      <c r="N153" s="928"/>
      <c r="O153" s="928"/>
      <c r="P153" s="1182"/>
      <c r="Q153" s="1200"/>
      <c r="R153" s="1187"/>
      <c r="T153" s="850"/>
      <c r="U153" s="928"/>
      <c r="V153" s="1185"/>
      <c r="X153" s="1185"/>
      <c r="AB153" s="1185"/>
    </row>
    <row r="154" spans="1:28">
      <c r="A154" s="830">
        <v>154</v>
      </c>
      <c r="B154" s="1181" t="s">
        <v>3034</v>
      </c>
      <c r="C154" s="830" t="s">
        <v>3051</v>
      </c>
      <c r="D154" s="928"/>
      <c r="E154" s="928"/>
      <c r="F154" s="928"/>
      <c r="G154" s="928"/>
      <c r="H154" s="928"/>
      <c r="I154" s="928"/>
      <c r="J154" s="928"/>
      <c r="K154" s="928"/>
      <c r="L154" s="928"/>
      <c r="M154" s="928"/>
      <c r="N154" s="928"/>
      <c r="O154" s="928"/>
      <c r="P154" s="1182"/>
      <c r="Q154" s="1200"/>
      <c r="R154" s="1187"/>
      <c r="T154" s="850"/>
      <c r="U154" s="928"/>
      <c r="V154" s="1185"/>
      <c r="X154" s="1185"/>
      <c r="AB154" s="1185"/>
    </row>
    <row r="155" spans="1:28">
      <c r="A155" s="830">
        <v>155</v>
      </c>
      <c r="B155" s="1181" t="s">
        <v>3044</v>
      </c>
      <c r="C155" s="830" t="s">
        <v>3077</v>
      </c>
      <c r="D155" s="928"/>
      <c r="E155" s="928"/>
      <c r="F155" s="928"/>
      <c r="G155" s="928"/>
      <c r="H155" s="928"/>
      <c r="I155" s="928"/>
      <c r="J155" s="928"/>
      <c r="K155" s="928"/>
      <c r="L155" s="928"/>
      <c r="M155" s="928"/>
      <c r="N155" s="928"/>
      <c r="O155" s="928"/>
      <c r="P155" s="1182"/>
      <c r="Q155" s="1200"/>
      <c r="R155" s="1187"/>
      <c r="T155" s="850"/>
      <c r="U155" s="928"/>
      <c r="V155" s="1185"/>
      <c r="X155" s="1185"/>
      <c r="AB155" s="1185"/>
    </row>
    <row r="156" spans="1:28">
      <c r="A156" s="830">
        <v>156</v>
      </c>
      <c r="B156" s="1181" t="s">
        <v>3044</v>
      </c>
      <c r="C156" s="830" t="s">
        <v>3078</v>
      </c>
      <c r="D156" s="928"/>
      <c r="E156" s="928"/>
      <c r="F156" s="928"/>
      <c r="G156" s="928"/>
      <c r="H156" s="928"/>
      <c r="I156" s="928"/>
      <c r="J156" s="928"/>
      <c r="K156" s="928"/>
      <c r="L156" s="928"/>
      <c r="M156" s="928"/>
      <c r="N156" s="928"/>
      <c r="O156" s="928"/>
      <c r="P156" s="1182"/>
      <c r="Q156" s="1200"/>
      <c r="R156" s="1187"/>
      <c r="AB156" s="1185"/>
    </row>
    <row r="157" spans="1:28">
      <c r="A157" s="830">
        <v>157</v>
      </c>
      <c r="B157" s="1181" t="s">
        <v>3044</v>
      </c>
      <c r="C157" s="830" t="s">
        <v>3079</v>
      </c>
      <c r="D157" s="928">
        <v>0</v>
      </c>
      <c r="E157" s="928">
        <f t="shared" ref="E157:M158" si="60">-D155</f>
        <v>0</v>
      </c>
      <c r="F157" s="928">
        <f t="shared" si="60"/>
        <v>0</v>
      </c>
      <c r="G157" s="928">
        <f t="shared" si="60"/>
        <v>0</v>
      </c>
      <c r="H157" s="928">
        <f t="shared" si="60"/>
        <v>0</v>
      </c>
      <c r="I157" s="928">
        <f t="shared" si="60"/>
        <v>0</v>
      </c>
      <c r="J157" s="928">
        <f t="shared" si="60"/>
        <v>0</v>
      </c>
      <c r="K157" s="928">
        <f t="shared" si="60"/>
        <v>0</v>
      </c>
      <c r="L157" s="928">
        <f t="shared" si="60"/>
        <v>0</v>
      </c>
      <c r="M157" s="928">
        <f t="shared" si="60"/>
        <v>0</v>
      </c>
      <c r="N157" s="928"/>
      <c r="O157" s="928">
        <f>-M155</f>
        <v>0</v>
      </c>
      <c r="P157" s="1182">
        <f>-O155</f>
        <v>0</v>
      </c>
      <c r="Q157" s="1200"/>
      <c r="R157" s="1187"/>
    </row>
    <row r="158" spans="1:28">
      <c r="A158" s="830">
        <v>158</v>
      </c>
      <c r="B158" s="1181" t="s">
        <v>3044</v>
      </c>
      <c r="C158" s="830" t="s">
        <v>3080</v>
      </c>
      <c r="D158" s="1183">
        <v>0</v>
      </c>
      <c r="E158" s="1183">
        <f t="shared" si="60"/>
        <v>0</v>
      </c>
      <c r="F158" s="1183">
        <f t="shared" si="60"/>
        <v>0</v>
      </c>
      <c r="G158" s="1183">
        <f t="shared" si="60"/>
        <v>0</v>
      </c>
      <c r="H158" s="1183">
        <f t="shared" si="60"/>
        <v>0</v>
      </c>
      <c r="I158" s="1183">
        <f t="shared" si="60"/>
        <v>0</v>
      </c>
      <c r="J158" s="1183">
        <f t="shared" si="60"/>
        <v>0</v>
      </c>
      <c r="K158" s="1183">
        <f t="shared" si="60"/>
        <v>0</v>
      </c>
      <c r="L158" s="1183">
        <f t="shared" si="60"/>
        <v>0</v>
      </c>
      <c r="M158" s="1183">
        <f t="shared" si="60"/>
        <v>0</v>
      </c>
      <c r="N158" s="1183"/>
      <c r="O158" s="1183">
        <f>-M156</f>
        <v>0</v>
      </c>
      <c r="P158" s="1184">
        <f>-O156</f>
        <v>0</v>
      </c>
      <c r="Q158" s="1200"/>
      <c r="R158" s="1187"/>
    </row>
    <row r="159" spans="1:28">
      <c r="A159" s="830">
        <v>159</v>
      </c>
      <c r="B159" s="1217"/>
      <c r="C159" s="850" t="s">
        <v>3036</v>
      </c>
      <c r="D159" s="928">
        <f t="shared" ref="D159:M159" si="61">SUM(D153:D158)</f>
        <v>0</v>
      </c>
      <c r="E159" s="928">
        <f t="shared" si="61"/>
        <v>0</v>
      </c>
      <c r="F159" s="928">
        <f t="shared" si="61"/>
        <v>0</v>
      </c>
      <c r="G159" s="928">
        <f t="shared" si="61"/>
        <v>0</v>
      </c>
      <c r="H159" s="928">
        <f t="shared" si="61"/>
        <v>0</v>
      </c>
      <c r="I159" s="928">
        <f t="shared" si="61"/>
        <v>0</v>
      </c>
      <c r="J159" s="928">
        <f t="shared" si="61"/>
        <v>0</v>
      </c>
      <c r="K159" s="928">
        <f t="shared" si="61"/>
        <v>0</v>
      </c>
      <c r="L159" s="928">
        <f t="shared" si="61"/>
        <v>0</v>
      </c>
      <c r="M159" s="928">
        <f t="shared" si="61"/>
        <v>0</v>
      </c>
      <c r="N159" s="928"/>
      <c r="O159" s="928">
        <f>SUM(O153:O158)</f>
        <v>0</v>
      </c>
      <c r="P159" s="1182">
        <f>SUM(P153:P158)</f>
        <v>0</v>
      </c>
      <c r="R159" s="1172"/>
    </row>
    <row r="160" spans="1:28">
      <c r="A160" s="830">
        <v>160</v>
      </c>
      <c r="B160" s="1217"/>
      <c r="C160" s="850" t="s">
        <v>3038</v>
      </c>
      <c r="D160" s="1183">
        <v>0</v>
      </c>
      <c r="E160" s="1183">
        <v>0</v>
      </c>
      <c r="F160" s="1183">
        <v>0</v>
      </c>
      <c r="G160" s="1183">
        <v>0</v>
      </c>
      <c r="H160" s="1183">
        <v>0</v>
      </c>
      <c r="I160" s="1183">
        <v>0</v>
      </c>
      <c r="J160" s="1183">
        <v>0</v>
      </c>
      <c r="K160" s="1183">
        <v>0</v>
      </c>
      <c r="L160" s="1183">
        <v>0</v>
      </c>
      <c r="M160" s="1183">
        <v>0</v>
      </c>
      <c r="N160" s="1183"/>
      <c r="O160" s="1183">
        <v>0</v>
      </c>
      <c r="P160" s="1184">
        <v>0</v>
      </c>
      <c r="R160" s="1172"/>
    </row>
    <row r="161" spans="1:31">
      <c r="A161" s="830">
        <v>161</v>
      </c>
      <c r="B161" s="1217"/>
      <c r="C161" s="850" t="s">
        <v>3039</v>
      </c>
      <c r="D161" s="928">
        <f t="shared" ref="D161:M161" si="62">SUM(D159:D160)</f>
        <v>0</v>
      </c>
      <c r="E161" s="928">
        <f t="shared" si="62"/>
        <v>0</v>
      </c>
      <c r="F161" s="928">
        <f t="shared" si="62"/>
        <v>0</v>
      </c>
      <c r="G161" s="928">
        <f t="shared" si="62"/>
        <v>0</v>
      </c>
      <c r="H161" s="928">
        <f t="shared" si="62"/>
        <v>0</v>
      </c>
      <c r="I161" s="928">
        <f t="shared" si="62"/>
        <v>0</v>
      </c>
      <c r="J161" s="928">
        <f t="shared" si="62"/>
        <v>0</v>
      </c>
      <c r="K161" s="928">
        <f t="shared" si="62"/>
        <v>0</v>
      </c>
      <c r="L161" s="928">
        <f t="shared" si="62"/>
        <v>0</v>
      </c>
      <c r="M161" s="928">
        <f t="shared" si="62"/>
        <v>0</v>
      </c>
      <c r="N161" s="928">
        <v>4415.5599999999995</v>
      </c>
      <c r="O161" s="928">
        <f>SUM(O159:O160)</f>
        <v>0</v>
      </c>
      <c r="P161" s="1182">
        <f>SUM(P159:P160)</f>
        <v>0</v>
      </c>
      <c r="R161" s="1187">
        <f>SUM(D161:Q161)-N161</f>
        <v>0</v>
      </c>
    </row>
    <row r="162" spans="1:31">
      <c r="A162" s="830">
        <v>162</v>
      </c>
      <c r="B162" s="1181"/>
      <c r="C162" s="850" t="s">
        <v>3040</v>
      </c>
      <c r="D162" s="928">
        <v>-19.43</v>
      </c>
      <c r="E162" s="928">
        <f t="shared" ref="E162:M162" si="63">ROUND(ROUND(D164*E$6,2)/365*E$7,2)</f>
        <v>-17.62</v>
      </c>
      <c r="F162" s="928">
        <f t="shared" si="63"/>
        <v>-19.59</v>
      </c>
      <c r="G162" s="928">
        <f t="shared" si="63"/>
        <v>-20.03</v>
      </c>
      <c r="H162" s="928">
        <f t="shared" si="63"/>
        <v>-20.79</v>
      </c>
      <c r="I162" s="928">
        <f t="shared" si="63"/>
        <v>-20.22</v>
      </c>
      <c r="J162" s="928">
        <f t="shared" si="63"/>
        <v>-21.18</v>
      </c>
      <c r="K162" s="928">
        <f t="shared" si="63"/>
        <v>-21.27</v>
      </c>
      <c r="L162" s="928">
        <f t="shared" si="63"/>
        <v>-20.68</v>
      </c>
      <c r="M162" s="928">
        <f t="shared" si="63"/>
        <v>-21.16</v>
      </c>
      <c r="N162" s="928">
        <v>201.97000000000003</v>
      </c>
      <c r="O162" s="928">
        <f>ROUND(ROUND(N164*O$6,2)/365*O$7,2)</f>
        <v>0</v>
      </c>
      <c r="P162" s="1182">
        <f>ROUND(ROUND(O164*P$6,2)/365*P$7,2)</f>
        <v>0</v>
      </c>
      <c r="R162" s="1188">
        <f>SUM(D162:Q162)</f>
        <v>0</v>
      </c>
    </row>
    <row r="163" spans="1:31">
      <c r="A163" s="830">
        <v>163</v>
      </c>
      <c r="B163" s="1181"/>
      <c r="C163" s="850" t="s">
        <v>3041</v>
      </c>
      <c r="D163" s="1183">
        <f t="shared" ref="D163:P163" si="64">SUM(D161:D162)</f>
        <v>-19.43</v>
      </c>
      <c r="E163" s="1183">
        <f t="shared" si="64"/>
        <v>-17.62</v>
      </c>
      <c r="F163" s="1183">
        <f t="shared" si="64"/>
        <v>-19.59</v>
      </c>
      <c r="G163" s="1183">
        <f t="shared" si="64"/>
        <v>-20.03</v>
      </c>
      <c r="H163" s="1183">
        <f t="shared" si="64"/>
        <v>-20.79</v>
      </c>
      <c r="I163" s="1183">
        <f t="shared" si="64"/>
        <v>-20.22</v>
      </c>
      <c r="J163" s="1183">
        <f t="shared" si="64"/>
        <v>-21.18</v>
      </c>
      <c r="K163" s="1183">
        <f t="shared" si="64"/>
        <v>-21.27</v>
      </c>
      <c r="L163" s="1183">
        <f t="shared" si="64"/>
        <v>-20.68</v>
      </c>
      <c r="M163" s="1183">
        <f t="shared" si="64"/>
        <v>-21.16</v>
      </c>
      <c r="N163" s="1183">
        <f t="shared" si="64"/>
        <v>4617.53</v>
      </c>
      <c r="O163" s="1183">
        <f t="shared" si="64"/>
        <v>0</v>
      </c>
      <c r="P163" s="1184">
        <f t="shared" si="64"/>
        <v>0</v>
      </c>
      <c r="R163" s="1190">
        <f>SUM(R161:R162)</f>
        <v>0</v>
      </c>
    </row>
    <row r="164" spans="1:31">
      <c r="A164" s="830">
        <v>164</v>
      </c>
      <c r="B164" s="1181"/>
      <c r="C164" s="850" t="s">
        <v>3042</v>
      </c>
      <c r="D164" s="928">
        <v>-4434.99</v>
      </c>
      <c r="E164" s="928">
        <f t="shared" ref="E164:P164" si="65">D164+E163</f>
        <v>-4452.6099999999997</v>
      </c>
      <c r="F164" s="928">
        <f t="shared" si="65"/>
        <v>-4472.2</v>
      </c>
      <c r="G164" s="928">
        <f t="shared" si="65"/>
        <v>-4492.2299999999996</v>
      </c>
      <c r="H164" s="928">
        <f t="shared" si="65"/>
        <v>-4513.0199999999995</v>
      </c>
      <c r="I164" s="928">
        <f t="shared" si="65"/>
        <v>-4533.24</v>
      </c>
      <c r="J164" s="928">
        <f t="shared" si="65"/>
        <v>-4554.42</v>
      </c>
      <c r="K164" s="928">
        <f t="shared" si="65"/>
        <v>-4575.6900000000005</v>
      </c>
      <c r="L164" s="928">
        <f t="shared" si="65"/>
        <v>-4596.3700000000008</v>
      </c>
      <c r="M164" s="928">
        <f t="shared" si="65"/>
        <v>-4617.5300000000007</v>
      </c>
      <c r="N164" s="928">
        <f t="shared" si="65"/>
        <v>0</v>
      </c>
      <c r="O164" s="928">
        <f t="shared" si="65"/>
        <v>0</v>
      </c>
      <c r="P164" s="1191">
        <f t="shared" si="65"/>
        <v>0</v>
      </c>
      <c r="R164" s="1172"/>
    </row>
    <row r="165" spans="1:31" ht="15" thickBot="1">
      <c r="A165" s="830">
        <v>165</v>
      </c>
      <c r="B165" s="1218"/>
      <c r="C165" s="1163"/>
      <c r="D165" s="1163"/>
      <c r="E165" s="1163"/>
      <c r="F165" s="1219"/>
      <c r="G165" s="1163"/>
      <c r="H165" s="1163"/>
      <c r="I165" s="1163"/>
      <c r="J165" s="1163"/>
      <c r="K165" s="1163"/>
      <c r="L165" s="1163"/>
      <c r="M165" s="1163"/>
      <c r="N165" s="1163"/>
      <c r="O165" s="1163"/>
      <c r="P165" s="1220"/>
      <c r="Q165" s="1220"/>
      <c r="R165" s="1221"/>
    </row>
    <row r="166" spans="1:31">
      <c r="A166" s="830">
        <v>166</v>
      </c>
      <c r="F166" s="1200"/>
    </row>
    <row r="167" spans="1:31" ht="28.8">
      <c r="A167" s="830">
        <v>167</v>
      </c>
      <c r="C167" s="850" t="s">
        <v>3081</v>
      </c>
      <c r="D167" s="928">
        <f t="shared" ref="D167:L168" si="66">D13+D25+D63+D75+D38+D131+D51+D106+D116+D146+D161</f>
        <v>-843959.23</v>
      </c>
      <c r="E167" s="928">
        <f t="shared" si="66"/>
        <v>3745264.0199999996</v>
      </c>
      <c r="F167" s="928">
        <f t="shared" si="66"/>
        <v>1400603.7000000011</v>
      </c>
      <c r="G167" s="928">
        <f t="shared" si="66"/>
        <v>-412427.72</v>
      </c>
      <c r="H167" s="928">
        <f t="shared" si="66"/>
        <v>54642.650000000052</v>
      </c>
      <c r="I167" s="928">
        <f t="shared" si="66"/>
        <v>-42807.880000000179</v>
      </c>
      <c r="J167" s="928">
        <f t="shared" si="66"/>
        <v>172084.5999999998</v>
      </c>
      <c r="K167" s="928">
        <f t="shared" si="66"/>
        <v>-273699.82999999996</v>
      </c>
      <c r="L167" s="928">
        <f t="shared" si="66"/>
        <v>344893.05</v>
      </c>
      <c r="M167" s="928">
        <f>M13+M25+M63+M75+M91+M38+M131+M51+M106+M116+M146+M161</f>
        <v>959061.61999999965</v>
      </c>
      <c r="N167" s="928">
        <f>N13+N25+N63+N75+N38+N131+N51+N106+N116+N146+N161</f>
        <v>1013703.1200000023</v>
      </c>
      <c r="O167" s="928">
        <f>O13+O25+O63+O75+O91+O38+O131+O51+O106+O116+O146+O161</f>
        <v>153107.62000000037</v>
      </c>
      <c r="P167" s="928">
        <f>P13+P25+P63+P75+P91+P38+P131+P51+P106+P116+P146+P161</f>
        <v>-1034787.4900000007</v>
      </c>
      <c r="R167" s="928">
        <f>R13+R25+R75+R91+R38+R131+R51+R106+R116+R146+R161+R63</f>
        <v>4221975.1099999994</v>
      </c>
      <c r="T167" s="1200"/>
      <c r="AD167" s="928">
        <f>SUM(AD18:AD166)</f>
        <v>338287.40000000066</v>
      </c>
      <c r="AE167" s="1222" t="s">
        <v>3082</v>
      </c>
    </row>
    <row r="168" spans="1:31">
      <c r="A168" s="830">
        <v>168</v>
      </c>
      <c r="C168" s="850" t="s">
        <v>3083</v>
      </c>
      <c r="D168" s="928">
        <f t="shared" si="66"/>
        <v>-4459.76</v>
      </c>
      <c r="E168" s="928">
        <f t="shared" si="66"/>
        <v>-7399.5199999999995</v>
      </c>
      <c r="F168" s="928">
        <f t="shared" si="66"/>
        <v>8252.23</v>
      </c>
      <c r="G168" s="928">
        <f t="shared" si="66"/>
        <v>14713.219999999998</v>
      </c>
      <c r="H168" s="928">
        <f t="shared" si="66"/>
        <v>13362.699999999997</v>
      </c>
      <c r="I168" s="928">
        <f t="shared" si="66"/>
        <v>13236.270000000002</v>
      </c>
      <c r="J168" s="928">
        <f t="shared" si="66"/>
        <v>13664.819999999996</v>
      </c>
      <c r="K168" s="928">
        <f t="shared" si="66"/>
        <v>14532.529999999997</v>
      </c>
      <c r="L168" s="928">
        <f t="shared" si="66"/>
        <v>12892.16</v>
      </c>
      <c r="M168" s="928">
        <f>M14+M26+M64+M76+M92+M39+M132+M52+M107+M117+M147+M162</f>
        <v>14775.110000000002</v>
      </c>
      <c r="N168" s="928">
        <f>N14+N26+N64+N76+N39+N132+N52+N107+N117+N147+N162</f>
        <v>46368.350000000006</v>
      </c>
      <c r="O168" s="928">
        <f>O14+O26+O64+O76+O92+O39+O132+O52+O107+O117+O147+O162</f>
        <v>23359.139999999996</v>
      </c>
      <c r="P168" s="928">
        <f>P14+P26+P64+P76+P92+P39+P132+P52+P107+P117+P147+P162</f>
        <v>24950.11</v>
      </c>
      <c r="R168" s="1183">
        <f>R14+R26+R76+R92+R39+R132+R52+R107+R117+R147+R162+R64</f>
        <v>188247.36</v>
      </c>
      <c r="T168" s="1200"/>
    </row>
    <row r="169" spans="1:31">
      <c r="A169" s="830">
        <v>169</v>
      </c>
      <c r="C169" s="850" t="s">
        <v>3042</v>
      </c>
      <c r="D169" s="928">
        <v>-1862122.1600000039</v>
      </c>
      <c r="E169" s="928">
        <f t="shared" ref="E169:P169" si="67">SUM(E167:E168)+D169</f>
        <v>1875742.3399999957</v>
      </c>
      <c r="F169" s="928">
        <f t="shared" si="67"/>
        <v>3284598.2699999968</v>
      </c>
      <c r="G169" s="928">
        <f t="shared" si="67"/>
        <v>2886883.7699999968</v>
      </c>
      <c r="H169" s="928">
        <f t="shared" si="67"/>
        <v>2954889.1199999969</v>
      </c>
      <c r="I169" s="928">
        <f t="shared" si="67"/>
        <v>2925317.5099999965</v>
      </c>
      <c r="J169" s="928">
        <f t="shared" si="67"/>
        <v>3111066.9299999964</v>
      </c>
      <c r="K169" s="928">
        <f t="shared" si="67"/>
        <v>2851899.6299999966</v>
      </c>
      <c r="L169" s="928">
        <f t="shared" si="67"/>
        <v>3209684.8399999966</v>
      </c>
      <c r="M169" s="928">
        <f t="shared" si="67"/>
        <v>4183521.5699999961</v>
      </c>
      <c r="N169" s="928">
        <f t="shared" si="67"/>
        <v>5243593.0399999982</v>
      </c>
      <c r="O169" s="928">
        <f t="shared" si="67"/>
        <v>5420059.7999999989</v>
      </c>
      <c r="P169" s="928">
        <f t="shared" si="67"/>
        <v>4410222.4199999981</v>
      </c>
      <c r="R169" s="1200">
        <f>SUM(R167:R168)</f>
        <v>4410222.47</v>
      </c>
      <c r="T169" s="1200"/>
    </row>
    <row r="170" spans="1:31">
      <c r="A170" s="830">
        <v>170</v>
      </c>
      <c r="C170" s="850"/>
      <c r="E170" s="928"/>
      <c r="F170" s="928"/>
      <c r="G170" s="928"/>
      <c r="H170" s="928"/>
      <c r="I170" s="928"/>
      <c r="J170" s="928"/>
      <c r="K170" s="928"/>
      <c r="L170" s="928"/>
      <c r="M170" s="928"/>
      <c r="N170" s="928"/>
      <c r="O170" s="928"/>
      <c r="P170" s="928"/>
    </row>
    <row r="171" spans="1:31" ht="15" thickBot="1">
      <c r="A171" s="830">
        <v>171</v>
      </c>
      <c r="B171" s="1223"/>
      <c r="F171" s="1200"/>
      <c r="N171" s="830" t="s">
        <v>3027</v>
      </c>
    </row>
    <row r="172" spans="1:31" ht="15.6">
      <c r="A172" s="830">
        <v>172</v>
      </c>
      <c r="B172" s="1223" t="s">
        <v>3084</v>
      </c>
      <c r="C172" s="1224"/>
      <c r="D172" s="1225" t="s">
        <v>2950</v>
      </c>
      <c r="E172" s="1226" t="s">
        <v>2951</v>
      </c>
      <c r="F172" s="1226" t="s">
        <v>2952</v>
      </c>
      <c r="G172" s="1226" t="s">
        <v>2953</v>
      </c>
      <c r="H172" s="1226" t="s">
        <v>2520</v>
      </c>
      <c r="I172" s="1226" t="s">
        <v>2954</v>
      </c>
      <c r="J172" s="1226" t="s">
        <v>2955</v>
      </c>
      <c r="K172" s="1226" t="s">
        <v>3085</v>
      </c>
      <c r="L172" s="1226" t="s">
        <v>2957</v>
      </c>
      <c r="M172" s="1226" t="s">
        <v>2958</v>
      </c>
      <c r="N172" s="1227" t="s">
        <v>3027</v>
      </c>
      <c r="O172" s="1226" t="s">
        <v>2959</v>
      </c>
      <c r="P172" s="1226" t="s">
        <v>2960</v>
      </c>
    </row>
    <row r="173" spans="1:31" ht="15.6">
      <c r="A173" s="830">
        <v>173</v>
      </c>
      <c r="B173" s="1228" t="s">
        <v>3086</v>
      </c>
      <c r="C173" s="1229" t="s">
        <v>3087</v>
      </c>
      <c r="D173" s="1230">
        <f t="shared" ref="D173:P173" si="68">-D167</f>
        <v>843959.23</v>
      </c>
      <c r="E173" s="1230">
        <f t="shared" si="68"/>
        <v>-3745264.0199999996</v>
      </c>
      <c r="F173" s="1230">
        <f t="shared" si="68"/>
        <v>-1400603.7000000011</v>
      </c>
      <c r="G173" s="1230">
        <f t="shared" si="68"/>
        <v>412427.72</v>
      </c>
      <c r="H173" s="1230">
        <f t="shared" si="68"/>
        <v>-54642.650000000052</v>
      </c>
      <c r="I173" s="1230">
        <f t="shared" si="68"/>
        <v>42807.880000000179</v>
      </c>
      <c r="J173" s="1230">
        <f t="shared" si="68"/>
        <v>-172084.5999999998</v>
      </c>
      <c r="K173" s="1230">
        <f t="shared" si="68"/>
        <v>273699.82999999996</v>
      </c>
      <c r="L173" s="1230">
        <f t="shared" si="68"/>
        <v>-344893.05</v>
      </c>
      <c r="M173" s="1230">
        <f t="shared" si="68"/>
        <v>-959061.61999999965</v>
      </c>
      <c r="N173" s="1230">
        <f t="shared" si="68"/>
        <v>-1013703.1200000023</v>
      </c>
      <c r="O173" s="1230">
        <f t="shared" si="68"/>
        <v>-153107.62000000037</v>
      </c>
      <c r="P173" s="1230">
        <f t="shared" si="68"/>
        <v>1034787.4900000007</v>
      </c>
      <c r="S173" s="1200">
        <f t="shared" ref="S173:S178" si="69">SUM(D173:L173)</f>
        <v>-4144593.3599999994</v>
      </c>
    </row>
    <row r="174" spans="1:31" ht="15.6">
      <c r="A174" s="830">
        <v>174</v>
      </c>
      <c r="B174" s="1231" t="s">
        <v>3088</v>
      </c>
      <c r="C174" s="1232" t="s">
        <v>3089</v>
      </c>
      <c r="D174" s="1230">
        <f t="shared" ref="D174:P174" si="70">D13+D25</f>
        <v>-506033.05999999959</v>
      </c>
      <c r="E174" s="1230">
        <f t="shared" si="70"/>
        <v>2341075.2800000003</v>
      </c>
      <c r="F174" s="1230">
        <f t="shared" si="70"/>
        <v>534499.82000000076</v>
      </c>
      <c r="G174" s="1230">
        <f t="shared" si="70"/>
        <v>-501222.68999999994</v>
      </c>
      <c r="H174" s="1230">
        <f t="shared" si="70"/>
        <v>4168.8400000000838</v>
      </c>
      <c r="I174" s="1230">
        <f t="shared" si="70"/>
        <v>-104941.75000000012</v>
      </c>
      <c r="J174" s="1230">
        <f t="shared" si="70"/>
        <v>39684.14999999979</v>
      </c>
      <c r="K174" s="1230">
        <f t="shared" si="70"/>
        <v>-172900.07999999996</v>
      </c>
      <c r="L174" s="1230">
        <f t="shared" si="70"/>
        <v>177401.85000000009</v>
      </c>
      <c r="M174" s="1230">
        <f t="shared" si="70"/>
        <v>522468.1799999997</v>
      </c>
      <c r="N174" s="1230">
        <f t="shared" si="70"/>
        <v>1436041.1500000013</v>
      </c>
      <c r="O174" s="1230">
        <f t="shared" si="70"/>
        <v>-323885.79999999981</v>
      </c>
      <c r="P174" s="1230">
        <f t="shared" si="70"/>
        <v>-812396.77000000048</v>
      </c>
      <c r="S174" s="1200">
        <f t="shared" si="69"/>
        <v>1811732.3600000013</v>
      </c>
    </row>
    <row r="175" spans="1:31" ht="15.6">
      <c r="A175" s="830">
        <v>175</v>
      </c>
      <c r="B175" s="1231" t="s">
        <v>3090</v>
      </c>
      <c r="C175" s="1232" t="s">
        <v>3091</v>
      </c>
      <c r="D175" s="1230">
        <f t="shared" ref="D175:P175" si="71">D38+D51</f>
        <v>-11142.349999999991</v>
      </c>
      <c r="E175" s="1230">
        <f t="shared" si="71"/>
        <v>53282.219999999987</v>
      </c>
      <c r="F175" s="1230">
        <f t="shared" si="71"/>
        <v>88538.790000000008</v>
      </c>
      <c r="G175" s="1230">
        <f t="shared" si="71"/>
        <v>82505.339999999982</v>
      </c>
      <c r="H175" s="1230">
        <f t="shared" si="71"/>
        <v>41064.989999999991</v>
      </c>
      <c r="I175" s="1230">
        <f t="shared" si="71"/>
        <v>16856.650000000005</v>
      </c>
      <c r="J175" s="1230">
        <f t="shared" si="71"/>
        <v>33887.660000000003</v>
      </c>
      <c r="K175" s="1230">
        <f t="shared" si="71"/>
        <v>33010.820000000007</v>
      </c>
      <c r="L175" s="1230">
        <f t="shared" si="71"/>
        <v>21230.270000000004</v>
      </c>
      <c r="M175" s="1230">
        <f t="shared" si="71"/>
        <v>51035.53</v>
      </c>
      <c r="N175" s="1230">
        <f t="shared" si="71"/>
        <v>-253139.8600000001</v>
      </c>
      <c r="O175" s="1230">
        <f t="shared" si="71"/>
        <v>58956.209999999992</v>
      </c>
      <c r="P175" s="1230">
        <f t="shared" si="71"/>
        <v>19971.32999999998</v>
      </c>
      <c r="S175" s="1200">
        <f t="shared" si="69"/>
        <v>359234.39000000007</v>
      </c>
    </row>
    <row r="176" spans="1:31" ht="15.6">
      <c r="A176" s="830">
        <v>176</v>
      </c>
      <c r="B176" s="1231" t="s">
        <v>3092</v>
      </c>
      <c r="C176" s="1232" t="s">
        <v>3093</v>
      </c>
      <c r="D176" s="1230">
        <f t="shared" ref="D176:L176" si="72">D63+D75+D106+D116</f>
        <v>-320152.02000000048</v>
      </c>
      <c r="E176" s="1230">
        <f t="shared" si="72"/>
        <v>1357207.3199999996</v>
      </c>
      <c r="F176" s="1230">
        <f t="shared" si="72"/>
        <v>779274.98000000021</v>
      </c>
      <c r="G176" s="1230">
        <f t="shared" si="72"/>
        <v>9933.0900000000274</v>
      </c>
      <c r="H176" s="1230">
        <f t="shared" si="72"/>
        <v>11019.429999999968</v>
      </c>
      <c r="I176" s="1230">
        <f t="shared" si="72"/>
        <v>46516.539999999928</v>
      </c>
      <c r="J176" s="1230">
        <f t="shared" si="72"/>
        <v>97857.640000000014</v>
      </c>
      <c r="K176" s="1230">
        <f t="shared" si="72"/>
        <v>-131224.41000000003</v>
      </c>
      <c r="L176" s="1230">
        <f t="shared" si="72"/>
        <v>146272.55999999988</v>
      </c>
      <c r="M176" s="1230">
        <f>M63+M75+M91+M106+M116</f>
        <v>382087.79</v>
      </c>
      <c r="N176" s="1230">
        <f>N63+N75+N106+N116</f>
        <v>-211665.60999999897</v>
      </c>
      <c r="O176" s="1230">
        <f>O63+O75+O91+O106+O116</f>
        <v>419415.68000000017</v>
      </c>
      <c r="P176" s="1230">
        <f>P63+P75+P91+P106+P116</f>
        <v>-239932.87000000011</v>
      </c>
      <c r="S176" s="1200">
        <f t="shared" si="69"/>
        <v>1996705.1299999992</v>
      </c>
    </row>
    <row r="177" spans="1:19" ht="15.6">
      <c r="A177" s="830">
        <v>177</v>
      </c>
      <c r="B177" s="1231" t="s">
        <v>3094</v>
      </c>
      <c r="C177" s="1232" t="s">
        <v>3095</v>
      </c>
      <c r="D177" s="1230">
        <f t="shared" ref="D177:P177" si="73">D131</f>
        <v>-496.98</v>
      </c>
      <c r="E177" s="1230">
        <f t="shared" si="73"/>
        <v>-423.12</v>
      </c>
      <c r="F177" s="1230">
        <f t="shared" si="73"/>
        <v>-397.9</v>
      </c>
      <c r="G177" s="1230">
        <f t="shared" si="73"/>
        <v>-266.26</v>
      </c>
      <c r="H177" s="1230">
        <f t="shared" si="73"/>
        <v>-183.26</v>
      </c>
      <c r="I177" s="1230">
        <f t="shared" si="73"/>
        <v>-189.53</v>
      </c>
      <c r="J177" s="1230">
        <f t="shared" si="73"/>
        <v>-123.4</v>
      </c>
      <c r="K177" s="1230">
        <f t="shared" si="73"/>
        <v>-161.43</v>
      </c>
      <c r="L177" s="1230">
        <f t="shared" si="73"/>
        <v>-136.32999999999998</v>
      </c>
      <c r="M177" s="1230">
        <f t="shared" si="73"/>
        <v>-374.04999999999995</v>
      </c>
      <c r="N177" s="1230">
        <f t="shared" si="73"/>
        <v>3548.04</v>
      </c>
      <c r="O177" s="1230">
        <f t="shared" si="73"/>
        <v>-220.37999999999997</v>
      </c>
      <c r="P177" s="1230">
        <f t="shared" si="73"/>
        <v>-383.84000000000003</v>
      </c>
      <c r="S177" s="1200">
        <f t="shared" si="69"/>
        <v>-2378.2099999999996</v>
      </c>
    </row>
    <row r="178" spans="1:19" ht="15.6">
      <c r="A178" s="830">
        <v>178</v>
      </c>
      <c r="B178" s="1233" t="s">
        <v>3096</v>
      </c>
      <c r="C178" s="1234" t="s">
        <v>3097</v>
      </c>
      <c r="D178" s="1235">
        <f t="shared" ref="D178:P178" si="74">D146+D161</f>
        <v>-6134.82</v>
      </c>
      <c r="E178" s="1235">
        <f t="shared" si="74"/>
        <v>-5877.68</v>
      </c>
      <c r="F178" s="1235">
        <f t="shared" si="74"/>
        <v>-1311.9900000000016</v>
      </c>
      <c r="G178" s="1235">
        <f t="shared" si="74"/>
        <v>-3377.2000000000007</v>
      </c>
      <c r="H178" s="1235">
        <f t="shared" si="74"/>
        <v>-1427.3499999999967</v>
      </c>
      <c r="I178" s="1235">
        <f t="shared" si="74"/>
        <v>-1049.7900000000027</v>
      </c>
      <c r="J178" s="1235">
        <f t="shared" si="74"/>
        <v>778.55000000000109</v>
      </c>
      <c r="K178" s="1235">
        <f t="shared" si="74"/>
        <v>-2424.7300000000005</v>
      </c>
      <c r="L178" s="1235">
        <f t="shared" si="74"/>
        <v>124.69999999999891</v>
      </c>
      <c r="M178" s="1235">
        <f t="shared" si="74"/>
        <v>3844.17</v>
      </c>
      <c r="N178" s="1235">
        <f t="shared" si="74"/>
        <v>38919.4</v>
      </c>
      <c r="O178" s="1235">
        <f t="shared" si="74"/>
        <v>-1158.0900000000001</v>
      </c>
      <c r="P178" s="1235">
        <f t="shared" si="74"/>
        <v>-2045.3399999999983</v>
      </c>
      <c r="S178" s="1200">
        <f t="shared" si="69"/>
        <v>-20700.309999999998</v>
      </c>
    </row>
    <row r="179" spans="1:19" ht="16.5" customHeight="1" thickBot="1">
      <c r="A179" s="830">
        <v>179</v>
      </c>
      <c r="L179" s="852" t="s">
        <v>3098</v>
      </c>
      <c r="M179" s="852" t="s">
        <v>3098</v>
      </c>
      <c r="O179" s="852" t="s">
        <v>3098</v>
      </c>
    </row>
    <row r="180" spans="1:19" ht="15.6">
      <c r="A180" s="830">
        <v>180</v>
      </c>
      <c r="E180" s="928"/>
      <c r="F180" s="928"/>
      <c r="G180" s="928"/>
      <c r="H180" s="928"/>
      <c r="I180" s="928"/>
      <c r="J180" s="928"/>
      <c r="K180" s="928"/>
      <c r="L180" s="1236">
        <v>43709</v>
      </c>
      <c r="M180" s="1236">
        <v>43739</v>
      </c>
      <c r="O180" s="1236">
        <v>43739</v>
      </c>
    </row>
    <row r="181" spans="1:19">
      <c r="A181" s="830">
        <v>181</v>
      </c>
      <c r="D181" s="1200"/>
      <c r="E181" s="1200"/>
      <c r="F181" s="1200"/>
      <c r="G181" s="1200"/>
      <c r="H181" s="1200"/>
      <c r="I181" s="1200"/>
      <c r="J181" s="1200"/>
      <c r="K181" s="1200"/>
      <c r="L181" s="1230">
        <v>-346148.82999999996</v>
      </c>
      <c r="M181" s="1230">
        <v>-937908.65999999957</v>
      </c>
      <c r="O181" s="1230">
        <v>-7744.9900000005691</v>
      </c>
    </row>
    <row r="182" spans="1:19">
      <c r="A182" s="830">
        <v>182</v>
      </c>
      <c r="L182" s="1230">
        <v>177401.85000000009</v>
      </c>
      <c r="M182" s="1230">
        <v>522468.1799999997</v>
      </c>
      <c r="O182" s="1230">
        <v>-323885.79999999981</v>
      </c>
    </row>
    <row r="183" spans="1:19">
      <c r="A183" s="830">
        <v>183</v>
      </c>
      <c r="L183" s="1230">
        <v>21230.270000000004</v>
      </c>
      <c r="M183" s="1230">
        <v>51035.53</v>
      </c>
      <c r="O183" s="1230">
        <v>58956.209999999992</v>
      </c>
    </row>
    <row r="184" spans="1:19">
      <c r="A184" s="830">
        <v>184</v>
      </c>
      <c r="E184" s="1200"/>
      <c r="F184" s="1200"/>
      <c r="G184" s="1200"/>
      <c r="H184" s="1200"/>
      <c r="I184" s="1200"/>
      <c r="J184" s="1200"/>
      <c r="K184" s="1200"/>
      <c r="L184" s="1230">
        <v>146272.55999999988</v>
      </c>
      <c r="M184" s="1230">
        <v>382087.79</v>
      </c>
      <c r="O184" s="1230">
        <v>274053.0500000004</v>
      </c>
    </row>
    <row r="185" spans="1:19">
      <c r="A185" s="830">
        <v>185</v>
      </c>
      <c r="L185" s="1230">
        <v>-136.32999999999998</v>
      </c>
      <c r="M185" s="1230">
        <v>-374.04999999999995</v>
      </c>
      <c r="O185" s="1230">
        <v>-220.37999999999997</v>
      </c>
    </row>
    <row r="186" spans="1:19">
      <c r="A186" s="830">
        <v>186</v>
      </c>
      <c r="L186" s="1235">
        <v>1380.4800000000014</v>
      </c>
      <c r="M186" s="1235">
        <v>-17308.79</v>
      </c>
      <c r="O186" s="1235">
        <v>-1158.0900000000001</v>
      </c>
    </row>
    <row r="187" spans="1:19">
      <c r="A187" s="830">
        <v>187</v>
      </c>
    </row>
    <row r="188" spans="1:19" ht="15" thickBot="1">
      <c r="A188" s="830">
        <v>188</v>
      </c>
      <c r="L188" s="852" t="s">
        <v>3099</v>
      </c>
      <c r="M188" s="852" t="s">
        <v>3099</v>
      </c>
      <c r="O188" s="852" t="s">
        <v>3099</v>
      </c>
    </row>
    <row r="189" spans="1:19" ht="15.6">
      <c r="A189" s="830">
        <v>189</v>
      </c>
      <c r="L189" s="1236">
        <v>43709</v>
      </c>
      <c r="M189" s="1236">
        <v>43739</v>
      </c>
      <c r="O189" s="1236">
        <v>43739</v>
      </c>
    </row>
    <row r="190" spans="1:19" ht="15.6">
      <c r="A190" s="830">
        <v>190</v>
      </c>
      <c r="B190" s="1228" t="s">
        <v>3086</v>
      </c>
      <c r="C190" s="1229" t="s">
        <v>3087</v>
      </c>
      <c r="L190" s="1230">
        <f t="shared" ref="L190:M195" si="75">L173-L181</f>
        <v>1255.7799999999697</v>
      </c>
      <c r="M190" s="1230">
        <f t="shared" si="75"/>
        <v>-21152.960000000079</v>
      </c>
      <c r="O190" s="1230">
        <f t="shared" ref="O190:O195" si="76">O173-O181</f>
        <v>-145362.6299999998</v>
      </c>
    </row>
    <row r="191" spans="1:19" ht="15.6">
      <c r="A191" s="830">
        <v>191</v>
      </c>
      <c r="B191" s="1231" t="s">
        <v>3088</v>
      </c>
      <c r="C191" s="1232" t="s">
        <v>3089</v>
      </c>
      <c r="L191" s="1230">
        <f t="shared" si="75"/>
        <v>0</v>
      </c>
      <c r="M191" s="1230">
        <f t="shared" si="75"/>
        <v>0</v>
      </c>
      <c r="O191" s="1230">
        <f t="shared" si="76"/>
        <v>0</v>
      </c>
    </row>
    <row r="192" spans="1:19" ht="15.6">
      <c r="A192" s="830">
        <v>192</v>
      </c>
      <c r="B192" s="1231" t="s">
        <v>3090</v>
      </c>
      <c r="C192" s="1232" t="s">
        <v>3091</v>
      </c>
      <c r="L192" s="1230">
        <f t="shared" si="75"/>
        <v>0</v>
      </c>
      <c r="M192" s="1230">
        <f t="shared" si="75"/>
        <v>0</v>
      </c>
      <c r="O192" s="1230">
        <f t="shared" si="76"/>
        <v>0</v>
      </c>
    </row>
    <row r="193" spans="1:15" ht="15.6">
      <c r="A193" s="830">
        <v>193</v>
      </c>
      <c r="B193" s="1231" t="s">
        <v>3092</v>
      </c>
      <c r="C193" s="1232" t="s">
        <v>3093</v>
      </c>
      <c r="L193" s="1230">
        <f t="shared" si="75"/>
        <v>0</v>
      </c>
      <c r="M193" s="1230">
        <f t="shared" si="75"/>
        <v>0</v>
      </c>
      <c r="O193" s="1230">
        <f t="shared" si="76"/>
        <v>145362.62999999977</v>
      </c>
    </row>
    <row r="194" spans="1:15" ht="15.6">
      <c r="A194" s="830">
        <v>194</v>
      </c>
      <c r="B194" s="1231" t="s">
        <v>3094</v>
      </c>
      <c r="C194" s="1232" t="s">
        <v>3095</v>
      </c>
      <c r="L194" s="1230">
        <f t="shared" si="75"/>
        <v>0</v>
      </c>
      <c r="M194" s="1230">
        <f t="shared" si="75"/>
        <v>0</v>
      </c>
      <c r="O194" s="1230">
        <f t="shared" si="76"/>
        <v>0</v>
      </c>
    </row>
    <row r="195" spans="1:15" ht="15.6">
      <c r="A195" s="830">
        <v>195</v>
      </c>
      <c r="B195" s="1233" t="s">
        <v>3096</v>
      </c>
      <c r="C195" s="1234" t="s">
        <v>3097</v>
      </c>
      <c r="L195" s="1235">
        <f t="shared" si="75"/>
        <v>-1255.7800000000025</v>
      </c>
      <c r="M195" s="1235">
        <f t="shared" si="75"/>
        <v>21152.959999999999</v>
      </c>
      <c r="O195" s="1235">
        <f t="shared" si="76"/>
        <v>0</v>
      </c>
    </row>
    <row r="196" spans="1:15">
      <c r="A196" s="830">
        <v>196</v>
      </c>
    </row>
    <row r="197" spans="1:15">
      <c r="A197" s="830">
        <v>197</v>
      </c>
    </row>
    <row r="198" spans="1:15">
      <c r="A198" s="830">
        <v>198</v>
      </c>
      <c r="D198" s="928"/>
      <c r="E198" s="928"/>
      <c r="F198" s="928"/>
      <c r="G198" s="928"/>
    </row>
    <row r="199" spans="1:15">
      <c r="A199" s="830">
        <v>199</v>
      </c>
      <c r="D199" s="928"/>
      <c r="E199" s="928"/>
      <c r="F199" s="928"/>
      <c r="G199" s="928"/>
    </row>
    <row r="200" spans="1:15">
      <c r="A200" s="830">
        <v>200</v>
      </c>
      <c r="D200" s="928"/>
      <c r="E200" s="928"/>
      <c r="F200" s="928"/>
      <c r="G200" s="928"/>
    </row>
    <row r="201" spans="1:15">
      <c r="D201" s="928"/>
      <c r="E201" s="928"/>
      <c r="F201" s="928"/>
      <c r="G201" s="928"/>
    </row>
  </sheetData>
  <mergeCells count="3">
    <mergeCell ref="B2:P2"/>
    <mergeCell ref="B3:P3"/>
    <mergeCell ref="B4:P4"/>
  </mergeCells>
  <hyperlinks>
    <hyperlink ref="T6" r:id="rId1" xr:uid="{CDFACE2B-4C3F-43E9-8F74-A5E17B54D2A3}"/>
  </hyperlinks>
  <pageMargins left="0.25" right="0.25" top="1" bottom="0.25" header="0.3" footer="0.3"/>
  <pageSetup scale="28" fitToHeight="3" orientation="landscape" r:id="rId2"/>
  <headerFooter scaleWithDoc="0">
    <oddHeader>&amp;CCascade Natural Gas Corporation
WACAP 2019
IDM WP-1.6&amp;RPage &amp;P of &amp;N</oddHeader>
    <oddFooter>&amp;L&amp;A</oddFooter>
  </headerFooter>
  <rowBreaks count="2" manualBreakCount="2">
    <brk id="78" max="31" man="1"/>
    <brk id="170" max="31" man="1"/>
  </rowBreak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84CD9-2758-4554-BE06-0FD0F76D199F}">
  <sheetPr codeName="Sheet57">
    <tabColor theme="8" tint="0.79998168889431442"/>
  </sheetPr>
  <dimension ref="A1:AG32"/>
  <sheetViews>
    <sheetView zoomScale="80" zoomScaleNormal="80" workbookViewId="0">
      <selection activeCell="A32" sqref="A32"/>
    </sheetView>
  </sheetViews>
  <sheetFormatPr defaultColWidth="8.88671875" defaultRowHeight="14.4"/>
  <cols>
    <col min="1" max="1" width="8.88671875" style="613"/>
    <col min="2" max="2" width="10.88671875" style="613" customWidth="1"/>
    <col min="3" max="3" width="13.33203125" style="613" customWidth="1"/>
    <col min="4" max="4" width="10.44140625" style="613" customWidth="1"/>
    <col min="5" max="5" width="7.5546875" style="613" customWidth="1"/>
    <col min="6" max="6" width="8.33203125" style="613" bestFit="1" customWidth="1"/>
    <col min="7" max="7" width="11.109375" style="613" bestFit="1" customWidth="1"/>
    <col min="8" max="8" width="9.33203125" style="613" customWidth="1"/>
    <col min="9" max="9" width="6.44140625" style="613" customWidth="1"/>
    <col min="10" max="10" width="5.109375" style="613" bestFit="1" customWidth="1"/>
    <col min="11" max="11" width="8.88671875" style="613"/>
    <col min="12" max="12" width="9.5546875" style="613" bestFit="1" customWidth="1"/>
    <col min="13" max="13" width="11.109375" style="613" bestFit="1" customWidth="1"/>
    <col min="14" max="14" width="10.109375" style="613" bestFit="1" customWidth="1"/>
    <col min="15" max="17" width="9" style="613" bestFit="1" customWidth="1"/>
    <col min="18" max="18" width="11.109375" style="613" bestFit="1" customWidth="1"/>
    <col min="19" max="16384" width="8.88671875" style="613"/>
  </cols>
  <sheetData>
    <row r="1" spans="1:33" s="583" customFormat="1">
      <c r="A1" s="583" t="s">
        <v>778</v>
      </c>
      <c r="B1" s="583" t="s">
        <v>776</v>
      </c>
      <c r="C1" s="583" t="s">
        <v>777</v>
      </c>
      <c r="D1" s="583" t="s">
        <v>780</v>
      </c>
      <c r="E1" s="583" t="s">
        <v>781</v>
      </c>
      <c r="F1" s="583" t="s">
        <v>782</v>
      </c>
      <c r="G1" s="583" t="s">
        <v>783</v>
      </c>
      <c r="H1" s="583" t="s">
        <v>784</v>
      </c>
      <c r="I1" s="583" t="s">
        <v>785</v>
      </c>
      <c r="J1" s="583" t="s">
        <v>786</v>
      </c>
      <c r="K1" s="583" t="s">
        <v>787</v>
      </c>
      <c r="L1" s="583" t="s">
        <v>788</v>
      </c>
      <c r="M1" s="583" t="s">
        <v>789</v>
      </c>
      <c r="N1" s="583" t="s">
        <v>790</v>
      </c>
      <c r="O1" s="583" t="s">
        <v>791</v>
      </c>
      <c r="P1" s="583" t="s">
        <v>995</v>
      </c>
      <c r="Q1" s="583" t="s">
        <v>996</v>
      </c>
    </row>
    <row r="2" spans="1:33" s="583" customFormat="1">
      <c r="B2" s="819" t="s">
        <v>3100</v>
      </c>
    </row>
    <row r="3" spans="1:33" s="583" customFormat="1">
      <c r="A3" s="824">
        <v>1</v>
      </c>
      <c r="B3" s="1849" t="s">
        <v>3101</v>
      </c>
      <c r="C3" s="1849"/>
      <c r="D3" s="1849"/>
      <c r="E3" s="1849"/>
      <c r="F3" s="1849"/>
      <c r="G3" s="1849"/>
      <c r="H3" s="1849"/>
      <c r="I3" s="1849"/>
      <c r="L3" s="1849" t="s">
        <v>3102</v>
      </c>
      <c r="M3" s="1849"/>
      <c r="N3" s="1849"/>
      <c r="O3" s="1849"/>
      <c r="P3" s="1849"/>
      <c r="Q3" s="1849"/>
    </row>
    <row r="4" spans="1:33">
      <c r="A4" s="613">
        <v>2</v>
      </c>
      <c r="B4" s="1849" t="s">
        <v>3103</v>
      </c>
      <c r="C4" s="1849"/>
      <c r="D4" s="1849"/>
      <c r="E4" s="1849"/>
      <c r="F4" s="1849"/>
      <c r="G4" s="1849"/>
      <c r="H4" s="1849"/>
      <c r="I4" s="1849"/>
      <c r="L4" s="1849" t="s">
        <v>3104</v>
      </c>
      <c r="M4" s="1849"/>
      <c r="N4" s="1849"/>
      <c r="O4" s="1849"/>
      <c r="P4" s="1849"/>
      <c r="Q4" s="1849"/>
      <c r="U4" s="1849" t="s">
        <v>3268</v>
      </c>
      <c r="V4" s="1849"/>
      <c r="W4" s="1849"/>
      <c r="X4" s="1849"/>
      <c r="Y4" s="1849"/>
      <c r="Z4" s="1849"/>
      <c r="AA4" s="1849"/>
      <c r="AB4" s="1849"/>
    </row>
    <row r="5" spans="1:33">
      <c r="A5" s="824">
        <v>3</v>
      </c>
      <c r="C5" s="583">
        <v>503</v>
      </c>
      <c r="D5" s="583">
        <v>504</v>
      </c>
      <c r="E5" s="583">
        <v>505</v>
      </c>
      <c r="F5" s="583" t="s">
        <v>3105</v>
      </c>
      <c r="G5" s="583" t="s">
        <v>3106</v>
      </c>
      <c r="H5" s="583" t="s">
        <v>3107</v>
      </c>
      <c r="I5" s="583">
        <v>570</v>
      </c>
      <c r="J5" s="583"/>
      <c r="M5" s="613" t="s">
        <v>3108</v>
      </c>
      <c r="N5" s="613" t="s">
        <v>3109</v>
      </c>
      <c r="O5" s="613" t="s">
        <v>3110</v>
      </c>
      <c r="P5" s="613" t="s">
        <v>3111</v>
      </c>
      <c r="Q5" s="613" t="s">
        <v>3112</v>
      </c>
      <c r="V5" s="1701">
        <v>503</v>
      </c>
      <c r="W5" s="1701">
        <v>504</v>
      </c>
      <c r="X5" s="1701">
        <v>505</v>
      </c>
      <c r="Y5" s="1701" t="s">
        <v>3105</v>
      </c>
      <c r="Z5" s="1701" t="s">
        <v>3106</v>
      </c>
      <c r="AA5" s="1701" t="s">
        <v>3107</v>
      </c>
      <c r="AB5" s="1701">
        <v>570</v>
      </c>
    </row>
    <row r="6" spans="1:33">
      <c r="A6" s="613">
        <v>4</v>
      </c>
      <c r="B6" s="1237">
        <v>43800</v>
      </c>
      <c r="C6" s="826">
        <f>'1501 Summary'!AB6</f>
        <v>195359</v>
      </c>
      <c r="D6" s="826">
        <f>'1501 Summary'!AB30+'1501 Summary'!AB49</f>
        <v>26843</v>
      </c>
      <c r="E6" s="826">
        <f>'1501 Summary'!AB101+'1501 Summary'!AB180</f>
        <v>488</v>
      </c>
      <c r="F6" s="826">
        <f>'1501 Summary'!AB128</f>
        <v>75</v>
      </c>
      <c r="G6" s="677">
        <v>0</v>
      </c>
      <c r="H6" s="826">
        <f>'1501 Summary'!AB154</f>
        <v>15</v>
      </c>
      <c r="I6" s="826">
        <f>'1501 Summary'!AB199</f>
        <v>8</v>
      </c>
      <c r="J6" s="905"/>
      <c r="L6" s="1237">
        <v>43800</v>
      </c>
      <c r="M6" s="826">
        <v>191757.3749</v>
      </c>
      <c r="N6" s="826">
        <v>26553.109805</v>
      </c>
      <c r="O6" s="826">
        <v>456</v>
      </c>
      <c r="P6" s="826">
        <v>86</v>
      </c>
      <c r="Q6" s="826">
        <v>8</v>
      </c>
      <c r="R6" s="1238"/>
      <c r="U6" s="1237">
        <v>43800</v>
      </c>
      <c r="V6" s="826">
        <v>195359</v>
      </c>
      <c r="W6" s="826">
        <v>26843</v>
      </c>
      <c r="X6" s="826">
        <v>488</v>
      </c>
      <c r="Y6" s="826">
        <v>75</v>
      </c>
      <c r="Z6" s="677">
        <v>0</v>
      </c>
      <c r="AA6" s="826">
        <v>15</v>
      </c>
      <c r="AB6" s="826">
        <v>8</v>
      </c>
      <c r="AD6" s="826">
        <f>SUM(V6:AC6)</f>
        <v>222788</v>
      </c>
    </row>
    <row r="7" spans="1:33">
      <c r="A7" s="824">
        <v>5</v>
      </c>
      <c r="B7" s="1237">
        <v>43831</v>
      </c>
      <c r="C7" s="826">
        <f>IF($S$21="Forecast", (M7/M6)*C6, V7)</f>
        <v>195639</v>
      </c>
      <c r="D7" s="826">
        <f t="shared" ref="D7:E17" si="0">IF($S$21="Forecast", (N7/N6)*D6, W7)</f>
        <v>26965</v>
      </c>
      <c r="E7" s="826">
        <f t="shared" si="0"/>
        <v>482</v>
      </c>
      <c r="F7" s="826">
        <f t="shared" ref="F7:F17" si="1">IF($S$21="Forecast", (P7/P6)*F6, Y7)</f>
        <v>77</v>
      </c>
      <c r="G7" s="826">
        <f>IF($S$21="Forecast", (P7/P6)*G6, Z7)</f>
        <v>7</v>
      </c>
      <c r="H7" s="826">
        <f>IF($S$21="Forecast", (P7/P6)*H6, AA7)</f>
        <v>16</v>
      </c>
      <c r="I7" s="826">
        <f>IF($S$21="Forecast", (Q7/Q6)*I6, AB7)</f>
        <v>8</v>
      </c>
      <c r="J7" s="826"/>
      <c r="L7" s="1237">
        <v>43831</v>
      </c>
      <c r="M7" s="826">
        <v>192357.64410999999</v>
      </c>
      <c r="N7" s="826">
        <v>26671.11292</v>
      </c>
      <c r="O7" s="826">
        <v>458</v>
      </c>
      <c r="P7" s="826">
        <v>87</v>
      </c>
      <c r="Q7" s="826">
        <v>9</v>
      </c>
      <c r="R7" s="1238"/>
      <c r="U7" s="1237">
        <v>43831</v>
      </c>
      <c r="V7" s="826">
        <v>195639</v>
      </c>
      <c r="W7" s="826">
        <v>26965</v>
      </c>
      <c r="X7" s="826">
        <v>482</v>
      </c>
      <c r="Y7" s="826">
        <v>77</v>
      </c>
      <c r="Z7" s="677">
        <v>7</v>
      </c>
      <c r="AA7" s="826">
        <v>16</v>
      </c>
      <c r="AB7" s="826">
        <v>8</v>
      </c>
      <c r="AG7" s="826">
        <f t="shared" ref="AG7:AG17" si="2">W7-W6</f>
        <v>122</v>
      </c>
    </row>
    <row r="8" spans="1:33">
      <c r="A8" s="613">
        <v>6</v>
      </c>
      <c r="B8" s="1237">
        <v>43862</v>
      </c>
      <c r="C8" s="826">
        <f t="shared" ref="C8:C15" si="3">IF($S$21="Forecast", (M8/M7)*C7, V8)</f>
        <v>195670</v>
      </c>
      <c r="D8" s="826">
        <f t="shared" si="0"/>
        <v>26965</v>
      </c>
      <c r="E8" s="826">
        <f t="shared" si="0"/>
        <v>481</v>
      </c>
      <c r="F8" s="826">
        <f t="shared" si="1"/>
        <v>74</v>
      </c>
      <c r="G8" s="826">
        <f t="shared" ref="G8:G17" si="4">IF($S$21="Forecast", (P8/P7)*G7, Z8)</f>
        <v>7</v>
      </c>
      <c r="H8" s="826">
        <f t="shared" ref="H8:H18" si="5">IF($S$21="Forecast", (P8/P7)*H7, AA8)</f>
        <v>16</v>
      </c>
      <c r="I8" s="826">
        <f t="shared" ref="I8:I17" si="6">IF($S$21="Forecast", (Q8/Q7)*I7, AB8)</f>
        <v>8</v>
      </c>
      <c r="J8" s="826"/>
      <c r="L8" s="1237">
        <v>43862</v>
      </c>
      <c r="M8" s="826">
        <v>192607.66036000001</v>
      </c>
      <c r="N8" s="826">
        <v>26725.114801</v>
      </c>
      <c r="O8" s="826">
        <v>458</v>
      </c>
      <c r="P8" s="826">
        <v>85</v>
      </c>
      <c r="Q8" s="826">
        <v>9</v>
      </c>
      <c r="R8" s="1238"/>
      <c r="U8" s="1237">
        <v>43862</v>
      </c>
      <c r="V8" s="826">
        <v>195670</v>
      </c>
      <c r="W8" s="826">
        <v>26965</v>
      </c>
      <c r="X8" s="826">
        <v>481</v>
      </c>
      <c r="Y8" s="826">
        <v>74</v>
      </c>
      <c r="Z8" s="677">
        <v>7</v>
      </c>
      <c r="AA8" s="826">
        <v>16</v>
      </c>
      <c r="AB8" s="826">
        <v>8</v>
      </c>
      <c r="AG8" s="826">
        <f t="shared" si="2"/>
        <v>0</v>
      </c>
    </row>
    <row r="9" spans="1:33">
      <c r="A9" s="824">
        <v>7</v>
      </c>
      <c r="B9" s="1237">
        <v>43891</v>
      </c>
      <c r="C9" s="826">
        <f t="shared" si="3"/>
        <v>196565</v>
      </c>
      <c r="D9" s="826">
        <f t="shared" si="0"/>
        <v>27035</v>
      </c>
      <c r="E9" s="826">
        <f t="shared" si="0"/>
        <v>483</v>
      </c>
      <c r="F9" s="826">
        <f t="shared" si="1"/>
        <v>76</v>
      </c>
      <c r="G9" s="826">
        <f t="shared" si="4"/>
        <v>7</v>
      </c>
      <c r="H9" s="826">
        <f t="shared" si="5"/>
        <v>14</v>
      </c>
      <c r="I9" s="826">
        <f t="shared" si="6"/>
        <v>8</v>
      </c>
      <c r="J9" s="826"/>
      <c r="L9" s="1237">
        <v>43891</v>
      </c>
      <c r="M9" s="826">
        <v>192785.68432</v>
      </c>
      <c r="N9" s="826">
        <v>26731.115580999998</v>
      </c>
      <c r="O9" s="826">
        <v>457</v>
      </c>
      <c r="P9" s="826">
        <v>87</v>
      </c>
      <c r="Q9" s="826">
        <v>9</v>
      </c>
      <c r="R9" s="1238"/>
      <c r="U9" s="1237">
        <v>43891</v>
      </c>
      <c r="V9" s="826">
        <v>196565</v>
      </c>
      <c r="W9" s="826">
        <v>27035</v>
      </c>
      <c r="X9" s="826">
        <v>483</v>
      </c>
      <c r="Y9" s="826">
        <v>76</v>
      </c>
      <c r="Z9" s="677">
        <v>7</v>
      </c>
      <c r="AA9" s="826">
        <v>14</v>
      </c>
      <c r="AB9" s="826">
        <v>8</v>
      </c>
      <c r="AG9" s="826">
        <f t="shared" si="2"/>
        <v>70</v>
      </c>
    </row>
    <row r="10" spans="1:33">
      <c r="A10" s="613">
        <v>8</v>
      </c>
      <c r="B10" s="1237">
        <v>43922</v>
      </c>
      <c r="C10" s="826">
        <f t="shared" si="3"/>
        <v>196329</v>
      </c>
      <c r="D10" s="826">
        <f t="shared" si="0"/>
        <v>27000</v>
      </c>
      <c r="E10" s="826">
        <f t="shared" si="0"/>
        <v>477</v>
      </c>
      <c r="F10" s="826">
        <f t="shared" si="1"/>
        <v>75</v>
      </c>
      <c r="G10" s="826">
        <f t="shared" si="4"/>
        <v>7</v>
      </c>
      <c r="H10" s="826">
        <f t="shared" si="5"/>
        <v>17</v>
      </c>
      <c r="I10" s="826">
        <f t="shared" si="6"/>
        <v>8</v>
      </c>
      <c r="J10" s="826"/>
      <c r="L10" s="1237">
        <v>43922</v>
      </c>
      <c r="M10" s="826">
        <v>192609.67345999999</v>
      </c>
      <c r="N10" s="826">
        <v>26686.115968999999</v>
      </c>
      <c r="O10" s="826">
        <v>459</v>
      </c>
      <c r="P10" s="826">
        <v>88</v>
      </c>
      <c r="Q10" s="826">
        <v>8</v>
      </c>
      <c r="R10" s="1238"/>
      <c r="U10" s="1237">
        <v>43922</v>
      </c>
      <c r="V10" s="826">
        <v>196329</v>
      </c>
      <c r="W10" s="826">
        <v>27000</v>
      </c>
      <c r="X10" s="826">
        <v>477</v>
      </c>
      <c r="Y10" s="826">
        <v>75</v>
      </c>
      <c r="Z10" s="677">
        <v>7</v>
      </c>
      <c r="AA10" s="826">
        <v>17</v>
      </c>
      <c r="AB10" s="826">
        <v>8</v>
      </c>
      <c r="AG10" s="826">
        <f t="shared" si="2"/>
        <v>-35</v>
      </c>
    </row>
    <row r="11" spans="1:33">
      <c r="A11" s="824">
        <v>9</v>
      </c>
      <c r="B11" s="1237">
        <v>43952</v>
      </c>
      <c r="C11" s="826">
        <f t="shared" si="3"/>
        <v>196059</v>
      </c>
      <c r="D11" s="826">
        <f t="shared" si="0"/>
        <v>26838</v>
      </c>
      <c r="E11" s="826">
        <f t="shared" si="0"/>
        <v>480</v>
      </c>
      <c r="F11" s="826">
        <f t="shared" si="1"/>
        <v>74</v>
      </c>
      <c r="G11" s="826">
        <f t="shared" si="4"/>
        <v>7</v>
      </c>
      <c r="H11" s="826">
        <f t="shared" si="5"/>
        <v>15</v>
      </c>
      <c r="I11" s="826">
        <f t="shared" si="6"/>
        <v>8</v>
      </c>
      <c r="J11" s="826"/>
      <c r="L11" s="1237">
        <v>43952</v>
      </c>
      <c r="M11" s="826">
        <v>192351.64682999998</v>
      </c>
      <c r="N11" s="826">
        <v>26636.113915000002</v>
      </c>
      <c r="O11" s="826">
        <v>458</v>
      </c>
      <c r="P11" s="826">
        <v>87</v>
      </c>
      <c r="Q11" s="826">
        <v>8</v>
      </c>
      <c r="R11" s="1238"/>
      <c r="U11" s="1237">
        <v>43952</v>
      </c>
      <c r="V11" s="826">
        <v>196059</v>
      </c>
      <c r="W11" s="826">
        <v>26838</v>
      </c>
      <c r="X11" s="826">
        <v>480</v>
      </c>
      <c r="Y11" s="826">
        <v>74</v>
      </c>
      <c r="Z11" s="677">
        <v>7</v>
      </c>
      <c r="AA11" s="826">
        <v>15</v>
      </c>
      <c r="AB11" s="826">
        <v>8</v>
      </c>
      <c r="AG11" s="826">
        <f t="shared" si="2"/>
        <v>-162</v>
      </c>
    </row>
    <row r="12" spans="1:33">
      <c r="A12" s="613">
        <v>10</v>
      </c>
      <c r="B12" s="1237">
        <v>43983</v>
      </c>
      <c r="C12" s="826">
        <f t="shared" si="3"/>
        <v>196598</v>
      </c>
      <c r="D12" s="826">
        <f t="shared" si="0"/>
        <v>26829</v>
      </c>
      <c r="E12" s="826">
        <f t="shared" si="0"/>
        <v>480</v>
      </c>
      <c r="F12" s="826">
        <f t="shared" si="1"/>
        <v>75</v>
      </c>
      <c r="G12" s="826">
        <f t="shared" si="4"/>
        <v>7</v>
      </c>
      <c r="H12" s="826">
        <f t="shared" si="5"/>
        <v>16</v>
      </c>
      <c r="I12" s="826">
        <f t="shared" si="6"/>
        <v>8</v>
      </c>
      <c r="J12" s="826"/>
      <c r="L12" s="1237">
        <v>43983</v>
      </c>
      <c r="M12" s="826">
        <v>192099.61099000002</v>
      </c>
      <c r="N12" s="826">
        <v>26566.113023999998</v>
      </c>
      <c r="O12" s="826">
        <v>457</v>
      </c>
      <c r="P12" s="826">
        <v>88</v>
      </c>
      <c r="Q12" s="826">
        <v>8</v>
      </c>
      <c r="R12" s="1238"/>
      <c r="U12" s="1237">
        <v>43983</v>
      </c>
      <c r="V12" s="826">
        <v>196598</v>
      </c>
      <c r="W12" s="826">
        <v>26829</v>
      </c>
      <c r="X12" s="826">
        <v>480</v>
      </c>
      <c r="Y12" s="826">
        <v>75</v>
      </c>
      <c r="Z12" s="677">
        <v>7</v>
      </c>
      <c r="AA12" s="826">
        <v>16</v>
      </c>
      <c r="AB12" s="826">
        <v>8</v>
      </c>
      <c r="AG12" s="826">
        <f t="shared" si="2"/>
        <v>-9</v>
      </c>
    </row>
    <row r="13" spans="1:33">
      <c r="A13" s="824">
        <v>11</v>
      </c>
      <c r="B13" s="1237">
        <v>44013</v>
      </c>
      <c r="C13" s="826">
        <f t="shared" si="3"/>
        <v>197113</v>
      </c>
      <c r="D13" s="826">
        <f t="shared" si="0"/>
        <v>26774</v>
      </c>
      <c r="E13" s="826">
        <f t="shared" si="0"/>
        <v>480</v>
      </c>
      <c r="F13" s="826">
        <f t="shared" si="1"/>
        <v>76</v>
      </c>
      <c r="G13" s="826">
        <f t="shared" si="4"/>
        <v>7</v>
      </c>
      <c r="H13" s="826">
        <f t="shared" si="5"/>
        <v>17</v>
      </c>
      <c r="I13" s="826">
        <f t="shared" si="6"/>
        <v>7</v>
      </c>
      <c r="J13" s="826"/>
      <c r="L13" s="1237">
        <v>44013</v>
      </c>
      <c r="M13" s="826">
        <v>191713.55028</v>
      </c>
      <c r="N13" s="826">
        <v>26488.112424999999</v>
      </c>
      <c r="O13" s="826">
        <v>460</v>
      </c>
      <c r="P13" s="826">
        <v>88</v>
      </c>
      <c r="Q13" s="826">
        <v>8</v>
      </c>
      <c r="R13" s="1238"/>
      <c r="U13" s="1237">
        <v>44013</v>
      </c>
      <c r="V13" s="826">
        <v>197113</v>
      </c>
      <c r="W13" s="826">
        <v>26774</v>
      </c>
      <c r="X13" s="826">
        <v>480</v>
      </c>
      <c r="Y13" s="826">
        <v>76</v>
      </c>
      <c r="Z13" s="677">
        <v>7</v>
      </c>
      <c r="AA13" s="826">
        <v>17</v>
      </c>
      <c r="AB13" s="826">
        <v>7</v>
      </c>
      <c r="AG13" s="826">
        <f t="shared" si="2"/>
        <v>-55</v>
      </c>
    </row>
    <row r="14" spans="1:33">
      <c r="A14" s="613">
        <v>12</v>
      </c>
      <c r="B14" s="1237">
        <v>44044</v>
      </c>
      <c r="C14" s="826">
        <f t="shared" si="3"/>
        <v>196990</v>
      </c>
      <c r="D14" s="826">
        <f t="shared" si="0"/>
        <v>26711</v>
      </c>
      <c r="E14" s="826">
        <f t="shared" si="0"/>
        <v>481</v>
      </c>
      <c r="F14" s="826">
        <f t="shared" si="1"/>
        <v>75</v>
      </c>
      <c r="G14" s="826">
        <f t="shared" si="4"/>
        <v>7</v>
      </c>
      <c r="H14" s="826">
        <f t="shared" si="5"/>
        <v>15</v>
      </c>
      <c r="I14" s="826">
        <f t="shared" si="6"/>
        <v>7</v>
      </c>
      <c r="J14" s="826"/>
      <c r="L14" s="1237">
        <v>44044</v>
      </c>
      <c r="M14" s="826">
        <v>191598.48569999999</v>
      </c>
      <c r="N14" s="826">
        <v>26433.111011000001</v>
      </c>
      <c r="O14" s="826">
        <v>460</v>
      </c>
      <c r="P14" s="826">
        <v>90</v>
      </c>
      <c r="Q14" s="826">
        <v>8</v>
      </c>
      <c r="R14" s="1238"/>
      <c r="U14" s="1237">
        <v>44044</v>
      </c>
      <c r="V14" s="826">
        <v>196990</v>
      </c>
      <c r="W14" s="826">
        <v>26711</v>
      </c>
      <c r="X14" s="826">
        <v>481</v>
      </c>
      <c r="Y14" s="826">
        <v>75</v>
      </c>
      <c r="Z14" s="677">
        <v>7</v>
      </c>
      <c r="AA14" s="826">
        <v>15</v>
      </c>
      <c r="AB14" s="826">
        <v>7</v>
      </c>
      <c r="AG14" s="826">
        <f t="shared" si="2"/>
        <v>-63</v>
      </c>
    </row>
    <row r="15" spans="1:33">
      <c r="A15" s="824">
        <v>13</v>
      </c>
      <c r="B15" s="1237">
        <v>44075</v>
      </c>
      <c r="C15" s="826">
        <f t="shared" si="3"/>
        <v>197273</v>
      </c>
      <c r="D15" s="826">
        <f t="shared" si="0"/>
        <v>26703</v>
      </c>
      <c r="E15" s="826">
        <f t="shared" si="0"/>
        <v>482</v>
      </c>
      <c r="F15" s="826">
        <f t="shared" si="1"/>
        <v>74</v>
      </c>
      <c r="G15" s="826">
        <f t="shared" si="4"/>
        <v>7</v>
      </c>
      <c r="H15" s="826">
        <f t="shared" si="5"/>
        <v>17</v>
      </c>
      <c r="I15" s="826">
        <f t="shared" si="6"/>
        <v>7</v>
      </c>
      <c r="J15" s="826"/>
      <c r="L15" s="1237">
        <v>44075</v>
      </c>
      <c r="M15" s="826">
        <v>191648.43114999999</v>
      </c>
      <c r="N15" s="826">
        <v>26408.106982999998</v>
      </c>
      <c r="O15" s="826">
        <v>460</v>
      </c>
      <c r="P15" s="826">
        <v>90</v>
      </c>
      <c r="Q15" s="826">
        <v>8</v>
      </c>
      <c r="R15" s="1238"/>
      <c r="U15" s="1237">
        <v>44075</v>
      </c>
      <c r="V15" s="826">
        <v>197273</v>
      </c>
      <c r="W15" s="826">
        <v>26703</v>
      </c>
      <c r="X15" s="826">
        <v>482</v>
      </c>
      <c r="Y15" s="826">
        <v>74</v>
      </c>
      <c r="Z15" s="677">
        <v>7</v>
      </c>
      <c r="AA15" s="826">
        <v>17</v>
      </c>
      <c r="AB15" s="826">
        <v>7</v>
      </c>
      <c r="AG15" s="826">
        <f t="shared" si="2"/>
        <v>-8</v>
      </c>
    </row>
    <row r="16" spans="1:33">
      <c r="A16" s="613">
        <v>14</v>
      </c>
      <c r="B16" s="1237">
        <v>44105</v>
      </c>
      <c r="C16" s="826">
        <f>IF($S$21="Forecast", (M16/M15)*C15, V16)</f>
        <v>197537</v>
      </c>
      <c r="D16" s="826">
        <f t="shared" si="0"/>
        <v>26747</v>
      </c>
      <c r="E16" s="826">
        <f t="shared" si="0"/>
        <v>484</v>
      </c>
      <c r="F16" s="826">
        <f t="shared" si="1"/>
        <v>75</v>
      </c>
      <c r="G16" s="826">
        <f t="shared" si="4"/>
        <v>7</v>
      </c>
      <c r="H16" s="826">
        <f t="shared" si="5"/>
        <v>17</v>
      </c>
      <c r="I16" s="826">
        <f t="shared" si="6"/>
        <v>7</v>
      </c>
      <c r="J16" s="826"/>
      <c r="L16" s="1237">
        <v>44105</v>
      </c>
      <c r="M16" s="826">
        <v>192457.51539000002</v>
      </c>
      <c r="N16" s="826">
        <v>26478.110227999998</v>
      </c>
      <c r="O16" s="826">
        <v>461</v>
      </c>
      <c r="P16" s="826">
        <v>90</v>
      </c>
      <c r="Q16" s="826">
        <v>8</v>
      </c>
      <c r="R16" s="1238"/>
      <c r="U16" s="1237">
        <v>44105</v>
      </c>
      <c r="V16" s="826">
        <v>197537</v>
      </c>
      <c r="W16" s="826">
        <v>26747</v>
      </c>
      <c r="X16" s="826">
        <v>484</v>
      </c>
      <c r="Y16" s="826">
        <v>75</v>
      </c>
      <c r="Z16" s="677">
        <v>7</v>
      </c>
      <c r="AA16" s="826">
        <v>17</v>
      </c>
      <c r="AB16" s="826">
        <v>7</v>
      </c>
      <c r="AG16" s="826">
        <f t="shared" si="2"/>
        <v>44</v>
      </c>
    </row>
    <row r="17" spans="1:33">
      <c r="A17" s="824">
        <v>15</v>
      </c>
      <c r="B17" s="1237">
        <v>44136</v>
      </c>
      <c r="C17" s="826">
        <f>IF($S$21="Forecast", (M17/M16)*C16, V17)</f>
        <v>198190</v>
      </c>
      <c r="D17" s="826">
        <f t="shared" si="0"/>
        <v>26878</v>
      </c>
      <c r="E17" s="826">
        <f t="shared" si="0"/>
        <v>488</v>
      </c>
      <c r="F17" s="826">
        <f t="shared" si="1"/>
        <v>73</v>
      </c>
      <c r="G17" s="826">
        <f t="shared" si="4"/>
        <v>2</v>
      </c>
      <c r="H17" s="826">
        <f t="shared" si="5"/>
        <v>17</v>
      </c>
      <c r="I17" s="826">
        <f t="shared" si="6"/>
        <v>7</v>
      </c>
      <c r="J17" s="826"/>
      <c r="L17" s="1237">
        <v>44136</v>
      </c>
      <c r="M17" s="826">
        <v>193595.62351999999</v>
      </c>
      <c r="N17" s="826">
        <v>26645.117258999999</v>
      </c>
      <c r="O17" s="826">
        <v>461</v>
      </c>
      <c r="P17" s="826">
        <v>90</v>
      </c>
      <c r="Q17" s="826">
        <v>8</v>
      </c>
      <c r="R17" s="1238"/>
      <c r="U17" s="1237">
        <v>44136</v>
      </c>
      <c r="V17" s="826">
        <v>198190</v>
      </c>
      <c r="W17" s="826">
        <v>26878</v>
      </c>
      <c r="X17" s="826">
        <v>488</v>
      </c>
      <c r="Y17" s="826">
        <v>73</v>
      </c>
      <c r="Z17" s="677">
        <v>2</v>
      </c>
      <c r="AA17" s="826">
        <v>17</v>
      </c>
      <c r="AB17" s="826">
        <v>7</v>
      </c>
      <c r="AG17" s="826">
        <f t="shared" si="2"/>
        <v>131</v>
      </c>
    </row>
    <row r="18" spans="1:33">
      <c r="A18" s="824">
        <v>16</v>
      </c>
      <c r="B18" s="1237">
        <v>44166</v>
      </c>
      <c r="C18" s="826">
        <f>IF($S$21="Forecast", (K18/K17)*C17, V18)</f>
        <v>198885</v>
      </c>
      <c r="D18" s="826">
        <f>IF($S$21="Forecast", (L18/L17)*D17, W18)</f>
        <v>27032</v>
      </c>
      <c r="E18" s="826">
        <f>IF($S$21="Forecast", (M18/M17)*E17, X18)</f>
        <v>488</v>
      </c>
      <c r="F18" s="826">
        <f>IF($S$21="Forecast", (N18/N17)*F17, Y18)</f>
        <v>73</v>
      </c>
      <c r="G18" s="826">
        <f>IF($S$21="Forecast", (O18/O17)*G17, Z18)</f>
        <v>2</v>
      </c>
      <c r="H18" s="826">
        <f t="shared" si="5"/>
        <v>16</v>
      </c>
      <c r="I18" s="826">
        <f>IF($S$21="Forecast", (Q18/Q17)*I17, AB18)</f>
        <v>7</v>
      </c>
      <c r="J18" s="826"/>
      <c r="L18" s="1237">
        <v>44166</v>
      </c>
      <c r="M18" s="826">
        <v>194448.70235000001</v>
      </c>
      <c r="N18" s="826">
        <v>26839.120928</v>
      </c>
      <c r="O18" s="826">
        <v>459</v>
      </c>
      <c r="P18" s="826">
        <v>87</v>
      </c>
      <c r="Q18" s="826">
        <v>8</v>
      </c>
      <c r="R18" s="1238"/>
      <c r="U18" s="1237">
        <v>44166</v>
      </c>
      <c r="V18" s="826">
        <v>198885</v>
      </c>
      <c r="W18" s="826">
        <v>27032</v>
      </c>
      <c r="X18" s="826">
        <v>488</v>
      </c>
      <c r="Y18" s="826">
        <v>73</v>
      </c>
      <c r="Z18" s="677">
        <v>2</v>
      </c>
      <c r="AA18" s="826">
        <v>16</v>
      </c>
      <c r="AB18" s="826">
        <v>7</v>
      </c>
      <c r="AD18" s="826">
        <f>SUM(V18:AC18)</f>
        <v>226503</v>
      </c>
      <c r="AG18" s="826">
        <f>W18-W17</f>
        <v>154</v>
      </c>
    </row>
    <row r="20" spans="1:33">
      <c r="M20" s="905"/>
      <c r="N20" s="905"/>
      <c r="O20" s="905"/>
      <c r="P20" s="905"/>
      <c r="Q20" s="905"/>
      <c r="R20" s="905"/>
      <c r="S20" s="1577" t="s">
        <v>3137</v>
      </c>
      <c r="U20" s="1237" t="s">
        <v>356</v>
      </c>
      <c r="V20" s="826">
        <f t="shared" ref="V20:AB20" si="7">ROUND(AVERAGE(V6:V17, V7:V18),2)</f>
        <v>196757.08</v>
      </c>
      <c r="W20" s="826">
        <f t="shared" si="7"/>
        <v>26865.21</v>
      </c>
      <c r="X20" s="826">
        <f t="shared" si="7"/>
        <v>482.17</v>
      </c>
      <c r="Y20" s="826">
        <f t="shared" si="7"/>
        <v>74.83</v>
      </c>
      <c r="Z20" s="826">
        <f t="shared" si="7"/>
        <v>6.08</v>
      </c>
      <c r="AA20" s="826">
        <f t="shared" si="7"/>
        <v>16.04</v>
      </c>
      <c r="AB20" s="826">
        <f t="shared" si="7"/>
        <v>7.54</v>
      </c>
      <c r="AD20" s="826">
        <f>AD18-AD6</f>
        <v>3715</v>
      </c>
    </row>
    <row r="21" spans="1:33">
      <c r="B21" s="613" t="s">
        <v>3284</v>
      </c>
      <c r="C21" s="826">
        <v>198100.87649668616</v>
      </c>
      <c r="D21" s="826">
        <v>27132.133613014437</v>
      </c>
      <c r="E21" s="826">
        <v>491.21052631578937</v>
      </c>
      <c r="F21" s="826">
        <v>75.8720930232558</v>
      </c>
      <c r="G21" s="826">
        <v>0</v>
      </c>
      <c r="H21" s="826">
        <v>15.174418604651166</v>
      </c>
      <c r="I21" s="826">
        <v>8</v>
      </c>
      <c r="M21" s="905"/>
      <c r="N21" s="905"/>
      <c r="O21" s="905"/>
      <c r="P21" s="905"/>
      <c r="Q21" s="905"/>
      <c r="R21" s="905"/>
      <c r="S21" s="1578" t="s">
        <v>3023</v>
      </c>
    </row>
    <row r="22" spans="1:33">
      <c r="B22" s="613" t="s">
        <v>1807</v>
      </c>
      <c r="C22" s="826">
        <f>C18-C21</f>
        <v>784.12350331383641</v>
      </c>
      <c r="D22" s="826">
        <f t="shared" ref="D22:I22" si="8">D18-D21</f>
        <v>-100.13361301443729</v>
      </c>
      <c r="E22" s="826">
        <f t="shared" si="8"/>
        <v>-3.210526315789366</v>
      </c>
      <c r="F22" s="826">
        <f t="shared" si="8"/>
        <v>-2.8720930232558004</v>
      </c>
      <c r="G22" s="826">
        <f t="shared" si="8"/>
        <v>2</v>
      </c>
      <c r="H22" s="826">
        <f t="shared" si="8"/>
        <v>0.82558139534883423</v>
      </c>
      <c r="I22" s="826">
        <f t="shared" si="8"/>
        <v>-1</v>
      </c>
      <c r="M22" s="905"/>
      <c r="N22" s="905"/>
      <c r="O22" s="905"/>
      <c r="P22" s="905"/>
      <c r="Q22" s="905"/>
      <c r="R22" s="905"/>
    </row>
    <row r="24" spans="1:33">
      <c r="C24" s="826">
        <f>SUM(C22:I22)</f>
        <v>679.73285235570279</v>
      </c>
      <c r="D24" s="613" t="s">
        <v>3285</v>
      </c>
      <c r="M24" s="826"/>
      <c r="N24" s="826"/>
      <c r="O24" s="826"/>
      <c r="P24" s="826"/>
      <c r="Q24" s="826"/>
      <c r="R24" s="826"/>
      <c r="S24" s="826"/>
    </row>
    <row r="25" spans="1:33">
      <c r="B25" s="908"/>
      <c r="C25" s="826"/>
      <c r="D25" s="826"/>
      <c r="E25" s="826"/>
      <c r="F25" s="826"/>
      <c r="G25" s="826"/>
      <c r="H25" s="826"/>
      <c r="I25" s="826"/>
      <c r="K25" s="826"/>
      <c r="S25" s="826"/>
    </row>
    <row r="26" spans="1:33">
      <c r="B26" s="908"/>
      <c r="C26" s="826"/>
      <c r="D26" s="826"/>
      <c r="E26" s="826"/>
      <c r="F26" s="826"/>
      <c r="G26" s="826"/>
      <c r="H26" s="826"/>
      <c r="I26" s="826"/>
      <c r="K26" s="826"/>
    </row>
    <row r="27" spans="1:33">
      <c r="C27" s="826"/>
      <c r="D27" s="826"/>
      <c r="E27" s="826"/>
      <c r="F27" s="826"/>
      <c r="G27" s="826"/>
      <c r="H27" s="826"/>
      <c r="I27" s="826"/>
      <c r="K27" s="826"/>
    </row>
    <row r="30" spans="1:33">
      <c r="B30" s="908"/>
      <c r="C30" s="826"/>
      <c r="D30" s="826"/>
      <c r="E30" s="826"/>
      <c r="F30" s="826"/>
      <c r="G30" s="826"/>
      <c r="H30" s="826"/>
      <c r="I30" s="826"/>
      <c r="K30" s="826"/>
    </row>
    <row r="31" spans="1:33">
      <c r="B31" s="908"/>
      <c r="C31" s="826"/>
      <c r="D31" s="826"/>
      <c r="E31" s="826"/>
      <c r="F31" s="826"/>
      <c r="G31" s="826"/>
      <c r="H31" s="826"/>
      <c r="I31" s="826"/>
      <c r="K31" s="826"/>
    </row>
    <row r="32" spans="1:33">
      <c r="C32" s="826"/>
      <c r="D32" s="826"/>
      <c r="E32" s="826"/>
      <c r="F32" s="826"/>
      <c r="G32" s="826"/>
      <c r="H32" s="826"/>
      <c r="I32" s="826"/>
      <c r="K32" s="826"/>
    </row>
  </sheetData>
  <mergeCells count="5">
    <mergeCell ref="B3:I3"/>
    <mergeCell ref="L3:Q3"/>
    <mergeCell ref="B4:I4"/>
    <mergeCell ref="L4:Q4"/>
    <mergeCell ref="U4:AB4"/>
  </mergeCells>
  <dataValidations count="1">
    <dataValidation type="list" allowBlank="1" showInputMessage="1" showErrorMessage="1" sqref="S21" xr:uid="{1CA51D59-4C9E-48EA-8A86-4BDD73B6CF57}">
      <formula1>"Actuals, Forecast"</formula1>
    </dataValidation>
  </dataValidations>
  <pageMargins left="0.7" right="0.7" top="1" bottom="0.75" header="0.3" footer="0.3"/>
  <pageSetup scale="58" orientation="portrait" horizontalDpi="1200" verticalDpi="1200" r:id="rId1"/>
  <headerFooter scaleWithDoc="0">
    <oddHeader>&amp;CCascade Natural Gas Corporation
2020 New Customers
IDM WP-1.7&amp;RPage &amp;P of &amp;N</oddHeader>
    <oddFooter>&amp;L&amp;A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0BCC-0DDE-42D8-BFDC-1F44CEAEF697}">
  <sheetPr codeName="Sheet58">
    <tabColor theme="8" tint="0.79998168889431442"/>
  </sheetPr>
  <dimension ref="A1:P40"/>
  <sheetViews>
    <sheetView zoomScale="80" zoomScaleNormal="80" workbookViewId="0">
      <selection activeCell="F27" sqref="F27"/>
    </sheetView>
  </sheetViews>
  <sheetFormatPr defaultColWidth="8.88671875" defaultRowHeight="14.4"/>
  <cols>
    <col min="1" max="1" width="8.109375" style="613" customWidth="1"/>
    <col min="2" max="2" width="25" style="613" customWidth="1"/>
    <col min="3" max="3" width="13.5546875" style="613" customWidth="1"/>
    <col min="4" max="4" width="15.33203125" style="613" customWidth="1"/>
    <col min="5" max="5" width="14" style="613" customWidth="1"/>
    <col min="6" max="12" width="8.88671875" style="613"/>
    <col min="13" max="13" width="25.33203125" style="613" customWidth="1"/>
    <col min="14" max="14" width="13.88671875" style="613" customWidth="1"/>
    <col min="15" max="15" width="14.33203125" style="583" bestFit="1" customWidth="1"/>
    <col min="16" max="16" width="12.109375" style="583" customWidth="1"/>
    <col min="17" max="17" width="11.44140625" style="613" customWidth="1"/>
    <col min="18" max="18" width="13" style="613" customWidth="1"/>
    <col min="19" max="19" width="10.88671875" style="613" customWidth="1"/>
    <col min="20" max="20" width="8.88671875" style="613"/>
    <col min="21" max="21" width="10.88671875" style="613" customWidth="1"/>
    <col min="22" max="16384" width="8.88671875" style="613"/>
  </cols>
  <sheetData>
    <row r="1" spans="1:10">
      <c r="A1" s="820">
        <v>1</v>
      </c>
      <c r="B1" s="583" t="s">
        <v>778</v>
      </c>
      <c r="C1" s="583" t="s">
        <v>776</v>
      </c>
      <c r="D1" s="583" t="s">
        <v>777</v>
      </c>
      <c r="E1" s="583" t="s">
        <v>780</v>
      </c>
      <c r="F1" s="583"/>
      <c r="G1" s="583"/>
      <c r="H1" s="583"/>
      <c r="I1" s="583"/>
      <c r="J1" s="583"/>
    </row>
    <row r="2" spans="1:10">
      <c r="A2" s="820">
        <v>2</v>
      </c>
    </row>
    <row r="3" spans="1:10">
      <c r="A3" s="820">
        <v>3</v>
      </c>
    </row>
    <row r="4" spans="1:10">
      <c r="A4" s="820">
        <v>4</v>
      </c>
    </row>
    <row r="5" spans="1:10">
      <c r="A5" s="820">
        <v>5</v>
      </c>
    </row>
    <row r="6" spans="1:10">
      <c r="A6" s="820">
        <v>6</v>
      </c>
    </row>
    <row r="7" spans="1:10">
      <c r="A7" s="820">
        <v>7</v>
      </c>
    </row>
    <row r="8" spans="1:10">
      <c r="A8" s="820">
        <v>8</v>
      </c>
    </row>
    <row r="9" spans="1:10">
      <c r="A9" s="820">
        <v>9</v>
      </c>
    </row>
    <row r="10" spans="1:10">
      <c r="A10" s="820">
        <v>10</v>
      </c>
    </row>
    <row r="11" spans="1:10">
      <c r="A11" s="820">
        <v>11</v>
      </c>
    </row>
    <row r="12" spans="1:10">
      <c r="A12" s="820">
        <v>12</v>
      </c>
    </row>
    <row r="13" spans="1:10">
      <c r="A13" s="820">
        <v>13</v>
      </c>
    </row>
    <row r="14" spans="1:10">
      <c r="A14" s="820">
        <v>14</v>
      </c>
    </row>
    <row r="15" spans="1:10">
      <c r="A15" s="820">
        <v>15</v>
      </c>
    </row>
    <row r="16" spans="1:10">
      <c r="A16" s="820">
        <v>16</v>
      </c>
    </row>
    <row r="17" spans="1:5">
      <c r="A17" s="820">
        <v>17</v>
      </c>
    </row>
    <row r="18" spans="1:5">
      <c r="A18" s="820">
        <v>18</v>
      </c>
    </row>
    <row r="19" spans="1:5">
      <c r="A19" s="820">
        <v>19</v>
      </c>
    </row>
    <row r="20" spans="1:5">
      <c r="A20" s="820">
        <v>20</v>
      </c>
    </row>
    <row r="21" spans="1:5">
      <c r="A21" s="820">
        <v>21</v>
      </c>
    </row>
    <row r="22" spans="1:5">
      <c r="A22" s="820">
        <v>22</v>
      </c>
    </row>
    <row r="23" spans="1:5">
      <c r="A23" s="820">
        <v>23</v>
      </c>
    </row>
    <row r="24" spans="1:5">
      <c r="A24" s="820">
        <v>24</v>
      </c>
    </row>
    <row r="25" spans="1:5">
      <c r="A25" s="820">
        <v>25</v>
      </c>
      <c r="B25" s="1699" t="s">
        <v>3113</v>
      </c>
      <c r="C25" s="584" t="s">
        <v>3114</v>
      </c>
    </row>
    <row r="26" spans="1:5">
      <c r="A26" s="820">
        <v>26</v>
      </c>
      <c r="B26" s="1700" t="s">
        <v>3115</v>
      </c>
      <c r="C26" s="1356">
        <v>1496916</v>
      </c>
      <c r="D26" s="1239"/>
    </row>
    <row r="27" spans="1:5">
      <c r="A27" s="820">
        <v>27</v>
      </c>
    </row>
    <row r="28" spans="1:5">
      <c r="A28" s="820">
        <v>28</v>
      </c>
      <c r="E28" s="830"/>
    </row>
    <row r="29" spans="1:5">
      <c r="A29" s="820">
        <v>29</v>
      </c>
      <c r="E29" s="830"/>
    </row>
    <row r="30" spans="1:5">
      <c r="A30" s="820">
        <v>30</v>
      </c>
      <c r="B30" s="907"/>
      <c r="C30" s="907" t="s">
        <v>3116</v>
      </c>
      <c r="E30" s="830"/>
    </row>
    <row r="31" spans="1:5">
      <c r="A31" s="820">
        <v>31</v>
      </c>
      <c r="B31" s="907"/>
      <c r="C31" s="907" t="s">
        <v>3117</v>
      </c>
    </row>
    <row r="32" spans="1:5">
      <c r="A32" s="820">
        <v>32</v>
      </c>
      <c r="B32" s="1012">
        <v>43831</v>
      </c>
      <c r="C32" s="909">
        <v>98669</v>
      </c>
    </row>
    <row r="33" spans="1:5">
      <c r="A33" s="820">
        <v>33</v>
      </c>
      <c r="B33" s="1012">
        <v>43862</v>
      </c>
      <c r="C33" s="909">
        <v>90013</v>
      </c>
    </row>
    <row r="34" spans="1:5">
      <c r="A34" s="820">
        <v>34</v>
      </c>
      <c r="B34" s="1012">
        <v>43891</v>
      </c>
      <c r="C34" s="909">
        <v>95580</v>
      </c>
    </row>
    <row r="35" spans="1:5">
      <c r="A35" s="820">
        <v>35</v>
      </c>
      <c r="B35" s="1012">
        <v>43922</v>
      </c>
      <c r="C35" s="909">
        <v>91321</v>
      </c>
    </row>
    <row r="36" spans="1:5">
      <c r="A36" s="820">
        <v>36</v>
      </c>
      <c r="B36" s="1012">
        <v>43952</v>
      </c>
      <c r="C36" s="1240">
        <v>90965</v>
      </c>
    </row>
    <row r="37" spans="1:5">
      <c r="A37" s="820">
        <v>37</v>
      </c>
      <c r="B37" s="1112" t="s">
        <v>3118</v>
      </c>
      <c r="C37" s="1027">
        <f>SUM(C32:C36)</f>
        <v>466548</v>
      </c>
    </row>
    <row r="38" spans="1:5">
      <c r="A38" s="820">
        <v>38</v>
      </c>
      <c r="B38" s="1112" t="s">
        <v>3119</v>
      </c>
      <c r="C38" s="1027">
        <f>C26-C37</f>
        <v>1030368</v>
      </c>
    </row>
    <row r="39" spans="1:5">
      <c r="E39" s="830"/>
    </row>
    <row r="40" spans="1:5">
      <c r="C40" s="828"/>
    </row>
  </sheetData>
  <pageMargins left="0.7" right="0.7" top="1.25" bottom="0.75" header="0.3" footer="0.3"/>
  <pageSetup scale="74" orientation="portrait" horizontalDpi="1200" verticalDpi="1200" r:id="rId1"/>
  <headerFooter scaleWithDoc="0">
    <oddHeader>&amp;CCascade Natural Gas Corporation
2020 New Customers
IDM WP-1.8&amp;RPage &amp;P of &amp;N</oddHeader>
    <oddFooter>&amp;L&amp;A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21B1-7E34-4162-90D7-18909835E930}">
  <sheetPr codeName="Sheet59">
    <tabColor theme="7"/>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Rev Req ---&gt;</v>
      </c>
    </row>
    <row r="2" spans="1:13">
      <c r="B2" s="1850" t="s">
        <v>2596</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pageSetUpPr fitToPage="1"/>
  </sheetPr>
  <dimension ref="B1:W45"/>
  <sheetViews>
    <sheetView view="pageBreakPreview" zoomScale="80" zoomScaleNormal="80" zoomScaleSheetLayoutView="80" workbookViewId="0">
      <selection activeCell="Y14" sqref="Y14"/>
    </sheetView>
  </sheetViews>
  <sheetFormatPr defaultColWidth="9.109375" defaultRowHeight="15.6"/>
  <cols>
    <col min="1" max="1" width="9.109375" style="3"/>
    <col min="2" max="2" width="3.44140625" style="3" bestFit="1" customWidth="1"/>
    <col min="3" max="3" width="35.109375" style="3" bestFit="1" customWidth="1"/>
    <col min="4" max="4" width="1" style="3" customWidth="1"/>
    <col min="5" max="5" width="15.33203125" style="3" bestFit="1" customWidth="1"/>
    <col min="6" max="6" width="1" style="3" customWidth="1"/>
    <col min="7" max="7" width="0.88671875" style="3" customWidth="1"/>
    <col min="8" max="8" width="16.44140625" style="3" bestFit="1" customWidth="1"/>
    <col min="9" max="10" width="1.33203125" style="3" customWidth="1"/>
    <col min="11" max="11" width="14" style="3" bestFit="1" customWidth="1"/>
    <col min="12" max="12" width="1" style="3" customWidth="1"/>
    <col min="13" max="13" width="0.88671875" style="3" customWidth="1"/>
    <col min="14" max="14" width="16.44140625" style="3" bestFit="1" customWidth="1"/>
    <col min="15" max="16" width="1.33203125" style="3" customWidth="1"/>
    <col min="17" max="17" width="14.6640625" style="3" customWidth="1"/>
    <col min="18" max="18" width="0.88671875" style="3" customWidth="1"/>
    <col min="19" max="19" width="1.44140625" style="3" customWidth="1"/>
    <col min="20" max="20" width="15.33203125" style="3" customWidth="1"/>
    <col min="21" max="21" width="1" style="3" customWidth="1"/>
    <col min="22" max="22" width="0.88671875" style="3" customWidth="1"/>
    <col min="23" max="23" width="14.6640625" style="3" customWidth="1"/>
    <col min="24" max="24" width="5" style="3" customWidth="1"/>
    <col min="25" max="16384" width="9.109375" style="3"/>
  </cols>
  <sheetData>
    <row r="1" spans="2:23">
      <c r="B1" s="1894" t="s">
        <v>100</v>
      </c>
      <c r="C1" s="1894"/>
      <c r="D1" s="1894"/>
      <c r="E1" s="1894"/>
      <c r="F1" s="1894"/>
      <c r="G1" s="1894"/>
      <c r="H1" s="1894"/>
      <c r="I1" s="1894"/>
      <c r="J1" s="1894"/>
      <c r="K1" s="1894"/>
      <c r="L1" s="1894"/>
      <c r="M1" s="1894"/>
      <c r="N1" s="1894"/>
      <c r="O1" s="1894"/>
      <c r="P1" s="1894"/>
      <c r="Q1" s="1894"/>
      <c r="R1" s="1894"/>
      <c r="S1" s="1894"/>
      <c r="T1" s="1894"/>
      <c r="U1" s="1894"/>
      <c r="V1" s="1894"/>
      <c r="W1" s="1894"/>
    </row>
    <row r="2" spans="2:23">
      <c r="B2" s="1894" t="s">
        <v>773</v>
      </c>
      <c r="C2" s="1894"/>
      <c r="D2" s="1894"/>
      <c r="E2" s="1894"/>
      <c r="F2" s="1894"/>
      <c r="G2" s="1894"/>
      <c r="H2" s="1894"/>
      <c r="I2" s="1894"/>
      <c r="J2" s="1894"/>
      <c r="K2" s="1894"/>
      <c r="L2" s="1894"/>
      <c r="M2" s="1894"/>
      <c r="N2" s="1894"/>
      <c r="O2" s="1894"/>
      <c r="P2" s="1894"/>
      <c r="Q2" s="1894"/>
      <c r="R2" s="1894"/>
      <c r="S2" s="1894"/>
      <c r="T2" s="1894"/>
      <c r="U2" s="1894"/>
      <c r="V2" s="1894"/>
      <c r="W2" s="1894"/>
    </row>
    <row r="3" spans="2:23">
      <c r="B3" s="1895" t="s">
        <v>1823</v>
      </c>
      <c r="C3" s="1895"/>
      <c r="D3" s="1895"/>
      <c r="E3" s="1895"/>
      <c r="F3" s="1895"/>
      <c r="G3" s="1895"/>
      <c r="H3" s="1895"/>
      <c r="I3" s="1895"/>
      <c r="J3" s="1895"/>
      <c r="K3" s="1895"/>
      <c r="L3" s="1895"/>
      <c r="M3" s="1895"/>
      <c r="N3" s="1895"/>
      <c r="O3" s="1895"/>
      <c r="P3" s="1895"/>
      <c r="Q3" s="1895"/>
      <c r="R3" s="1895"/>
      <c r="S3" s="1895"/>
      <c r="T3" s="1895"/>
      <c r="U3" s="1895"/>
      <c r="V3" s="1895"/>
      <c r="W3" s="1895"/>
    </row>
    <row r="4" spans="2:23">
      <c r="B4" s="21"/>
      <c r="C4" s="21"/>
      <c r="D4" s="21"/>
      <c r="E4" s="21"/>
      <c r="F4" s="21"/>
      <c r="G4" s="21"/>
      <c r="H4" s="21"/>
      <c r="I4" s="21"/>
      <c r="J4" s="21"/>
      <c r="K4" s="21"/>
      <c r="L4" s="21"/>
      <c r="M4" s="21"/>
      <c r="N4" s="21"/>
      <c r="O4" s="21"/>
      <c r="P4" s="21"/>
      <c r="Q4" s="21"/>
      <c r="R4" s="21"/>
      <c r="S4" s="21"/>
      <c r="T4" s="21"/>
      <c r="U4" s="21"/>
      <c r="V4" s="21"/>
      <c r="W4" s="21"/>
    </row>
    <row r="5" spans="2:23">
      <c r="B5" s="652"/>
      <c r="C5" s="22"/>
      <c r="D5" s="23"/>
      <c r="E5" s="655" t="s">
        <v>3334</v>
      </c>
      <c r="F5" s="23"/>
      <c r="G5" s="22"/>
      <c r="H5" s="656" t="s">
        <v>3338</v>
      </c>
      <c r="I5" s="23"/>
      <c r="J5" s="22"/>
      <c r="K5" s="656" t="s">
        <v>3335</v>
      </c>
      <c r="L5" s="23"/>
      <c r="M5" s="22"/>
      <c r="N5" s="656" t="s">
        <v>3339</v>
      </c>
      <c r="O5" s="23"/>
      <c r="P5" s="22"/>
      <c r="Q5" s="656" t="s">
        <v>3336</v>
      </c>
      <c r="R5" s="23"/>
      <c r="S5" s="22"/>
      <c r="T5" s="656" t="s">
        <v>3343</v>
      </c>
      <c r="U5" s="656"/>
      <c r="V5" s="23"/>
      <c r="W5" s="657" t="s">
        <v>3346</v>
      </c>
    </row>
    <row r="6" spans="2:23">
      <c r="B6" s="653"/>
      <c r="C6" s="20"/>
      <c r="D6" s="24"/>
      <c r="E6" s="671" t="s">
        <v>3337</v>
      </c>
      <c r="F6" s="24"/>
      <c r="G6" s="20"/>
      <c r="H6" s="25" t="s">
        <v>3341</v>
      </c>
      <c r="I6" s="26"/>
      <c r="J6" s="27"/>
      <c r="K6" s="28" t="s">
        <v>3337</v>
      </c>
      <c r="L6" s="24"/>
      <c r="M6" s="20"/>
      <c r="N6" s="25" t="s">
        <v>3341</v>
      </c>
      <c r="O6" s="26"/>
      <c r="P6" s="27"/>
      <c r="Q6" s="28" t="s">
        <v>3337</v>
      </c>
      <c r="R6" s="24"/>
      <c r="S6" s="20"/>
      <c r="T6" s="25" t="s">
        <v>3344</v>
      </c>
      <c r="U6" s="25"/>
      <c r="V6" s="24"/>
      <c r="W6" s="29" t="s">
        <v>3347</v>
      </c>
    </row>
    <row r="7" spans="2:23">
      <c r="B7" s="653"/>
      <c r="C7" s="20"/>
      <c r="D7" s="24"/>
      <c r="E7" s="671" t="s">
        <v>3340</v>
      </c>
      <c r="F7" s="24"/>
      <c r="G7" s="20"/>
      <c r="H7" s="25"/>
      <c r="I7" s="24"/>
      <c r="J7" s="20"/>
      <c r="K7" s="25" t="s">
        <v>3342</v>
      </c>
      <c r="L7" s="24"/>
      <c r="M7" s="20"/>
      <c r="N7" s="25"/>
      <c r="O7" s="24"/>
      <c r="P7" s="20"/>
      <c r="Q7" s="25" t="s">
        <v>3342</v>
      </c>
      <c r="R7" s="24"/>
      <c r="S7" s="20"/>
      <c r="T7" s="25" t="s">
        <v>3345</v>
      </c>
      <c r="U7" s="25"/>
      <c r="V7" s="24"/>
      <c r="W7" s="30" t="s">
        <v>3348</v>
      </c>
    </row>
    <row r="8" spans="2:23">
      <c r="B8" s="653"/>
      <c r="C8" s="19" t="s">
        <v>3</v>
      </c>
      <c r="D8" s="24"/>
      <c r="E8" s="672" t="s">
        <v>3349</v>
      </c>
      <c r="F8" s="24"/>
      <c r="G8" s="20"/>
      <c r="H8" s="31" t="s">
        <v>3350</v>
      </c>
      <c r="I8" s="24"/>
      <c r="J8" s="20"/>
      <c r="K8" s="28" t="s">
        <v>3351</v>
      </c>
      <c r="L8" s="24"/>
      <c r="M8" s="20"/>
      <c r="N8" s="31" t="s">
        <v>3353</v>
      </c>
      <c r="O8" s="24"/>
      <c r="P8" s="20"/>
      <c r="Q8" s="28" t="s">
        <v>3352</v>
      </c>
      <c r="R8" s="24"/>
      <c r="S8" s="20"/>
      <c r="T8" s="31" t="s">
        <v>3354</v>
      </c>
      <c r="U8" s="31"/>
      <c r="V8" s="24"/>
      <c r="W8" s="32" t="s">
        <v>3355</v>
      </c>
    </row>
    <row r="9" spans="2:23">
      <c r="B9" s="653"/>
      <c r="C9" s="20"/>
      <c r="D9" s="24"/>
      <c r="E9" s="654"/>
      <c r="F9" s="658"/>
      <c r="G9" s="659"/>
      <c r="H9" s="659"/>
      <c r="I9" s="658"/>
      <c r="J9" s="659"/>
      <c r="K9" s="659"/>
      <c r="L9" s="658"/>
      <c r="M9" s="659"/>
      <c r="N9" s="659"/>
      <c r="O9" s="658"/>
      <c r="P9" s="659"/>
      <c r="Q9" s="659"/>
      <c r="R9" s="658"/>
      <c r="S9" s="659"/>
      <c r="T9" s="659"/>
      <c r="U9" s="659"/>
      <c r="V9" s="658"/>
      <c r="W9" s="658"/>
    </row>
    <row r="10" spans="2:23">
      <c r="B10" s="653"/>
      <c r="C10" s="19" t="s">
        <v>4</v>
      </c>
      <c r="D10" s="24"/>
      <c r="E10" s="660"/>
      <c r="F10" s="34"/>
      <c r="G10" s="38"/>
      <c r="H10" s="530"/>
      <c r="I10" s="34"/>
      <c r="J10" s="38"/>
      <c r="K10" s="38"/>
      <c r="L10" s="34"/>
      <c r="M10" s="38"/>
      <c r="N10" s="530"/>
      <c r="O10" s="34"/>
      <c r="P10" s="38"/>
      <c r="Q10" s="38"/>
      <c r="R10" s="24"/>
      <c r="S10" s="20"/>
      <c r="T10" s="20"/>
      <c r="U10" s="20"/>
      <c r="V10" s="24"/>
      <c r="W10" s="24"/>
    </row>
    <row r="11" spans="2:23">
      <c r="B11" s="653">
        <v>1</v>
      </c>
      <c r="C11" s="33" t="s">
        <v>23</v>
      </c>
      <c r="D11" s="34"/>
      <c r="E11" s="661">
        <f>+'Operating Report'!G17</f>
        <v>221481599.95999998</v>
      </c>
      <c r="F11" s="531"/>
      <c r="G11" s="44"/>
      <c r="H11" s="44">
        <f>'Exh 9, Summary of Adj'!R12</f>
        <v>-1989968.7252955195</v>
      </c>
      <c r="I11" s="531"/>
      <c r="J11" s="44"/>
      <c r="K11" s="532">
        <f>H11+E11</f>
        <v>219491631.23470446</v>
      </c>
      <c r="L11" s="531"/>
      <c r="M11" s="44"/>
      <c r="N11" s="44">
        <f>'Exh 9, Summary of Adj'!AA12</f>
        <v>14922776.155102273</v>
      </c>
      <c r="O11" s="531"/>
      <c r="P11" s="44"/>
      <c r="Q11" s="532">
        <f>N11+K11</f>
        <v>234414407.38980675</v>
      </c>
      <c r="R11" s="531"/>
      <c r="S11" s="44"/>
      <c r="T11" s="532">
        <f>+'Exh 7, Rev Req Calc'!D17-T12</f>
        <v>-390563.27449837571</v>
      </c>
      <c r="U11" s="532"/>
      <c r="V11" s="531"/>
      <c r="W11" s="786">
        <f>+Q11+T11</f>
        <v>234023844.11530837</v>
      </c>
    </row>
    <row r="12" spans="2:23">
      <c r="B12" s="653">
        <v>2</v>
      </c>
      <c r="C12" s="33" t="s">
        <v>24</v>
      </c>
      <c r="D12" s="34"/>
      <c r="E12" s="662">
        <f>+'Operating Report'!G21</f>
        <v>24094627.940000001</v>
      </c>
      <c r="F12" s="531"/>
      <c r="G12" s="44"/>
      <c r="H12" s="44">
        <f>'Exh 9, Summary of Adj'!R13</f>
        <v>0</v>
      </c>
      <c r="I12" s="531"/>
      <c r="J12" s="44"/>
      <c r="K12" s="532">
        <f>H12+E12</f>
        <v>24094627.940000001</v>
      </c>
      <c r="L12" s="531"/>
      <c r="M12" s="44"/>
      <c r="N12" s="44">
        <f>'Exh 9, Summary of Adj'!AA13</f>
        <v>0</v>
      </c>
      <c r="O12" s="531"/>
      <c r="P12" s="44"/>
      <c r="Q12" s="532">
        <f>N12+K12</f>
        <v>24094627.940000001</v>
      </c>
      <c r="R12" s="531"/>
      <c r="S12" s="44"/>
      <c r="T12" s="44"/>
      <c r="U12" s="44"/>
      <c r="V12" s="531"/>
      <c r="W12" s="786">
        <f>+Q12+T12</f>
        <v>24094627.940000001</v>
      </c>
    </row>
    <row r="13" spans="2:23">
      <c r="B13" s="653">
        <v>3</v>
      </c>
      <c r="C13" s="33" t="s">
        <v>25</v>
      </c>
      <c r="D13" s="38"/>
      <c r="E13" s="663">
        <f>+'Operating Report'!G27-'Operating Report'!G21</f>
        <v>1748761.5300000012</v>
      </c>
      <c r="F13" s="531"/>
      <c r="G13" s="44"/>
      <c r="H13" s="44">
        <f>'Exh 9, Summary of Adj'!R14</f>
        <v>406245</v>
      </c>
      <c r="I13" s="531"/>
      <c r="J13" s="44"/>
      <c r="K13" s="532">
        <f>H13+E13</f>
        <v>2155006.5300000012</v>
      </c>
      <c r="L13" s="531"/>
      <c r="M13" s="44"/>
      <c r="N13" s="44">
        <f>'Exh 9, Summary of Adj'!AA14</f>
        <v>0</v>
      </c>
      <c r="O13" s="531"/>
      <c r="P13" s="44"/>
      <c r="Q13" s="532">
        <f>N13+K13</f>
        <v>2155006.5300000012</v>
      </c>
      <c r="R13" s="531"/>
      <c r="S13" s="44"/>
      <c r="T13" s="44"/>
      <c r="U13" s="44"/>
      <c r="V13" s="531"/>
      <c r="W13" s="786">
        <f>+Q13+T13</f>
        <v>2155006.5300000012</v>
      </c>
    </row>
    <row r="14" spans="2:23">
      <c r="B14" s="653">
        <v>4</v>
      </c>
      <c r="C14" s="39" t="s">
        <v>744</v>
      </c>
      <c r="D14" s="34"/>
      <c r="E14" s="662">
        <f>SUM(E11:E13)</f>
        <v>247324989.42999998</v>
      </c>
      <c r="F14" s="531"/>
      <c r="G14" s="44"/>
      <c r="H14" s="792">
        <f>SUM(H11:H13)</f>
        <v>-1583723.7252955195</v>
      </c>
      <c r="I14" s="531"/>
      <c r="J14" s="44"/>
      <c r="K14" s="792">
        <f>SUM(K11:K13)</f>
        <v>245741265.70470446</v>
      </c>
      <c r="L14" s="531"/>
      <c r="M14" s="44"/>
      <c r="N14" s="792">
        <f>SUM(N11:N13)</f>
        <v>14922776.155102273</v>
      </c>
      <c r="O14" s="531"/>
      <c r="P14" s="44"/>
      <c r="Q14" s="792">
        <f>SUM(Q11:Q13)</f>
        <v>260664041.85980675</v>
      </c>
      <c r="R14" s="531"/>
      <c r="S14" s="44"/>
      <c r="T14" s="792">
        <f>SUM(T11:T13)</f>
        <v>-390563.27449837571</v>
      </c>
      <c r="U14" s="37"/>
      <c r="V14" s="531"/>
      <c r="W14" s="793">
        <f>SUM(W11:W13)</f>
        <v>260273478.58530837</v>
      </c>
    </row>
    <row r="15" spans="2:23">
      <c r="B15" s="653"/>
      <c r="C15" s="33"/>
      <c r="D15" s="34"/>
      <c r="E15" s="662"/>
      <c r="F15" s="531"/>
      <c r="G15" s="44"/>
      <c r="H15" s="37"/>
      <c r="I15" s="531"/>
      <c r="J15" s="44"/>
      <c r="K15" s="37"/>
      <c r="L15" s="531"/>
      <c r="M15" s="44"/>
      <c r="N15" s="37"/>
      <c r="O15" s="531"/>
      <c r="P15" s="44"/>
      <c r="Q15" s="37"/>
      <c r="R15" s="531"/>
      <c r="S15" s="44"/>
      <c r="T15" s="37"/>
      <c r="U15" s="37"/>
      <c r="V15" s="531"/>
      <c r="W15" s="40"/>
    </row>
    <row r="16" spans="2:23">
      <c r="B16" s="653"/>
      <c r="C16" s="33" t="s">
        <v>5</v>
      </c>
      <c r="D16" s="34"/>
      <c r="E16" s="662"/>
      <c r="F16" s="531"/>
      <c r="G16" s="44"/>
      <c r="H16" s="37"/>
      <c r="I16" s="531"/>
      <c r="J16" s="44"/>
      <c r="K16" s="37"/>
      <c r="L16" s="531"/>
      <c r="M16" s="44"/>
      <c r="N16" s="37"/>
      <c r="O16" s="531"/>
      <c r="P16" s="44"/>
      <c r="Q16" s="37"/>
      <c r="R16" s="531"/>
      <c r="S16" s="44"/>
      <c r="T16" s="37"/>
      <c r="U16" s="37"/>
      <c r="V16" s="531"/>
      <c r="W16" s="40"/>
    </row>
    <row r="17" spans="2:23">
      <c r="B17" s="653">
        <v>5</v>
      </c>
      <c r="C17" s="33" t="s">
        <v>745</v>
      </c>
      <c r="D17" s="34"/>
      <c r="E17" s="662">
        <f>+'Operating Report'!G37</f>
        <v>125165839.18000001</v>
      </c>
      <c r="F17" s="531"/>
      <c r="G17" s="44"/>
      <c r="H17" s="44">
        <f>'Exh 9, Summary of Adj'!R18</f>
        <v>0</v>
      </c>
      <c r="I17" s="531"/>
      <c r="J17" s="44"/>
      <c r="K17" s="532">
        <f t="shared" ref="K17:K27" si="0">H17+E17</f>
        <v>125165839.18000001</v>
      </c>
      <c r="L17" s="531"/>
      <c r="M17" s="44"/>
      <c r="N17" s="44">
        <f>+'Exh 9, Summary of Adj'!AA18</f>
        <v>0</v>
      </c>
      <c r="O17" s="531"/>
      <c r="P17" s="44"/>
      <c r="Q17" s="532">
        <f t="shared" ref="Q17:Q28" si="1">N17+K17</f>
        <v>125165839.18000001</v>
      </c>
      <c r="R17" s="531"/>
      <c r="S17" s="44"/>
      <c r="T17" s="44"/>
      <c r="U17" s="44"/>
      <c r="V17" s="531"/>
      <c r="W17" s="786">
        <f>+Q17+T17</f>
        <v>125165839.18000001</v>
      </c>
    </row>
    <row r="18" spans="2:23">
      <c r="B18" s="653">
        <v>6</v>
      </c>
      <c r="C18" s="33" t="s">
        <v>746</v>
      </c>
      <c r="D18" s="34"/>
      <c r="E18" s="662">
        <f>+'Operating Report'!G53</f>
        <v>20632282.93</v>
      </c>
      <c r="F18" s="531"/>
      <c r="G18" s="44"/>
      <c r="H18" s="44">
        <f>'Exh 9, Summary of Adj'!R19</f>
        <v>-64172.485348974456</v>
      </c>
      <c r="I18" s="531"/>
      <c r="J18" s="44"/>
      <c r="K18" s="532">
        <f t="shared" si="0"/>
        <v>20568110.444651026</v>
      </c>
      <c r="L18" s="531"/>
      <c r="M18" s="44"/>
      <c r="N18" s="44">
        <f>+'Exh 9, Summary of Adj'!AA19</f>
        <v>604670.88980474416</v>
      </c>
      <c r="O18" s="531"/>
      <c r="P18" s="44"/>
      <c r="Q18" s="532">
        <f t="shared" si="1"/>
        <v>21172781.33445577</v>
      </c>
      <c r="R18" s="531"/>
      <c r="S18" s="44"/>
      <c r="T18" s="44">
        <f>+T14*('Exh 8, Conversion Factor'!C9+'Exh 8, Conversion Factor'!C10)</f>
        <v>-15825.623882674185</v>
      </c>
      <c r="U18" s="44"/>
      <c r="V18" s="531"/>
      <c r="W18" s="794">
        <f>+Q18+T18</f>
        <v>21156955.710573096</v>
      </c>
    </row>
    <row r="19" spans="2:23">
      <c r="B19" s="653">
        <v>7</v>
      </c>
      <c r="C19" s="41" t="s">
        <v>27</v>
      </c>
      <c r="D19" s="34"/>
      <c r="E19" s="662">
        <f>+'Operating Report'!G57</f>
        <v>320028.11</v>
      </c>
      <c r="F19" s="531"/>
      <c r="G19" s="44"/>
      <c r="H19" s="44">
        <f>'Exh 9, Summary of Adj'!R20</f>
        <v>0</v>
      </c>
      <c r="I19" s="531"/>
      <c r="J19" s="44"/>
      <c r="K19" s="532">
        <f t="shared" si="0"/>
        <v>320028.11</v>
      </c>
      <c r="L19" s="531"/>
      <c r="M19" s="44"/>
      <c r="N19" s="44">
        <f>+'Exh 9, Summary of Adj'!AA20</f>
        <v>5778.6633749999992</v>
      </c>
      <c r="O19" s="531"/>
      <c r="P19" s="44"/>
      <c r="Q19" s="532">
        <f t="shared" si="1"/>
        <v>325806.77337499999</v>
      </c>
      <c r="R19" s="531"/>
      <c r="S19" s="44"/>
      <c r="T19" s="44"/>
      <c r="U19" s="44"/>
      <c r="V19" s="531"/>
      <c r="W19" s="786">
        <f t="shared" ref="W19:W28" si="2">+Q19+T19</f>
        <v>325806.77337499999</v>
      </c>
    </row>
    <row r="20" spans="2:23">
      <c r="B20" s="653">
        <v>8</v>
      </c>
      <c r="C20" s="41" t="s">
        <v>6</v>
      </c>
      <c r="D20" s="34"/>
      <c r="E20" s="662">
        <f>+'Operating Report'!G85</f>
        <v>20414279.720000003</v>
      </c>
      <c r="F20" s="531"/>
      <c r="G20" s="44"/>
      <c r="H20" s="44">
        <f>'Exh 9, Summary of Adj'!R21</f>
        <v>77164.839599999992</v>
      </c>
      <c r="I20" s="531"/>
      <c r="J20" s="44"/>
      <c r="K20" s="532">
        <f t="shared" si="0"/>
        <v>20491444.559600003</v>
      </c>
      <c r="L20" s="531"/>
      <c r="M20" s="44"/>
      <c r="N20" s="44">
        <f>+'Exh 9, Summary of Adj'!AA21</f>
        <v>1222324.6182179998</v>
      </c>
      <c r="O20" s="531"/>
      <c r="P20" s="44"/>
      <c r="Q20" s="532">
        <f t="shared" si="1"/>
        <v>21713769.177818004</v>
      </c>
      <c r="R20" s="531"/>
      <c r="S20" s="44"/>
      <c r="T20" s="44"/>
      <c r="U20" s="44"/>
      <c r="V20" s="531"/>
      <c r="W20" s="786">
        <f t="shared" si="2"/>
        <v>21713769.177818004</v>
      </c>
    </row>
    <row r="21" spans="2:23">
      <c r="B21" s="653">
        <v>9</v>
      </c>
      <c r="C21" s="41" t="s">
        <v>28</v>
      </c>
      <c r="D21" s="34"/>
      <c r="E21" s="662">
        <f>+'Operating Report'!G93</f>
        <v>5854250.6700000009</v>
      </c>
      <c r="F21" s="531"/>
      <c r="G21" s="44"/>
      <c r="H21" s="44">
        <f>'Exh 9, Summary of Adj'!R22</f>
        <v>-3006.9300532145699</v>
      </c>
      <c r="I21" s="531"/>
      <c r="J21" s="44"/>
      <c r="K21" s="532">
        <f t="shared" si="0"/>
        <v>5851243.7399467863</v>
      </c>
      <c r="L21" s="531"/>
      <c r="M21" s="44"/>
      <c r="N21" s="44">
        <f>+'Exh 9, Summary of Adj'!AA22</f>
        <v>162147.14659275144</v>
      </c>
      <c r="O21" s="531"/>
      <c r="P21" s="44"/>
      <c r="Q21" s="532">
        <f t="shared" si="1"/>
        <v>6013390.8865395375</v>
      </c>
      <c r="R21" s="531"/>
      <c r="S21" s="44"/>
      <c r="T21" s="44">
        <f>+T14*'Exh 8, Conversion Factor'!C8</f>
        <v>-1570.0188089382307</v>
      </c>
      <c r="U21" s="44"/>
      <c r="V21" s="531"/>
      <c r="W21" s="786">
        <f t="shared" si="2"/>
        <v>6011820.8677305989</v>
      </c>
    </row>
    <row r="22" spans="2:23">
      <c r="B22" s="653">
        <v>10</v>
      </c>
      <c r="C22" s="41" t="s">
        <v>7</v>
      </c>
      <c r="D22" s="34"/>
      <c r="E22" s="662">
        <f>+'Operating Report'!G100</f>
        <v>7311469.46</v>
      </c>
      <c r="F22" s="531"/>
      <c r="G22" s="44"/>
      <c r="H22" s="44">
        <f>'Exh 9, Summary of Adj'!R23</f>
        <v>-4394</v>
      </c>
      <c r="I22" s="531"/>
      <c r="J22" s="44"/>
      <c r="K22" s="532">
        <f t="shared" si="0"/>
        <v>7307075.46</v>
      </c>
      <c r="L22" s="531"/>
      <c r="M22" s="44"/>
      <c r="N22" s="44">
        <f>+'Exh 9, Summary of Adj'!AA23</f>
        <v>24840.201999999997</v>
      </c>
      <c r="O22" s="531"/>
      <c r="P22" s="44"/>
      <c r="Q22" s="532">
        <f t="shared" si="1"/>
        <v>7331915.6619999995</v>
      </c>
      <c r="R22" s="531"/>
      <c r="S22" s="44"/>
      <c r="T22" s="44"/>
      <c r="U22" s="44"/>
      <c r="V22" s="531"/>
      <c r="W22" s="786">
        <f t="shared" si="2"/>
        <v>7331915.6619999995</v>
      </c>
    </row>
    <row r="23" spans="2:23">
      <c r="B23" s="653">
        <v>11</v>
      </c>
      <c r="C23" s="41" t="s">
        <v>8</v>
      </c>
      <c r="D23" s="34"/>
      <c r="E23" s="662">
        <f>+'Operating Report'!G107</f>
        <v>5408.6900000000005</v>
      </c>
      <c r="F23" s="531"/>
      <c r="G23" s="44"/>
      <c r="H23" s="44">
        <f>'Exh 9, Summary of Adj'!R24</f>
        <v>-1977.2275</v>
      </c>
      <c r="I23" s="531"/>
      <c r="J23" s="44"/>
      <c r="K23" s="532">
        <f t="shared" si="0"/>
        <v>3431.4625000000005</v>
      </c>
      <c r="L23" s="531"/>
      <c r="M23" s="44"/>
      <c r="N23" s="44">
        <f>+'Exh 9, Summary of Adj'!AA24</f>
        <v>94.855999999999995</v>
      </c>
      <c r="O23" s="531"/>
      <c r="P23" s="44"/>
      <c r="Q23" s="532">
        <f t="shared" si="1"/>
        <v>3526.3185000000003</v>
      </c>
      <c r="R23" s="531"/>
      <c r="S23" s="44"/>
      <c r="T23" s="44"/>
      <c r="U23" s="44"/>
      <c r="V23" s="531"/>
      <c r="W23" s="786">
        <f t="shared" si="2"/>
        <v>3526.3185000000003</v>
      </c>
    </row>
    <row r="24" spans="2:23">
      <c r="B24" s="653">
        <v>12</v>
      </c>
      <c r="C24" s="41" t="s">
        <v>9</v>
      </c>
      <c r="D24" s="38"/>
      <c r="E24" s="662">
        <f>+'Operating Report'!G123</f>
        <v>18950113.18</v>
      </c>
      <c r="F24" s="531"/>
      <c r="G24" s="44"/>
      <c r="H24" s="44">
        <f>'Exh 9, Summary of Adj'!R25</f>
        <v>-2030944.015748</v>
      </c>
      <c r="I24" s="531"/>
      <c r="J24" s="44"/>
      <c r="K24" s="532">
        <f t="shared" si="0"/>
        <v>16919169.164251998</v>
      </c>
      <c r="L24" s="531"/>
      <c r="M24" s="44"/>
      <c r="N24" s="44">
        <f>+'Exh 9, Summary of Adj'!AA25</f>
        <v>307101.57116349996</v>
      </c>
      <c r="O24" s="531"/>
      <c r="P24" s="44"/>
      <c r="Q24" s="532">
        <f t="shared" si="1"/>
        <v>17226270.7354155</v>
      </c>
      <c r="R24" s="531"/>
      <c r="S24" s="44"/>
      <c r="T24" s="44"/>
      <c r="U24" s="44"/>
      <c r="V24" s="531"/>
      <c r="W24" s="786">
        <f t="shared" si="2"/>
        <v>17226270.7354155</v>
      </c>
    </row>
    <row r="25" spans="2:23">
      <c r="B25" s="653">
        <v>13</v>
      </c>
      <c r="C25" s="41" t="s">
        <v>29</v>
      </c>
      <c r="D25" s="34"/>
      <c r="E25" s="661">
        <f>+'Operating Report'!G135</f>
        <v>24915117.609999999</v>
      </c>
      <c r="F25" s="531"/>
      <c r="G25" s="44"/>
      <c r="H25" s="44">
        <f>'Exh 9, Summary of Adj'!R26</f>
        <v>1451381.2678899996</v>
      </c>
      <c r="I25" s="531"/>
      <c r="J25" s="44"/>
      <c r="K25" s="532">
        <f t="shared" si="0"/>
        <v>26366498.877889998</v>
      </c>
      <c r="L25" s="531"/>
      <c r="M25" s="44"/>
      <c r="N25" s="44">
        <f>+'Exh 9, Summary of Adj'!AA26</f>
        <v>868217.01335499994</v>
      </c>
      <c r="O25" s="531"/>
      <c r="P25" s="44"/>
      <c r="Q25" s="532">
        <f t="shared" si="1"/>
        <v>27234715.891245</v>
      </c>
      <c r="R25" s="531"/>
      <c r="S25" s="44"/>
      <c r="T25" s="44"/>
      <c r="U25" s="44"/>
      <c r="V25" s="531"/>
      <c r="W25" s="786">
        <f t="shared" si="2"/>
        <v>27234715.891245</v>
      </c>
    </row>
    <row r="26" spans="2:23">
      <c r="B26" s="653">
        <v>14</v>
      </c>
      <c r="C26" s="41" t="s">
        <v>30</v>
      </c>
      <c r="D26" s="34"/>
      <c r="E26" s="664"/>
      <c r="F26" s="531"/>
      <c r="G26" s="44"/>
      <c r="H26" s="44">
        <f>'Exh 9, Summary of Adj'!R27</f>
        <v>0</v>
      </c>
      <c r="I26" s="531"/>
      <c r="J26" s="44"/>
      <c r="K26" s="532">
        <f t="shared" si="0"/>
        <v>0</v>
      </c>
      <c r="L26" s="531"/>
      <c r="M26" s="44"/>
      <c r="N26" s="44">
        <f>+'Exh 9, Summary of Adj'!AA27</f>
        <v>0</v>
      </c>
      <c r="O26" s="531"/>
      <c r="P26" s="44"/>
      <c r="Q26" s="532">
        <f t="shared" si="1"/>
        <v>0</v>
      </c>
      <c r="R26" s="531"/>
      <c r="S26" s="44"/>
      <c r="T26" s="44"/>
      <c r="U26" s="44"/>
      <c r="V26" s="531"/>
      <c r="W26" s="786">
        <f t="shared" si="2"/>
        <v>0</v>
      </c>
    </row>
    <row r="27" spans="2:23">
      <c r="B27" s="653">
        <v>15</v>
      </c>
      <c r="C27" s="41" t="s">
        <v>31</v>
      </c>
      <c r="D27" s="34"/>
      <c r="E27" s="662">
        <f>+'Operating Report'!G140</f>
        <v>4176014.52</v>
      </c>
      <c r="F27" s="531"/>
      <c r="G27" s="44"/>
      <c r="H27" s="44">
        <f>'Exh 9, Summary of Adj'!R28</f>
        <v>6163.0958619000021</v>
      </c>
      <c r="I27" s="531"/>
      <c r="J27" s="44"/>
      <c r="K27" s="532">
        <f t="shared" si="0"/>
        <v>4182177.6158619002</v>
      </c>
      <c r="L27" s="531"/>
      <c r="M27" s="44"/>
      <c r="N27" s="44">
        <f>+'Exh 9, Summary of Adj'!AA28</f>
        <v>207456.63947080736</v>
      </c>
      <c r="O27" s="531"/>
      <c r="P27" s="44"/>
      <c r="Q27" s="532">
        <f t="shared" si="1"/>
        <v>4389634.2553327074</v>
      </c>
      <c r="R27" s="531"/>
      <c r="S27" s="44"/>
      <c r="T27" s="44"/>
      <c r="U27" s="44"/>
      <c r="V27" s="531"/>
      <c r="W27" s="786">
        <f t="shared" si="2"/>
        <v>4389634.2553327074</v>
      </c>
    </row>
    <row r="28" spans="2:23">
      <c r="B28" s="653">
        <v>16</v>
      </c>
      <c r="C28" s="41" t="s">
        <v>32</v>
      </c>
      <c r="D28" s="34"/>
      <c r="E28" s="662">
        <f>+'Operating Report'!G149</f>
        <v>-1224199.5100000019</v>
      </c>
      <c r="F28" s="531"/>
      <c r="G28" s="44"/>
      <c r="H28" s="44">
        <f>'Exh 9, Summary of Adj'!R29</f>
        <v>-212927.03669941815</v>
      </c>
      <c r="I28" s="531"/>
      <c r="J28" s="44"/>
      <c r="K28" s="532">
        <f>H28+E28</f>
        <v>-1437126.5466994201</v>
      </c>
      <c r="L28" s="531"/>
      <c r="M28" s="44"/>
      <c r="N28" s="44">
        <f>+'Exh 9, Summary of Adj'!AA29</f>
        <v>2779492.4676555526</v>
      </c>
      <c r="O28" s="531"/>
      <c r="P28" s="44"/>
      <c r="Q28" s="532">
        <f t="shared" si="1"/>
        <v>1342365.9209561325</v>
      </c>
      <c r="R28" s="531"/>
      <c r="S28" s="44"/>
      <c r="T28" s="44">
        <f>(+T14-T18-T21)*0.21</f>
        <v>-78365.202679420283</v>
      </c>
      <c r="U28" s="44"/>
      <c r="V28" s="531"/>
      <c r="W28" s="786">
        <f t="shared" si="2"/>
        <v>1264000.7182767121</v>
      </c>
    </row>
    <row r="29" spans="2:23" ht="16.2" thickBot="1">
      <c r="B29" s="653">
        <v>17</v>
      </c>
      <c r="C29" s="45" t="s">
        <v>33</v>
      </c>
      <c r="D29" s="24"/>
      <c r="E29" s="795">
        <f>SUM(E17:E28)</f>
        <v>226520604.56000003</v>
      </c>
      <c r="F29" s="531"/>
      <c r="G29" s="44"/>
      <c r="H29" s="796">
        <f>SUM(H17:H28)</f>
        <v>-782712.49199770764</v>
      </c>
      <c r="I29" s="531"/>
      <c r="J29" s="44"/>
      <c r="K29" s="796">
        <f>SUM(K17:K28)</f>
        <v>225737892.06800231</v>
      </c>
      <c r="L29" s="531"/>
      <c r="M29" s="44"/>
      <c r="N29" s="796">
        <f>SUM(N17:N28)</f>
        <v>6182124.0676353555</v>
      </c>
      <c r="O29" s="531"/>
      <c r="P29" s="44"/>
      <c r="Q29" s="796">
        <f>SUM(Q17:Q28)</f>
        <v>231920016.13563767</v>
      </c>
      <c r="R29" s="531"/>
      <c r="S29" s="44"/>
      <c r="T29" s="796">
        <f>SUM(T17:T28)</f>
        <v>-95760.845371032701</v>
      </c>
      <c r="U29" s="532"/>
      <c r="V29" s="531"/>
      <c r="W29" s="797">
        <f>SUM(W17:W28)</f>
        <v>231824255.29026663</v>
      </c>
    </row>
    <row r="30" spans="2:23" ht="16.8" thickTop="1" thickBot="1">
      <c r="B30" s="653">
        <v>18</v>
      </c>
      <c r="C30" s="45" t="s">
        <v>10</v>
      </c>
      <c r="D30" s="24"/>
      <c r="E30" s="795">
        <f>+E14-E29</f>
        <v>20804384.869999945</v>
      </c>
      <c r="F30" s="531"/>
      <c r="G30" s="44"/>
      <c r="H30" s="796">
        <f>+H14-H29</f>
        <v>-801011.23329781182</v>
      </c>
      <c r="I30" s="796"/>
      <c r="J30" s="44"/>
      <c r="K30" s="796">
        <f>+K14-K29</f>
        <v>20003373.63670215</v>
      </c>
      <c r="L30" s="531"/>
      <c r="M30" s="44"/>
      <c r="N30" s="796">
        <f>+N14-N29</f>
        <v>8740652.0874669179</v>
      </c>
      <c r="O30" s="796"/>
      <c r="P30" s="44"/>
      <c r="Q30" s="796">
        <f>+Q14-Q29</f>
        <v>28744025.724169075</v>
      </c>
      <c r="R30" s="531"/>
      <c r="S30" s="44"/>
      <c r="T30" s="796">
        <f>+T14-T29</f>
        <v>-294802.429127343</v>
      </c>
      <c r="U30" s="532"/>
      <c r="V30" s="531"/>
      <c r="W30" s="797">
        <f>+W14-W29</f>
        <v>28449223.29504174</v>
      </c>
    </row>
    <row r="31" spans="2:23" ht="16.2" thickTop="1">
      <c r="B31" s="653"/>
      <c r="C31" s="45"/>
      <c r="D31" s="24"/>
      <c r="E31" s="788"/>
      <c r="F31" s="531"/>
      <c r="G31" s="44"/>
      <c r="H31" s="532"/>
      <c r="I31" s="532"/>
      <c r="J31" s="44"/>
      <c r="K31" s="532"/>
      <c r="L31" s="531"/>
      <c r="M31" s="44"/>
      <c r="N31" s="532"/>
      <c r="O31" s="532"/>
      <c r="P31" s="44"/>
      <c r="Q31" s="532"/>
      <c r="R31" s="531"/>
      <c r="S31" s="44"/>
      <c r="T31" s="532"/>
      <c r="U31" s="532"/>
      <c r="V31" s="531"/>
      <c r="W31" s="786"/>
    </row>
    <row r="32" spans="2:23">
      <c r="B32" s="653"/>
      <c r="C32" s="45" t="s">
        <v>34</v>
      </c>
      <c r="D32" s="34"/>
      <c r="E32" s="665"/>
      <c r="F32" s="35"/>
      <c r="G32" s="36"/>
      <c r="H32" s="36"/>
      <c r="I32" s="35"/>
      <c r="J32" s="36"/>
      <c r="K32" s="36"/>
      <c r="L32" s="35"/>
      <c r="M32" s="36"/>
      <c r="N32" s="36"/>
      <c r="O32" s="35"/>
      <c r="P32" s="36"/>
      <c r="Q32" s="36"/>
      <c r="R32" s="35"/>
      <c r="S32" s="36"/>
      <c r="T32" s="36"/>
      <c r="U32" s="36"/>
      <c r="V32" s="35"/>
      <c r="W32" s="47"/>
    </row>
    <row r="33" spans="2:23">
      <c r="B33" s="653">
        <v>19</v>
      </c>
      <c r="C33" s="33" t="s">
        <v>36</v>
      </c>
      <c r="D33" s="34"/>
      <c r="E33" s="661">
        <f>+'Rate Base'!D13</f>
        <v>835867891.49633491</v>
      </c>
      <c r="F33" s="531"/>
      <c r="G33" s="44"/>
      <c r="H33" s="44">
        <f>'Exh 9, Summary of Adj'!R34</f>
        <v>31306894.583987057</v>
      </c>
      <c r="I33" s="531"/>
      <c r="J33" s="44"/>
      <c r="K33" s="532">
        <f>H33+E33</f>
        <v>867174786.08032203</v>
      </c>
      <c r="L33" s="531"/>
      <c r="M33" s="44"/>
      <c r="N33" s="44">
        <f>'Exh 9, Summary of Adj'!AA34</f>
        <v>13586826.540000001</v>
      </c>
      <c r="O33" s="531"/>
      <c r="P33" s="44"/>
      <c r="Q33" s="532">
        <f>N33+K33</f>
        <v>880761612.62032199</v>
      </c>
      <c r="R33" s="531"/>
      <c r="S33" s="44"/>
      <c r="T33" s="532"/>
      <c r="U33" s="532"/>
      <c r="V33" s="531"/>
      <c r="W33" s="786">
        <f>+Q33+T33</f>
        <v>880761612.62032199</v>
      </c>
    </row>
    <row r="34" spans="2:23">
      <c r="B34" s="653">
        <v>20</v>
      </c>
      <c r="C34" s="33" t="s">
        <v>37</v>
      </c>
      <c r="D34" s="34"/>
      <c r="E34" s="661">
        <f>+'Rate Base'!D14</f>
        <v>-389781047.94520426</v>
      </c>
      <c r="F34" s="531"/>
      <c r="G34" s="44"/>
      <c r="H34" s="44">
        <f>'Exh 9, Summary of Adj'!R35</f>
        <v>-7438116.7491337657</v>
      </c>
      <c r="I34" s="531"/>
      <c r="J34" s="44"/>
      <c r="K34" s="532">
        <f>H34+E34</f>
        <v>-397219164.69433802</v>
      </c>
      <c r="L34" s="531"/>
      <c r="M34" s="44"/>
      <c r="N34" s="44">
        <f>'Exh 9, Summary of Adj'!AA35</f>
        <v>-434108.50667749997</v>
      </c>
      <c r="O34" s="531"/>
      <c r="P34" s="44"/>
      <c r="Q34" s="532">
        <f>N34+K34</f>
        <v>-397653273.20101553</v>
      </c>
      <c r="R34" s="531"/>
      <c r="S34" s="44"/>
      <c r="T34" s="532"/>
      <c r="U34" s="532"/>
      <c r="V34" s="531"/>
      <c r="W34" s="786">
        <f>+Q34+T34</f>
        <v>-397653273.20101553</v>
      </c>
    </row>
    <row r="35" spans="2:23">
      <c r="B35" s="653">
        <v>21</v>
      </c>
      <c r="C35" s="38" t="s">
        <v>11</v>
      </c>
      <c r="D35" s="38"/>
      <c r="E35" s="662">
        <f>+'Rate Base'!D16</f>
        <v>-3800412.8362500002</v>
      </c>
      <c r="F35" s="531"/>
      <c r="G35" s="44"/>
      <c r="H35" s="44">
        <f>'Exh 9, Summary of Adj'!R36</f>
        <v>44862.196250000037</v>
      </c>
      <c r="I35" s="531"/>
      <c r="J35" s="44"/>
      <c r="K35" s="532">
        <f>H35+E35</f>
        <v>-3755550.64</v>
      </c>
      <c r="L35" s="531"/>
      <c r="M35" s="44"/>
      <c r="N35" s="44">
        <f>'Exh 9, Summary of Adj'!AA36</f>
        <v>0</v>
      </c>
      <c r="O35" s="531"/>
      <c r="P35" s="44"/>
      <c r="Q35" s="532">
        <f>N35+K35</f>
        <v>-3755550.64</v>
      </c>
      <c r="R35" s="531"/>
      <c r="S35" s="44"/>
      <c r="T35" s="532"/>
      <c r="U35" s="532"/>
      <c r="V35" s="531"/>
      <c r="W35" s="786">
        <f>+Q35+T35</f>
        <v>-3755550.64</v>
      </c>
    </row>
    <row r="36" spans="2:23">
      <c r="B36" s="653">
        <v>22</v>
      </c>
      <c r="C36" s="38" t="s">
        <v>38</v>
      </c>
      <c r="D36" s="34"/>
      <c r="E36" s="662">
        <f>+'Rate Base'!D17</f>
        <v>-75625049.641666636</v>
      </c>
      <c r="F36" s="531"/>
      <c r="G36" s="44"/>
      <c r="H36" s="44">
        <f>'Exh 9, Summary of Adj'!R37</f>
        <v>-2047961.5683333576</v>
      </c>
      <c r="I36" s="531"/>
      <c r="J36" s="44"/>
      <c r="K36" s="532">
        <f>H36+E36</f>
        <v>-77673011.209999993</v>
      </c>
      <c r="L36" s="531"/>
      <c r="M36" s="44"/>
      <c r="N36" s="44">
        <f>'Exh 9, Summary of Adj'!AA37</f>
        <v>37664.656901024988</v>
      </c>
      <c r="O36" s="531"/>
      <c r="P36" s="44"/>
      <c r="Q36" s="532">
        <f>N36+K36</f>
        <v>-77635346.553098962</v>
      </c>
      <c r="R36" s="531"/>
      <c r="S36" s="44"/>
      <c r="T36" s="532"/>
      <c r="U36" s="532"/>
      <c r="V36" s="531"/>
      <c r="W36" s="786">
        <f>+Q36+T36</f>
        <v>-77635346.553098962</v>
      </c>
    </row>
    <row r="37" spans="2:23">
      <c r="B37" s="653">
        <v>23</v>
      </c>
      <c r="C37" s="38" t="s">
        <v>39</v>
      </c>
      <c r="D37" s="34"/>
      <c r="E37" s="662">
        <f>+' Working Capital (AMA)'!Y708</f>
        <v>7565010.5869378978</v>
      </c>
      <c r="F37" s="531"/>
      <c r="G37" s="44"/>
      <c r="H37" s="44">
        <f>'Exh 9, Summary of Adj'!R38</f>
        <v>0</v>
      </c>
      <c r="I37" s="531"/>
      <c r="J37" s="44"/>
      <c r="K37" s="532">
        <f>H37+E37</f>
        <v>7565010.5869378978</v>
      </c>
      <c r="L37" s="531"/>
      <c r="M37" s="44"/>
      <c r="N37" s="44">
        <f>'Exh 9, Summary of Adj'!AA38</f>
        <v>0</v>
      </c>
      <c r="O37" s="531"/>
      <c r="P37" s="44"/>
      <c r="Q37" s="532">
        <f>N37+K37</f>
        <v>7565010.5869378978</v>
      </c>
      <c r="R37" s="531"/>
      <c r="S37" s="44"/>
      <c r="T37" s="532"/>
      <c r="U37" s="532"/>
      <c r="V37" s="531"/>
      <c r="W37" s="786">
        <f>+Q37+T37</f>
        <v>7565010.5869378978</v>
      </c>
    </row>
    <row r="38" spans="2:23" ht="16.2" thickBot="1">
      <c r="B38" s="653">
        <v>24</v>
      </c>
      <c r="C38" s="45" t="s">
        <v>35</v>
      </c>
      <c r="D38" s="20"/>
      <c r="E38" s="787">
        <f>SUM(E33:E37)</f>
        <v>374226391.6601519</v>
      </c>
      <c r="F38" s="531"/>
      <c r="G38" s="44"/>
      <c r="H38" s="787">
        <f>SUM(H33:H37)</f>
        <v>21865678.462769933</v>
      </c>
      <c r="I38" s="531"/>
      <c r="J38" s="44"/>
      <c r="K38" s="787">
        <f>SUM(K33:K37)</f>
        <v>396092070.12292194</v>
      </c>
      <c r="L38" s="531"/>
      <c r="M38" s="44"/>
      <c r="N38" s="787">
        <f>SUM(N33:N37)</f>
        <v>13190382.690223526</v>
      </c>
      <c r="O38" s="531"/>
      <c r="P38" s="44"/>
      <c r="Q38" s="787">
        <f>SUM(Q33:Q37)</f>
        <v>409282452.8131454</v>
      </c>
      <c r="R38" s="531"/>
      <c r="S38" s="44"/>
      <c r="T38" s="787">
        <f>SUM(T33:T37)</f>
        <v>0</v>
      </c>
      <c r="U38" s="788"/>
      <c r="V38" s="531"/>
      <c r="W38" s="787">
        <f>SUM(W33:W37)</f>
        <v>409282452.8131454</v>
      </c>
    </row>
    <row r="39" spans="2:23" ht="16.2" thickTop="1">
      <c r="B39" s="653">
        <v>25</v>
      </c>
      <c r="C39" s="45" t="s">
        <v>12</v>
      </c>
      <c r="D39" s="34"/>
      <c r="E39" s="789">
        <f>+E30/E38</f>
        <v>5.5593045636645362E-2</v>
      </c>
      <c r="F39" s="34"/>
      <c r="G39" s="38"/>
      <c r="H39" s="38"/>
      <c r="I39" s="34"/>
      <c r="J39" s="38"/>
      <c r="K39" s="790">
        <f>+K30/K38</f>
        <v>5.0501828098942672E-2</v>
      </c>
      <c r="L39" s="34"/>
      <c r="M39" s="38"/>
      <c r="N39" s="38"/>
      <c r="O39" s="34"/>
      <c r="P39" s="38"/>
      <c r="Q39" s="790">
        <f>+Q30/Q38</f>
        <v>7.023029090693006E-2</v>
      </c>
      <c r="R39" s="34"/>
      <c r="S39" s="38"/>
      <c r="T39" s="791"/>
      <c r="U39" s="791"/>
      <c r="V39" s="34"/>
      <c r="W39" s="48">
        <f>+W30/W38</f>
        <v>6.9510000000000002E-2</v>
      </c>
    </row>
    <row r="40" spans="2:23">
      <c r="B40" s="654"/>
      <c r="C40" s="666"/>
      <c r="D40" s="667"/>
      <c r="E40" s="668"/>
      <c r="F40" s="658"/>
      <c r="G40" s="659"/>
      <c r="H40" s="659"/>
      <c r="I40" s="658"/>
      <c r="J40" s="659"/>
      <c r="K40" s="669"/>
      <c r="L40" s="658"/>
      <c r="M40" s="659"/>
      <c r="N40" s="659"/>
      <c r="O40" s="658"/>
      <c r="P40" s="659"/>
      <c r="Q40" s="669"/>
      <c r="R40" s="658"/>
      <c r="S40" s="659"/>
      <c r="T40" s="659"/>
      <c r="U40" s="659"/>
      <c r="V40" s="659"/>
      <c r="W40" s="670"/>
    </row>
    <row r="41" spans="2:23">
      <c r="B41" s="21"/>
      <c r="C41" s="21"/>
      <c r="D41" s="21"/>
      <c r="E41" s="21"/>
      <c r="F41" s="21"/>
      <c r="G41" s="21"/>
      <c r="H41" s="21"/>
      <c r="I41" s="21"/>
      <c r="J41" s="21"/>
      <c r="K41" s="21"/>
      <c r="L41" s="21"/>
      <c r="M41" s="21"/>
      <c r="N41" s="21"/>
      <c r="O41" s="21"/>
      <c r="P41" s="21"/>
      <c r="Q41" s="21"/>
      <c r="R41" s="21"/>
      <c r="S41" s="21"/>
      <c r="T41" s="21"/>
      <c r="U41" s="21"/>
      <c r="V41" s="21"/>
      <c r="W41" s="21"/>
    </row>
    <row r="43" spans="2:23">
      <c r="E43" s="1718"/>
      <c r="T43" s="49"/>
    </row>
    <row r="45" spans="2:23">
      <c r="T45" s="43"/>
    </row>
  </sheetData>
  <mergeCells count="3">
    <mergeCell ref="B1:W1"/>
    <mergeCell ref="B3:W3"/>
    <mergeCell ref="B2:W2"/>
  </mergeCells>
  <printOptions horizontalCentered="1"/>
  <pageMargins left="1" right="1" top="1" bottom="1" header="0.3" footer="0.3"/>
  <pageSetup scale="71" fitToHeight="0" orientation="landscape" r:id="rId1"/>
  <headerFooter scaleWithDoc="0" alignWithMargins="0">
    <oddHeader>&amp;RDocket No. UG-200568
Exhibit _____ (MCP-8)
Page 1 of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2E95-95F6-469B-9B8B-CF496A3BE1A9}">
  <sheetPr codeName="Sheet39">
    <tabColor theme="2"/>
  </sheetPr>
  <dimension ref="A1:E106"/>
  <sheetViews>
    <sheetView zoomScale="80" zoomScaleNormal="80" workbookViewId="0">
      <selection activeCell="F27" sqref="F27"/>
    </sheetView>
  </sheetViews>
  <sheetFormatPr defaultColWidth="8.88671875" defaultRowHeight="14.4"/>
  <cols>
    <col min="1" max="1" width="4.5546875" style="613" bestFit="1" customWidth="1"/>
    <col min="2" max="2" width="58.6640625" style="613" bestFit="1" customWidth="1"/>
    <col min="3" max="3" width="27.33203125" style="613" bestFit="1" customWidth="1"/>
    <col min="4" max="4" width="2.33203125" style="613" customWidth="1"/>
    <col min="5" max="5" width="8" style="613" bestFit="1" customWidth="1"/>
    <col min="6" max="6" width="7.6640625" style="613" bestFit="1" customWidth="1"/>
    <col min="7" max="16384" width="8.88671875" style="613"/>
  </cols>
  <sheetData>
    <row r="1" spans="1:5">
      <c r="A1" s="873" t="str">
        <f ca="1">MID(CELL("filename",A1),FIND("]",CELL("filename",A1))+1,255)</f>
        <v>TOC</v>
      </c>
    </row>
    <row r="2" spans="1:5">
      <c r="A2" s="1849" t="s">
        <v>2562</v>
      </c>
      <c r="B2" s="1849"/>
      <c r="C2" s="1849"/>
      <c r="D2" s="1849"/>
      <c r="E2" s="1849"/>
    </row>
    <row r="3" spans="1:5">
      <c r="A3" s="1849" t="s">
        <v>3241</v>
      </c>
      <c r="B3" s="1849"/>
      <c r="C3" s="1849"/>
      <c r="D3" s="1849"/>
      <c r="E3" s="1849"/>
    </row>
    <row r="4" spans="1:5">
      <c r="A4" s="1849" t="str">
        <f>Title3</f>
        <v>General Rate Case Model</v>
      </c>
      <c r="B4" s="1849"/>
      <c r="C4" s="1849"/>
      <c r="D4" s="1849"/>
      <c r="E4" s="1849"/>
    </row>
    <row r="5" spans="1:5">
      <c r="A5" s="1849"/>
      <c r="B5" s="1849"/>
      <c r="C5" s="1849"/>
      <c r="D5" s="1849"/>
      <c r="E5" s="1849"/>
    </row>
    <row r="6" spans="1:5">
      <c r="A6" s="1849" t="s">
        <v>2555</v>
      </c>
      <c r="B6" s="1849"/>
      <c r="C6" s="1849"/>
      <c r="D6" s="1849"/>
      <c r="E6" s="1849"/>
    </row>
    <row r="7" spans="1:5">
      <c r="E7" s="874"/>
    </row>
    <row r="8" spans="1:5" ht="28.8">
      <c r="A8" s="875" t="s">
        <v>2556</v>
      </c>
      <c r="B8" s="876" t="s">
        <v>2448</v>
      </c>
      <c r="C8" s="876" t="s">
        <v>2557</v>
      </c>
      <c r="E8" s="876" t="s">
        <v>2558</v>
      </c>
    </row>
    <row r="9" spans="1:5">
      <c r="A9" s="877">
        <f>IF(ISBLANK(B9),"",MAX($A$8:A8)+1)</f>
        <v>1</v>
      </c>
      <c r="B9" s="613" t="str">
        <f>Cover!B5</f>
        <v>General Rate Case Model</v>
      </c>
      <c r="C9" s="878" t="str">
        <f ca="1">Cover!A1</f>
        <v>Cover</v>
      </c>
      <c r="E9" s="874" t="s">
        <v>2559</v>
      </c>
    </row>
    <row r="10" spans="1:5">
      <c r="A10" s="877">
        <f>IF(ISBLANK(B10),"",MAX($A$8:A9)+1)</f>
        <v>2</v>
      </c>
      <c r="B10" s="613" t="str">
        <f>A6</f>
        <v>Table of Contents</v>
      </c>
      <c r="C10" s="878" t="str">
        <f ca="1">A1</f>
        <v>TOC</v>
      </c>
      <c r="E10" s="879" t="s">
        <v>2560</v>
      </c>
    </row>
    <row r="11" spans="1:5">
      <c r="A11" s="877">
        <f>IF(ISBLANK(B11),"",MAX($A$8:A10)+1)</f>
        <v>3</v>
      </c>
      <c r="B11" s="613" t="str">
        <f>Title!B1</f>
        <v>Model Titles</v>
      </c>
      <c r="C11" s="878" t="str">
        <f ca="1">Title!A1</f>
        <v>Title</v>
      </c>
      <c r="E11" s="613" t="s">
        <v>1052</v>
      </c>
    </row>
    <row r="12" spans="1:5">
      <c r="A12" s="877">
        <f>IF(ISBLANK(B12),"",MAX($A$8:A11)+1)</f>
        <v>4</v>
      </c>
      <c r="B12" s="613" t="e">
        <f>#REF!</f>
        <v>#REF!</v>
      </c>
      <c r="C12" s="878" t="e">
        <f>#REF!</f>
        <v>#REF!</v>
      </c>
    </row>
    <row r="13" spans="1:5">
      <c r="A13" s="877">
        <f>IF(ISBLANK(B13),"",MAX($A$8:A12)+1)</f>
        <v>5</v>
      </c>
      <c r="B13" s="613" t="e">
        <f>#REF!</f>
        <v>#REF!</v>
      </c>
      <c r="C13" s="878" t="e">
        <f>#REF!</f>
        <v>#REF!</v>
      </c>
    </row>
    <row r="14" spans="1:5">
      <c r="A14" s="877">
        <f>IF(ISBLANK(B14),"",MAX($A$8:A12)+1)</f>
        <v>5</v>
      </c>
      <c r="B14" s="613" t="e">
        <f>#REF!</f>
        <v>#REF!</v>
      </c>
      <c r="C14" s="878" t="e">
        <f>#REF!</f>
        <v>#REF!</v>
      </c>
    </row>
    <row r="15" spans="1:5">
      <c r="A15" s="877" t="str">
        <f>IF(ISBLANK(B15),"",MAX($A$8:A13)+1)</f>
        <v/>
      </c>
    </row>
    <row r="16" spans="1:5">
      <c r="A16" s="877">
        <f>IF(ISBLANK(B16),"",MAX($A$8:A15)+1)</f>
        <v>6</v>
      </c>
      <c r="B16" s="613" t="str">
        <f>'Proof ---&gt;'!B2</f>
        <v>Proof of Revenue Section</v>
      </c>
      <c r="C16" s="880" t="str">
        <f ca="1">'Proof ---&gt;'!A1</f>
        <v>Proof ---&gt;</v>
      </c>
    </row>
    <row r="17" spans="1:3">
      <c r="A17" s="877">
        <f>IF(ISBLANK(B17),"",MAX($A$8:A16)+1)</f>
        <v>7</v>
      </c>
      <c r="B17" s="613" t="s">
        <v>2567</v>
      </c>
      <c r="C17" s="880" t="s">
        <v>3121</v>
      </c>
    </row>
    <row r="18" spans="1:3">
      <c r="A18" s="877">
        <f>IF(ISBLANK(B18),"",MAX($A$8:A17)+1)</f>
        <v>8</v>
      </c>
      <c r="B18" s="613" t="s">
        <v>3122</v>
      </c>
      <c r="C18" s="880" t="s">
        <v>3123</v>
      </c>
    </row>
    <row r="19" spans="1:3">
      <c r="A19" s="877" t="str">
        <f>IF(ISBLANK(B19),"",MAX($A$8:A18)+1)</f>
        <v/>
      </c>
    </row>
    <row r="20" spans="1:3">
      <c r="A20" s="877">
        <f>IF(ISBLANK(B20),"",MAX($A$8:A19)+1)</f>
        <v>9</v>
      </c>
      <c r="B20" s="613" t="str">
        <f>'Proof WPs ---&gt;'!B2</f>
        <v>Proof of Revenue Workpapers Section</v>
      </c>
      <c r="C20" s="881" t="str">
        <f ca="1">'Proof WPs ---&gt;'!A1</f>
        <v>Proof WPs ---&gt;</v>
      </c>
    </row>
    <row r="21" spans="1:3">
      <c r="A21" s="877">
        <f>IF(ISBLANK(B21),"",MAX($A$8:A20)+1)</f>
        <v>10</v>
      </c>
      <c r="B21" s="613">
        <f>'1501 Summary'!B4</f>
        <v>0</v>
      </c>
      <c r="C21" s="881">
        <f>'1501 Summary'!A1</f>
        <v>0</v>
      </c>
    </row>
    <row r="22" spans="1:3">
      <c r="A22" s="877">
        <f>IF(ISBLANK(B22),"",MAX($A$8:A21)+1)</f>
        <v>11</v>
      </c>
      <c r="B22" s="613" t="s">
        <v>2900</v>
      </c>
      <c r="C22" s="881" t="s">
        <v>3124</v>
      </c>
    </row>
    <row r="23" spans="1:3">
      <c r="A23" s="877">
        <f>IF(ISBLANK(B23),"",MAX($A$8:A22)+1)</f>
        <v>12</v>
      </c>
      <c r="B23" s="613" t="s">
        <v>3018</v>
      </c>
      <c r="C23" s="881" t="s">
        <v>3125</v>
      </c>
    </row>
    <row r="24" spans="1:3">
      <c r="A24" s="877">
        <f>IF(ISBLANK(B24),"",MAX($A$8:A23)+1)</f>
        <v>13</v>
      </c>
      <c r="B24" s="613" t="s">
        <v>3126</v>
      </c>
      <c r="C24" s="881" t="s">
        <v>3127</v>
      </c>
    </row>
    <row r="25" spans="1:3">
      <c r="A25" s="877">
        <f>IF(ISBLANK(B25),"",MAX($A$8:A24)+1)</f>
        <v>14</v>
      </c>
      <c r="B25" s="613" t="s">
        <v>3128</v>
      </c>
      <c r="C25" s="881" t="s">
        <v>2578</v>
      </c>
    </row>
    <row r="26" spans="1:3">
      <c r="A26" s="877">
        <f>IF(ISBLANK(B26),"",MAX($A$8:A25)+1)</f>
        <v>15</v>
      </c>
      <c r="B26" s="613" t="s">
        <v>3129</v>
      </c>
      <c r="C26" s="881" t="s">
        <v>3130</v>
      </c>
    </row>
    <row r="27" spans="1:3">
      <c r="A27" s="877">
        <f>IF(ISBLANK(B27),"",MAX($A$8:A26)+1)</f>
        <v>16</v>
      </c>
      <c r="B27" s="613" t="s">
        <v>3131</v>
      </c>
      <c r="C27" s="881" t="s">
        <v>3132</v>
      </c>
    </row>
    <row r="28" spans="1:3">
      <c r="A28" s="877" t="str">
        <f>IF(ISBLANK(B28),"",MAX($A$8:A27)+1)</f>
        <v/>
      </c>
    </row>
    <row r="29" spans="1:3">
      <c r="A29" s="877">
        <f>IF(ISBLANK(B29),"",MAX($A$8:A28)+1)</f>
        <v>17</v>
      </c>
      <c r="B29" s="613" t="str">
        <f>'Rev Req ---&gt;'!B2</f>
        <v>Revenue Requirement Section</v>
      </c>
      <c r="C29" s="882" t="str">
        <f ca="1">'Rev Req ---&gt;'!A1</f>
        <v>Rev Req ---&gt;</v>
      </c>
    </row>
    <row r="30" spans="1:3">
      <c r="A30" s="877" t="str">
        <f>IF(ISBLANK(B30),"",MAX($A$8:A29)+1)</f>
        <v/>
      </c>
      <c r="C30" s="882" t="s">
        <v>3133</v>
      </c>
    </row>
    <row r="31" spans="1:3">
      <c r="A31" s="877" t="str">
        <f>IF(ISBLANK(B31),"",MAX($A$8:A30)+1)</f>
        <v/>
      </c>
      <c r="C31" s="882" t="s">
        <v>3134</v>
      </c>
    </row>
    <row r="32" spans="1:3">
      <c r="A32" s="877" t="str">
        <f>IF(ISBLANK(B32),"",MAX($A$8:A31)+1)</f>
        <v/>
      </c>
      <c r="C32" s="882"/>
    </row>
    <row r="33" spans="1:3">
      <c r="A33" s="877" t="str">
        <f>IF(ISBLANK(B33),"",MAX($A$8:A32)+1)</f>
        <v/>
      </c>
      <c r="C33" s="882"/>
    </row>
    <row r="34" spans="1:3">
      <c r="A34" s="877" t="str">
        <f>IF(ISBLANK(B34),"",MAX($A$8:A33)+1)</f>
        <v/>
      </c>
      <c r="C34" s="882"/>
    </row>
    <row r="35" spans="1:3">
      <c r="A35" s="877" t="str">
        <f>IF(ISBLANK(B35),"",MAX($A$8:A34)+1)</f>
        <v/>
      </c>
      <c r="C35" s="882"/>
    </row>
    <row r="36" spans="1:3">
      <c r="A36" s="877" t="str">
        <f>IF(ISBLANK(B36),"",MAX($A$8:A35)+1)</f>
        <v/>
      </c>
    </row>
    <row r="37" spans="1:3">
      <c r="A37" s="877">
        <f>IF(ISBLANK(B37),"",MAX($A$8:A36)+1)</f>
        <v>18</v>
      </c>
      <c r="B37" s="613" t="str">
        <f>'RR WPs ---&gt;'!B2</f>
        <v>Revenue Requirement Workpapers Section</v>
      </c>
      <c r="C37" s="883" t="str">
        <f ca="1">'RR WPs ---&gt;'!A1</f>
        <v>RR WPs ---&gt;</v>
      </c>
    </row>
    <row r="38" spans="1:3">
      <c r="A38" s="877" t="str">
        <f>IF(ISBLANK(B38),"",MAX($A$8:A37)+1)</f>
        <v/>
      </c>
      <c r="C38" s="883"/>
    </row>
    <row r="39" spans="1:3">
      <c r="A39" s="877" t="str">
        <f>IF(ISBLANK(B39),"",MAX($A$8:A38)+1)</f>
        <v/>
      </c>
      <c r="C39" s="883"/>
    </row>
    <row r="40" spans="1:3">
      <c r="A40" s="877" t="str">
        <f>IF(ISBLANK(B40),"",MAX($A$8:A39)+1)</f>
        <v/>
      </c>
      <c r="C40" s="883"/>
    </row>
    <row r="41" spans="1:3">
      <c r="A41" s="877" t="str">
        <f>IF(ISBLANK(B41),"",MAX($A$8:A40)+1)</f>
        <v/>
      </c>
      <c r="C41" s="883"/>
    </row>
    <row r="42" spans="1:3">
      <c r="A42" s="877" t="str">
        <f>IF(ISBLANK(B42),"",MAX($A$8:A41)+1)</f>
        <v/>
      </c>
    </row>
    <row r="43" spans="1:3">
      <c r="A43" s="877" t="str">
        <f>IF(ISBLANK(B43),"",MAX($A$8:A42)+1)</f>
        <v/>
      </c>
    </row>
    <row r="44" spans="1:3">
      <c r="A44" s="877" t="str">
        <f>IF(ISBLANK(B44),"",MAX($A$8:A43)+1)</f>
        <v/>
      </c>
    </row>
    <row r="45" spans="1:3">
      <c r="A45" s="877" t="str">
        <f>IF(ISBLANK(B45),"",MAX($A$8:A44)+1)</f>
        <v/>
      </c>
    </row>
    <row r="46" spans="1:3">
      <c r="A46" s="877" t="str">
        <f>IF(ISBLANK(B46),"",MAX($A$8:A45)+1)</f>
        <v/>
      </c>
    </row>
    <row r="47" spans="1:3">
      <c r="A47" s="877" t="str">
        <f>IF(ISBLANK(B47),"",MAX($A$8:A46)+1)</f>
        <v/>
      </c>
    </row>
    <row r="48" spans="1:3">
      <c r="A48" s="877" t="str">
        <f>IF(ISBLANK(B48),"",MAX($A$8:A47)+1)</f>
        <v/>
      </c>
    </row>
    <row r="49" spans="1:3">
      <c r="A49" s="877" t="str">
        <f>IF(ISBLANK(B49),"",MAX($A$8:A48)+1)</f>
        <v/>
      </c>
    </row>
    <row r="50" spans="1:3">
      <c r="A50" s="877" t="str">
        <f>IF(ISBLANK(B50),"",MAX($A$8:A49)+1)</f>
        <v/>
      </c>
    </row>
    <row r="51" spans="1:3">
      <c r="A51" s="877" t="str">
        <f>IF(ISBLANK(B51),"",MAX($A$8:A50)+1)</f>
        <v/>
      </c>
    </row>
    <row r="52" spans="1:3">
      <c r="A52" s="877" t="str">
        <f>IF(ISBLANK(B52),"",MAX($A$8:A51)+1)</f>
        <v/>
      </c>
    </row>
    <row r="53" spans="1:3">
      <c r="A53" s="877" t="str">
        <f>IF(ISBLANK(B53),"",MAX($A$8:A52)+1)</f>
        <v/>
      </c>
    </row>
    <row r="54" spans="1:3">
      <c r="A54" s="877" t="str">
        <f>IF(ISBLANK(B54),"",MAX($A$8:A53)+1)</f>
        <v/>
      </c>
    </row>
    <row r="55" spans="1:3">
      <c r="A55" s="877" t="str">
        <f>IF(ISBLANK(B55),"",MAX($A$8:A54)+1)</f>
        <v/>
      </c>
    </row>
    <row r="56" spans="1:3">
      <c r="A56" s="877" t="str">
        <f>IF(ISBLANK(B56),"",MAX($A$8:A55)+1)</f>
        <v/>
      </c>
    </row>
    <row r="57" spans="1:3">
      <c r="A57" s="877" t="str">
        <f>IF(ISBLANK(B57),"",MAX($A$8:A56)+1)</f>
        <v/>
      </c>
    </row>
    <row r="58" spans="1:3">
      <c r="A58" s="877" t="str">
        <f>IF(ISBLANK(B58),"",MAX($A$8:A57)+1)</f>
        <v/>
      </c>
      <c r="C58" s="884"/>
    </row>
    <row r="59" spans="1:3">
      <c r="A59" s="877" t="str">
        <f>IF(ISBLANK(B59),"",MAX($A$8:A58)+1)</f>
        <v/>
      </c>
    </row>
    <row r="60" spans="1:3">
      <c r="A60" s="877" t="str">
        <f>IF(ISBLANK(B60),"",MAX($A$8:A59)+1)</f>
        <v/>
      </c>
    </row>
    <row r="61" spans="1:3">
      <c r="A61" s="877" t="str">
        <f>IF(ISBLANK(B61),"",MAX($A$8:A60)+1)</f>
        <v/>
      </c>
    </row>
    <row r="62" spans="1:3">
      <c r="A62" s="877" t="str">
        <f>IF(ISBLANK(B62),"",MAX($A$8:A61)+1)</f>
        <v/>
      </c>
    </row>
    <row r="63" spans="1:3">
      <c r="A63" s="877" t="str">
        <f>IF(ISBLANK(B63),"",MAX($A$8:A62)+1)</f>
        <v/>
      </c>
    </row>
    <row r="64" spans="1:3">
      <c r="A64" s="877" t="str">
        <f>IF(ISBLANK(B64),"",MAX($A$8:A63)+1)</f>
        <v/>
      </c>
    </row>
    <row r="65" spans="1:1">
      <c r="A65" s="877" t="str">
        <f>IF(ISBLANK(B65),"",MAX($A$8:A64)+1)</f>
        <v/>
      </c>
    </row>
    <row r="66" spans="1:1">
      <c r="A66" s="877" t="str">
        <f>IF(ISBLANK(B66),"",MAX($A$8:A65)+1)</f>
        <v/>
      </c>
    </row>
    <row r="67" spans="1:1">
      <c r="A67" s="877" t="str">
        <f>IF(ISBLANK(B67),"",MAX($A$8:A66)+1)</f>
        <v/>
      </c>
    </row>
    <row r="68" spans="1:1">
      <c r="A68" s="877" t="str">
        <f>IF(ISBLANK(B68),"",MAX($A$8:A67)+1)</f>
        <v/>
      </c>
    </row>
    <row r="69" spans="1:1">
      <c r="A69" s="877" t="str">
        <f>IF(ISBLANK(B69),"",MAX($A$8:A68)+1)</f>
        <v/>
      </c>
    </row>
    <row r="70" spans="1:1">
      <c r="A70" s="877" t="str">
        <f>IF(ISBLANK(B70),"",MAX($A$8:A69)+1)</f>
        <v/>
      </c>
    </row>
    <row r="71" spans="1:1">
      <c r="A71" s="877" t="str">
        <f>IF(ISBLANK(B71),"",MAX($A$8:A70)+1)</f>
        <v/>
      </c>
    </row>
    <row r="72" spans="1:1">
      <c r="A72" s="877" t="str">
        <f>IF(ISBLANK(B72),"",MAX($A$8:A71)+1)</f>
        <v/>
      </c>
    </row>
    <row r="73" spans="1:1">
      <c r="A73" s="877" t="str">
        <f>IF(ISBLANK(B73),"",MAX($A$8:A72)+1)</f>
        <v/>
      </c>
    </row>
    <row r="74" spans="1:1">
      <c r="A74" s="877" t="str">
        <f>IF(ISBLANK(B74),"",MAX($A$8:A73)+1)</f>
        <v/>
      </c>
    </row>
    <row r="75" spans="1:1">
      <c r="A75" s="877" t="str">
        <f>IF(ISBLANK(B75),"",MAX($A$8:A74)+1)</f>
        <v/>
      </c>
    </row>
    <row r="76" spans="1:1">
      <c r="A76" s="877" t="str">
        <f>IF(ISBLANK(B76),"",MAX($A$8:A75)+1)</f>
        <v/>
      </c>
    </row>
    <row r="77" spans="1:1">
      <c r="A77" s="877" t="str">
        <f>IF(ISBLANK(B77),"",MAX($A$8:A76)+1)</f>
        <v/>
      </c>
    </row>
    <row r="78" spans="1:1">
      <c r="A78" s="877" t="str">
        <f>IF(ISBLANK(B78),"",MAX($A$8:A77)+1)</f>
        <v/>
      </c>
    </row>
    <row r="79" spans="1:1">
      <c r="A79" s="877" t="str">
        <f>IF(ISBLANK(B79),"",MAX($A$8:A78)+1)</f>
        <v/>
      </c>
    </row>
    <row r="80" spans="1:1">
      <c r="A80" s="877" t="str">
        <f>IF(ISBLANK(B80),"",MAX($A$8:A79)+1)</f>
        <v/>
      </c>
    </row>
    <row r="81" spans="1:3">
      <c r="A81" s="877" t="str">
        <f>IF(ISBLANK(B81),"",MAX($A$8:A80)+1)</f>
        <v/>
      </c>
    </row>
    <row r="82" spans="1:3">
      <c r="A82" s="877" t="str">
        <f>IF(ISBLANK(B82),"",MAX($A$8:A81)+1)</f>
        <v/>
      </c>
    </row>
    <row r="83" spans="1:3">
      <c r="A83" s="877" t="str">
        <f>IF(ISBLANK(B83),"",MAX($A$8:A82)+1)</f>
        <v/>
      </c>
    </row>
    <row r="84" spans="1:3">
      <c r="A84" s="877" t="str">
        <f>IF(ISBLANK(B84),"",MAX($A$8:A83)+1)</f>
        <v/>
      </c>
    </row>
    <row r="85" spans="1:3">
      <c r="A85" s="877" t="str">
        <f>IF(ISBLANK(B85),"",MAX($A$8:A84)+1)</f>
        <v/>
      </c>
    </row>
    <row r="86" spans="1:3">
      <c r="A86" s="877" t="str">
        <f>IF(ISBLANK(B86),"",MAX($A$8:A85)+1)</f>
        <v/>
      </c>
    </row>
    <row r="87" spans="1:3">
      <c r="A87" s="877" t="str">
        <f>IF(ISBLANK(B87),"",MAX($A$8:A86)+1)</f>
        <v/>
      </c>
    </row>
    <row r="88" spans="1:3">
      <c r="A88" s="877" t="str">
        <f>IF(ISBLANK(B88),"",MAX($A$8:A87)+1)</f>
        <v/>
      </c>
    </row>
    <row r="89" spans="1:3">
      <c r="A89" s="877" t="str">
        <f>IF(ISBLANK(B89),"",MAX($A$8:A88)+1)</f>
        <v/>
      </c>
    </row>
    <row r="90" spans="1:3">
      <c r="A90" s="877" t="str">
        <f>IF(ISBLANK(B90),"",MAX($A$8:A89)+1)</f>
        <v/>
      </c>
    </row>
    <row r="91" spans="1:3">
      <c r="A91" s="877" t="str">
        <f>IF(ISBLANK(B91),"",MAX($A$8:A90)+1)</f>
        <v/>
      </c>
    </row>
    <row r="92" spans="1:3">
      <c r="A92" s="877" t="str">
        <f>IF(ISBLANK(B92),"",MAX($A$8:A91)+1)</f>
        <v/>
      </c>
    </row>
    <row r="93" spans="1:3">
      <c r="A93" s="877" t="str">
        <f>IF(ISBLANK(B93),"",MAX($A$8:A92)+1)</f>
        <v/>
      </c>
    </row>
    <row r="94" spans="1:3">
      <c r="A94" s="877" t="str">
        <f>IF(ISBLANK(B94),"",MAX($A$8:A93)+1)</f>
        <v/>
      </c>
    </row>
    <row r="95" spans="1:3">
      <c r="A95" s="877" t="str">
        <f>IF(ISBLANK(B95),"",MAX($A$8:A94)+1)</f>
        <v/>
      </c>
    </row>
    <row r="96" spans="1:3">
      <c r="A96" s="877" t="str">
        <f>IF(ISBLANK(B96),"",MAX($A$8:A95)+1)</f>
        <v/>
      </c>
      <c r="C96" s="885"/>
    </row>
    <row r="97" spans="1:1">
      <c r="A97" s="877" t="str">
        <f>IF(ISBLANK(B97),"",MAX($A$8:A96)+1)</f>
        <v/>
      </c>
    </row>
    <row r="98" spans="1:1">
      <c r="A98" s="877" t="str">
        <f>IF(ISBLANK(B98),"",MAX($A$8:A97)+1)</f>
        <v/>
      </c>
    </row>
    <row r="99" spans="1:1">
      <c r="A99" s="877" t="str">
        <f>IF(ISBLANK(B99),"",MAX($A$8:A98)+1)</f>
        <v/>
      </c>
    </row>
    <row r="100" spans="1:1">
      <c r="A100" s="877" t="str">
        <f>IF(ISBLANK(B100),"",MAX($A$8:A99)+1)</f>
        <v/>
      </c>
    </row>
    <row r="101" spans="1:1">
      <c r="A101" s="877" t="str">
        <f>IF(ISBLANK(B101),"",MAX($A$8:A100)+1)</f>
        <v/>
      </c>
    </row>
    <row r="102" spans="1:1">
      <c r="A102" s="877" t="str">
        <f>IF(ISBLANK(B102),"",MAX($A$8:A101)+1)</f>
        <v/>
      </c>
    </row>
    <row r="103" spans="1:1">
      <c r="A103" s="877" t="str">
        <f>IF(ISBLANK(B103),"",MAX($A$8:A102)+1)</f>
        <v/>
      </c>
    </row>
    <row r="104" spans="1:1">
      <c r="A104" s="877" t="str">
        <f>IF(ISBLANK(B104),"",MAX($A$8:A103)+1)</f>
        <v/>
      </c>
    </row>
    <row r="105" spans="1:1">
      <c r="A105" s="877" t="str">
        <f>IF(ISBLANK(B105),"",MAX($A$8:A104)+1)</f>
        <v/>
      </c>
    </row>
    <row r="106" spans="1:1">
      <c r="A106" s="877" t="str">
        <f>IF(ISBLANK(B106),"",MAX($A$8:A105)+1)</f>
        <v/>
      </c>
    </row>
  </sheetData>
  <mergeCells count="5">
    <mergeCell ref="A2:E2"/>
    <mergeCell ref="A3:E3"/>
    <mergeCell ref="A4:E4"/>
    <mergeCell ref="A5:E5"/>
    <mergeCell ref="A6:E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G21"/>
  <sheetViews>
    <sheetView zoomScale="80" zoomScaleNormal="80" workbookViewId="0">
      <selection activeCell="D11" sqref="D11"/>
    </sheetView>
  </sheetViews>
  <sheetFormatPr defaultColWidth="14" defaultRowHeight="15.6"/>
  <cols>
    <col min="1" max="1" width="2.109375" style="3" bestFit="1" customWidth="1"/>
    <col min="2" max="2" width="14" style="3"/>
    <col min="3" max="3" width="25.109375" style="3" customWidth="1"/>
    <col min="4" max="16384" width="14" style="3"/>
  </cols>
  <sheetData>
    <row r="1" spans="1:7">
      <c r="B1" s="1896" t="s">
        <v>100</v>
      </c>
      <c r="C1" s="1897"/>
      <c r="D1" s="1898"/>
    </row>
    <row r="2" spans="1:7">
      <c r="B2" s="1899" t="s">
        <v>99</v>
      </c>
      <c r="C2" s="1900"/>
      <c r="D2" s="1901"/>
    </row>
    <row r="3" spans="1:7">
      <c r="B3" s="1899" t="s">
        <v>1942</v>
      </c>
      <c r="C3" s="1900"/>
      <c r="D3" s="1901"/>
    </row>
    <row r="4" spans="1:7">
      <c r="A4" s="4"/>
      <c r="B4" s="283"/>
      <c r="C4" s="284"/>
      <c r="D4" s="285"/>
    </row>
    <row r="5" spans="1:7">
      <c r="A5" s="51"/>
      <c r="B5" s="51"/>
      <c r="C5" s="51"/>
      <c r="D5" s="51"/>
    </row>
    <row r="7" spans="1:7">
      <c r="A7" s="3">
        <v>1</v>
      </c>
      <c r="B7" s="3" t="s">
        <v>60</v>
      </c>
      <c r="D7" s="798">
        <f>+'Exh 6, ROO Summary'!Q38</f>
        <v>409282452.8131454</v>
      </c>
    </row>
    <row r="8" spans="1:7">
      <c r="A8" s="3">
        <v>2</v>
      </c>
      <c r="B8" s="3" t="s">
        <v>12</v>
      </c>
      <c r="D8" s="52">
        <f>+'Capital Structure Calculation'!J14</f>
        <v>6.9509999999999988E-2</v>
      </c>
    </row>
    <row r="9" spans="1:7">
      <c r="D9" s="14"/>
    </row>
    <row r="10" spans="1:7">
      <c r="A10" s="3">
        <v>3</v>
      </c>
      <c r="B10" s="3" t="s">
        <v>61</v>
      </c>
      <c r="D10" s="432">
        <f>+D7*D8</f>
        <v>28449223.295041732</v>
      </c>
    </row>
    <row r="11" spans="1:7">
      <c r="A11" s="3">
        <v>4</v>
      </c>
      <c r="B11" s="3" t="s">
        <v>62</v>
      </c>
      <c r="D11" s="799">
        <f>+'Exh 6, ROO Summary'!Q30</f>
        <v>28744025.724169075</v>
      </c>
      <c r="G11" s="1816"/>
    </row>
    <row r="12" spans="1:7">
      <c r="D12" s="432"/>
    </row>
    <row r="13" spans="1:7">
      <c r="A13" s="3">
        <v>5</v>
      </c>
      <c r="B13" s="3" t="s">
        <v>65</v>
      </c>
      <c r="D13" s="432">
        <f>+D10-D11</f>
        <v>-294802.429127343</v>
      </c>
    </row>
    <row r="14" spans="1:7">
      <c r="D14" s="14"/>
    </row>
    <row r="15" spans="1:7">
      <c r="A15" s="3">
        <v>6</v>
      </c>
      <c r="B15" s="3" t="s">
        <v>63</v>
      </c>
      <c r="D15" s="800">
        <f>+'Exh 8, Conversion Factor'!C25</f>
        <v>0.75481349214407267</v>
      </c>
    </row>
    <row r="16" spans="1:7">
      <c r="D16" s="14"/>
    </row>
    <row r="17" spans="1:4" ht="16.2" thickBot="1">
      <c r="A17" s="3">
        <v>7</v>
      </c>
      <c r="B17" s="3" t="s">
        <v>64</v>
      </c>
      <c r="D17" s="801">
        <f>+D13/D15</f>
        <v>-390563.27449837571</v>
      </c>
    </row>
    <row r="18" spans="1:4" ht="16.2" thickTop="1">
      <c r="D18" s="432"/>
    </row>
    <row r="19" spans="1:4">
      <c r="A19" s="3">
        <v>8</v>
      </c>
      <c r="B19" s="3" t="s">
        <v>96</v>
      </c>
      <c r="D19" s="432">
        <f>+'Exh 6, ROO Summary'!Q14</f>
        <v>260664041.85980675</v>
      </c>
    </row>
    <row r="20" spans="1:4">
      <c r="D20" s="14"/>
    </row>
    <row r="21" spans="1:4">
      <c r="A21" s="3">
        <v>9</v>
      </c>
      <c r="B21" s="3" t="s">
        <v>771</v>
      </c>
      <c r="D21" s="802">
        <f>+D17/D19</f>
        <v>-1.498339670143045E-3</v>
      </c>
    </row>
  </sheetData>
  <mergeCells count="3">
    <mergeCell ref="B1:D1"/>
    <mergeCell ref="B2:D2"/>
    <mergeCell ref="B3:D3"/>
  </mergeCells>
  <printOptions horizontalCentered="1"/>
  <pageMargins left="0.7" right="0.7" top="0.75" bottom="0.75" header="0.3" footer="0.3"/>
  <pageSetup orientation="portrait" r:id="rId1"/>
  <headerFooter scaleWithDoc="0" alignWithMargins="0">
    <oddHeader>&amp;RDocket No. UG-200568
Exhibit _____ (MCP-9)
Page 1 of 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G33"/>
  <sheetViews>
    <sheetView topLeftCell="A2" zoomScale="80" zoomScaleNormal="80" workbookViewId="0">
      <selection activeCell="E25" sqref="E25"/>
    </sheetView>
  </sheetViews>
  <sheetFormatPr defaultColWidth="9.109375" defaultRowHeight="15.6"/>
  <cols>
    <col min="1" max="1" width="49.33203125" style="3" bestFit="1" customWidth="1"/>
    <col min="2" max="2" width="9.109375" style="3"/>
    <col min="3" max="3" width="21.33203125" style="58" customWidth="1"/>
    <col min="4" max="16384" width="9.109375" style="3"/>
  </cols>
  <sheetData>
    <row r="1" spans="1:7">
      <c r="A1" s="1894" t="s">
        <v>100</v>
      </c>
      <c r="B1" s="1894"/>
      <c r="C1" s="1894"/>
    </row>
    <row r="2" spans="1:7">
      <c r="A2" s="1894" t="s">
        <v>773</v>
      </c>
      <c r="B2" s="1894"/>
      <c r="C2" s="1894"/>
    </row>
    <row r="3" spans="1:7">
      <c r="A3" s="1905" t="s">
        <v>1823</v>
      </c>
      <c r="B3" s="1905"/>
      <c r="C3" s="1905"/>
    </row>
    <row r="4" spans="1:7">
      <c r="A4" s="1902" t="s">
        <v>13</v>
      </c>
      <c r="B4" s="1903"/>
      <c r="C4" s="1904"/>
    </row>
    <row r="5" spans="1:7">
      <c r="A5" s="53"/>
      <c r="B5" s="54"/>
      <c r="C5" s="55"/>
    </row>
    <row r="6" spans="1:7">
      <c r="A6" s="53" t="s">
        <v>14</v>
      </c>
      <c r="B6" s="54"/>
      <c r="C6" s="55">
        <v>1</v>
      </c>
    </row>
    <row r="7" spans="1:7">
      <c r="A7" s="56" t="s">
        <v>15</v>
      </c>
      <c r="B7" s="54"/>
      <c r="C7" s="55"/>
    </row>
    <row r="8" spans="1:7">
      <c r="A8" s="57" t="s">
        <v>16</v>
      </c>
      <c r="B8" s="54"/>
      <c r="C8" s="288">
        <f>+'Operating Report'!G91/'Operating Report'!G28</f>
        <v>4.0198833619333558E-3</v>
      </c>
    </row>
    <row r="9" spans="1:7">
      <c r="A9" s="57" t="s">
        <v>656</v>
      </c>
      <c r="B9" s="54"/>
      <c r="C9" s="288">
        <v>3.8519999999999999E-2</v>
      </c>
    </row>
    <row r="10" spans="1:7">
      <c r="A10" s="57" t="s">
        <v>655</v>
      </c>
      <c r="B10" s="54"/>
      <c r="C10" s="288">
        <v>2E-3</v>
      </c>
      <c r="D10" s="58">
        <f>+C8+C9+C10</f>
        <v>4.4539883361933354E-2</v>
      </c>
    </row>
    <row r="11" spans="1:7">
      <c r="A11" s="56" t="s">
        <v>17</v>
      </c>
      <c r="B11" s="54"/>
      <c r="C11" s="59"/>
      <c r="G11" s="13"/>
    </row>
    <row r="12" spans="1:7" ht="16.2" thickBot="1">
      <c r="A12" s="56" t="s">
        <v>18</v>
      </c>
      <c r="B12" s="54"/>
      <c r="C12" s="60">
        <f>+C6-SUM(C8:C11)</f>
        <v>0.95546011663806663</v>
      </c>
    </row>
    <row r="13" spans="1:7">
      <c r="A13" s="61"/>
      <c r="B13" s="54"/>
      <c r="C13" s="55"/>
    </row>
    <row r="14" spans="1:7" ht="16.2" thickBot="1">
      <c r="A14" s="56" t="s">
        <v>19</v>
      </c>
      <c r="B14" s="54"/>
      <c r="C14" s="62">
        <f>C12*C30</f>
        <v>0</v>
      </c>
    </row>
    <row r="15" spans="1:7">
      <c r="A15" s="61"/>
      <c r="B15" s="54"/>
      <c r="C15" s="55"/>
    </row>
    <row r="16" spans="1:7" ht="16.2" thickBot="1">
      <c r="A16" s="61" t="s">
        <v>20</v>
      </c>
      <c r="B16" s="54"/>
      <c r="C16" s="62">
        <f>+C12-C14</f>
        <v>0.95546011663806663</v>
      </c>
    </row>
    <row r="17" spans="1:3">
      <c r="A17" s="61"/>
      <c r="B17" s="54"/>
      <c r="C17" s="55"/>
    </row>
    <row r="18" spans="1:3" ht="16.2" thickBot="1">
      <c r="A18" s="335" t="s">
        <v>1080</v>
      </c>
      <c r="B18" s="336"/>
      <c r="C18" s="62">
        <f>+C16*0.21</f>
        <v>0.20064662449399398</v>
      </c>
    </row>
    <row r="19" spans="1:3">
      <c r="A19" s="335"/>
      <c r="B19" s="336"/>
      <c r="C19" s="59"/>
    </row>
    <row r="20" spans="1:3" ht="16.2" thickBot="1">
      <c r="A20" s="335" t="s">
        <v>58</v>
      </c>
      <c r="B20" s="336"/>
      <c r="C20" s="60">
        <f>+C14+C18</f>
        <v>0.20064662449399398</v>
      </c>
    </row>
    <row r="21" spans="1:3">
      <c r="A21" s="335"/>
      <c r="B21" s="336"/>
      <c r="C21" s="55"/>
    </row>
    <row r="22" spans="1:3" ht="16.2" thickBot="1">
      <c r="A22" s="335" t="s">
        <v>21</v>
      </c>
      <c r="B22" s="336"/>
      <c r="C22" s="62">
        <f>SUM(C8:C11)+C20</f>
        <v>0.24518650785592733</v>
      </c>
    </row>
    <row r="23" spans="1:3">
      <c r="A23" s="335"/>
      <c r="B23" s="336"/>
      <c r="C23" s="55"/>
    </row>
    <row r="24" spans="1:3">
      <c r="A24" s="335" t="s">
        <v>772</v>
      </c>
      <c r="B24" s="336"/>
      <c r="C24" s="55"/>
    </row>
    <row r="25" spans="1:3" ht="16.2" thickBot="1">
      <c r="A25" s="335" t="s">
        <v>22</v>
      </c>
      <c r="B25" s="336"/>
      <c r="C25" s="63">
        <f>+C6-C22</f>
        <v>0.75481349214407267</v>
      </c>
    </row>
    <row r="26" spans="1:3">
      <c r="A26" s="337"/>
      <c r="B26" s="338"/>
      <c r="C26" s="59"/>
    </row>
    <row r="27" spans="1:3">
      <c r="A27" s="339"/>
      <c r="B27" s="336"/>
      <c r="C27" s="55"/>
    </row>
    <row r="28" spans="1:3">
      <c r="A28" s="339"/>
      <c r="B28" s="336"/>
      <c r="C28" s="55"/>
    </row>
    <row r="29" spans="1:3">
      <c r="A29" s="340" t="s">
        <v>86</v>
      </c>
      <c r="B29" s="341"/>
      <c r="C29" s="65"/>
    </row>
    <row r="30" spans="1:3">
      <c r="A30" s="340" t="s">
        <v>87</v>
      </c>
      <c r="B30" s="341"/>
      <c r="C30" s="65">
        <v>0</v>
      </c>
    </row>
    <row r="31" spans="1:3">
      <c r="A31" s="340" t="s">
        <v>88</v>
      </c>
      <c r="B31" s="341"/>
      <c r="C31" s="65">
        <v>0.21</v>
      </c>
    </row>
    <row r="32" spans="1:3">
      <c r="A32" s="66"/>
      <c r="B32" s="64"/>
      <c r="C32" s="67"/>
    </row>
    <row r="33" spans="1:3">
      <c r="A33" s="68" t="s">
        <v>89</v>
      </c>
      <c r="B33" s="69"/>
      <c r="C33" s="70">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oddHeader>&amp;RDocket No. UG-20___
Exhibit _____ (MCP-4)
Page 1 of 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pageSetUpPr fitToPage="1"/>
  </sheetPr>
  <dimension ref="A1:EI65"/>
  <sheetViews>
    <sheetView zoomScale="70" zoomScaleNormal="70" workbookViewId="0">
      <pane xSplit="3" ySplit="10" topLeftCell="D30" activePane="bottomRight" state="frozen"/>
      <selection pane="topRight" activeCell="D1" sqref="D1"/>
      <selection pane="bottomLeft" activeCell="A11" sqref="A11"/>
      <selection pane="bottomRight" activeCell="I50" sqref="I50:AB51"/>
    </sheetView>
  </sheetViews>
  <sheetFormatPr defaultColWidth="9.109375" defaultRowHeight="15.6"/>
  <cols>
    <col min="1" max="1" width="3.33203125" style="3" bestFit="1" customWidth="1"/>
    <col min="2" max="2" width="2.88671875" style="3" customWidth="1"/>
    <col min="3" max="3" width="36.33203125" style="3" bestFit="1" customWidth="1"/>
    <col min="4" max="4" width="1.6640625" style="3" customWidth="1"/>
    <col min="5" max="5" width="1.44140625" style="3" customWidth="1"/>
    <col min="6" max="6" width="1.109375" style="3" customWidth="1"/>
    <col min="7" max="7" width="15.44140625" style="3" bestFit="1" customWidth="1"/>
    <col min="8" max="8" width="13.88671875" style="3" bestFit="1" customWidth="1"/>
    <col min="9" max="9" width="22.109375" style="3" bestFit="1" customWidth="1"/>
    <col min="10" max="10" width="14.109375" style="14" bestFit="1" customWidth="1"/>
    <col min="11" max="11" width="14.44140625" style="14" bestFit="1" customWidth="1"/>
    <col min="12" max="16" width="14.44140625" style="14" customWidth="1"/>
    <col min="17" max="17" width="2.109375" style="3" customWidth="1"/>
    <col min="18" max="18" width="15.33203125" style="3" bestFit="1" customWidth="1"/>
    <col min="19" max="19" width="2.109375" style="3" customWidth="1"/>
    <col min="20" max="20" width="14.33203125" style="3" bestFit="1" customWidth="1"/>
    <col min="21" max="21" width="16.33203125" style="73" customWidth="1"/>
    <col min="22" max="22" width="16.33203125" style="3" bestFit="1" customWidth="1"/>
    <col min="23" max="23" width="14.5546875" style="14" bestFit="1" customWidth="1"/>
    <col min="24" max="24" width="15.88671875" style="14" customWidth="1"/>
    <col min="25" max="25" width="14.5546875" style="14" bestFit="1" customWidth="1"/>
    <col min="26" max="26" width="2.109375" style="3" customWidth="1"/>
    <col min="27" max="27" width="15.33203125" style="3" bestFit="1" customWidth="1"/>
    <col min="28" max="28" width="9.109375" style="3"/>
    <col min="29" max="29" width="14.33203125" style="3" customWidth="1"/>
    <col min="30" max="30" width="14" style="3" bestFit="1" customWidth="1"/>
    <col min="31" max="34" width="9.109375" style="3"/>
    <col min="35" max="35" width="22.33203125" style="3" bestFit="1" customWidth="1"/>
    <col min="36" max="36" width="12" style="3" bestFit="1" customWidth="1"/>
    <col min="37" max="37" width="13.33203125" style="3" bestFit="1" customWidth="1"/>
    <col min="38" max="38" width="12.88671875" style="3" bestFit="1" customWidth="1"/>
    <col min="39" max="39" width="13.33203125" style="3" bestFit="1" customWidth="1"/>
    <col min="40" max="40" width="9.109375" style="3"/>
    <col min="41" max="41" width="12.88671875" style="3" bestFit="1" customWidth="1"/>
    <col min="42" max="42" width="9.109375" style="3"/>
    <col min="43" max="43" width="13.33203125" style="3" bestFit="1" customWidth="1"/>
    <col min="44" max="45" width="14.33203125" style="3" bestFit="1" customWidth="1"/>
    <col min="46" max="46" width="13.33203125" style="3" bestFit="1" customWidth="1"/>
    <col min="47" max="47" width="16.33203125" style="3" bestFit="1" customWidth="1"/>
    <col min="48" max="16384" width="9.109375" style="3"/>
  </cols>
  <sheetData>
    <row r="1" spans="1:33">
      <c r="B1" s="1900" t="s">
        <v>101</v>
      </c>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row>
    <row r="2" spans="1:33">
      <c r="A2" s="13"/>
      <c r="B2" s="1900" t="s">
        <v>662</v>
      </c>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row>
    <row r="3" spans="1:33">
      <c r="A3" s="74" t="s">
        <v>49</v>
      </c>
      <c r="B3" s="1900" t="s">
        <v>1823</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row>
    <row r="4" spans="1:33">
      <c r="A4" s="74"/>
      <c r="B4" s="75"/>
      <c r="C4" s="75"/>
      <c r="D4" s="75"/>
      <c r="E4" s="75"/>
      <c r="F4" s="75"/>
      <c r="G4" s="75"/>
      <c r="H4" s="75"/>
      <c r="I4" s="75"/>
      <c r="J4" s="75"/>
      <c r="K4" s="75"/>
      <c r="L4" s="75"/>
      <c r="M4" s="75"/>
      <c r="N4" s="75"/>
      <c r="O4" s="75"/>
      <c r="P4" s="75"/>
      <c r="Q4" s="75"/>
      <c r="R4" s="75"/>
      <c r="S4" s="75"/>
      <c r="T4" s="75"/>
      <c r="U4" s="75"/>
      <c r="V4" s="609"/>
      <c r="W4" s="609"/>
      <c r="X4" s="609"/>
      <c r="Y4" s="609"/>
      <c r="Z4" s="75"/>
      <c r="AA4" s="75"/>
    </row>
    <row r="5" spans="1:33">
      <c r="A5" s="51"/>
      <c r="B5" s="51"/>
      <c r="C5" s="51"/>
      <c r="D5" s="51"/>
      <c r="E5" s="51"/>
      <c r="F5" s="50"/>
      <c r="G5" s="76"/>
      <c r="H5" s="50"/>
      <c r="I5" s="50"/>
      <c r="J5" s="97"/>
      <c r="K5" s="97"/>
      <c r="L5" s="97"/>
      <c r="M5" s="97"/>
      <c r="N5" s="97"/>
      <c r="O5" s="97"/>
      <c r="P5" s="97"/>
      <c r="Q5" s="50"/>
      <c r="R5" s="50"/>
      <c r="S5" s="50"/>
      <c r="T5" s="50"/>
      <c r="U5" s="72"/>
      <c r="V5" s="50"/>
      <c r="W5" s="97"/>
      <c r="X5" s="97"/>
      <c r="Y5" s="97"/>
      <c r="Z5" s="50"/>
      <c r="AA5" s="50"/>
      <c r="AG5" s="3" t="s">
        <v>707</v>
      </c>
    </row>
    <row r="6" spans="1:33">
      <c r="A6" s="77"/>
      <c r="B6" s="78"/>
      <c r="C6" s="79"/>
      <c r="D6" s="80"/>
      <c r="E6" s="81"/>
      <c r="F6" s="50"/>
      <c r="G6" s="342" t="s">
        <v>674</v>
      </c>
      <c r="H6" s="450" t="s">
        <v>53</v>
      </c>
      <c r="I6" s="605" t="s">
        <v>707</v>
      </c>
      <c r="J6" s="605" t="s">
        <v>707</v>
      </c>
      <c r="K6" s="605" t="s">
        <v>707</v>
      </c>
      <c r="L6" s="1692" t="s">
        <v>3261</v>
      </c>
      <c r="M6" s="1692" t="s">
        <v>3261</v>
      </c>
      <c r="N6" s="1692" t="s">
        <v>707</v>
      </c>
      <c r="O6" s="1692" t="s">
        <v>707</v>
      </c>
      <c r="P6" s="1692" t="s">
        <v>3261</v>
      </c>
      <c r="Q6" s="76"/>
      <c r="R6" s="480" t="s">
        <v>3332</v>
      </c>
      <c r="S6" s="76"/>
      <c r="T6" s="342" t="s">
        <v>55</v>
      </c>
      <c r="U6" s="578" t="s">
        <v>668</v>
      </c>
      <c r="V6" s="82" t="s">
        <v>668</v>
      </c>
      <c r="W6" s="82" t="s">
        <v>723</v>
      </c>
      <c r="X6" s="82" t="s">
        <v>674</v>
      </c>
      <c r="Y6" s="82"/>
      <c r="Z6" s="76"/>
      <c r="AA6" s="480" t="s">
        <v>3333</v>
      </c>
    </row>
    <row r="7" spans="1:33">
      <c r="A7" s="77"/>
      <c r="B7" s="83"/>
      <c r="C7" s="84"/>
      <c r="D7" s="77"/>
      <c r="E7" s="81"/>
      <c r="F7" s="50"/>
      <c r="G7" s="86" t="s">
        <v>733</v>
      </c>
      <c r="H7" s="85" t="s">
        <v>50</v>
      </c>
      <c r="I7" s="606" t="s">
        <v>1815</v>
      </c>
      <c r="J7" s="86" t="s">
        <v>95</v>
      </c>
      <c r="K7" s="86" t="s">
        <v>1081</v>
      </c>
      <c r="L7" s="85" t="s">
        <v>3287</v>
      </c>
      <c r="M7" s="1722">
        <v>0.5</v>
      </c>
      <c r="N7" s="85" t="s">
        <v>3253</v>
      </c>
      <c r="O7" s="85" t="s">
        <v>3294</v>
      </c>
      <c r="P7" s="85" t="s">
        <v>3262</v>
      </c>
      <c r="Q7" s="76"/>
      <c r="R7" s="481" t="s">
        <v>0</v>
      </c>
      <c r="S7" s="76"/>
      <c r="T7" s="86" t="s">
        <v>56</v>
      </c>
      <c r="U7" s="579" t="s">
        <v>672</v>
      </c>
      <c r="V7" s="86" t="s">
        <v>708</v>
      </c>
      <c r="W7" s="86" t="s">
        <v>724</v>
      </c>
      <c r="X7" s="86" t="s">
        <v>704</v>
      </c>
      <c r="Y7" s="86" t="s">
        <v>3290</v>
      </c>
      <c r="Z7" s="76"/>
      <c r="AA7" s="481" t="s">
        <v>0</v>
      </c>
    </row>
    <row r="8" spans="1:33">
      <c r="A8" s="77"/>
      <c r="B8" s="83"/>
      <c r="C8" s="81"/>
      <c r="D8" s="77"/>
      <c r="E8" s="81"/>
      <c r="F8" s="50"/>
      <c r="G8" s="86" t="s">
        <v>54</v>
      </c>
      <c r="H8" s="85" t="s">
        <v>54</v>
      </c>
      <c r="I8" s="86" t="s">
        <v>54</v>
      </c>
      <c r="J8" s="86" t="s">
        <v>54</v>
      </c>
      <c r="K8" s="85" t="s">
        <v>1082</v>
      </c>
      <c r="L8" s="85" t="s">
        <v>3288</v>
      </c>
      <c r="M8" s="85" t="s">
        <v>3252</v>
      </c>
      <c r="N8" s="85" t="s">
        <v>3291</v>
      </c>
      <c r="O8" s="85" t="s">
        <v>3259</v>
      </c>
      <c r="P8" s="85" t="s">
        <v>3263</v>
      </c>
      <c r="Q8" s="76"/>
      <c r="R8" s="481"/>
      <c r="S8" s="76"/>
      <c r="T8" s="86" t="s">
        <v>54</v>
      </c>
      <c r="U8" s="579" t="s">
        <v>54</v>
      </c>
      <c r="V8" s="86" t="s">
        <v>57</v>
      </c>
      <c r="W8" s="86" t="s">
        <v>725</v>
      </c>
      <c r="X8" s="86" t="s">
        <v>54</v>
      </c>
      <c r="Y8" s="86" t="s">
        <v>3267</v>
      </c>
      <c r="Z8" s="76"/>
      <c r="AA8" s="481"/>
    </row>
    <row r="9" spans="1:33">
      <c r="A9" s="77"/>
      <c r="B9" s="83"/>
      <c r="C9" s="81"/>
      <c r="D9" s="77"/>
      <c r="E9" s="81"/>
      <c r="F9" s="50"/>
      <c r="G9" s="87" t="s">
        <v>663</v>
      </c>
      <c r="H9" s="476" t="s">
        <v>664</v>
      </c>
      <c r="I9" s="606" t="s">
        <v>732</v>
      </c>
      <c r="J9" s="86" t="s">
        <v>1361</v>
      </c>
      <c r="K9" s="85" t="s">
        <v>1362</v>
      </c>
      <c r="L9" s="85" t="s">
        <v>3260</v>
      </c>
      <c r="M9" s="85" t="s">
        <v>3286</v>
      </c>
      <c r="N9" s="85" t="s">
        <v>3289</v>
      </c>
      <c r="O9" s="85" t="s">
        <v>3292</v>
      </c>
      <c r="P9" s="85" t="s">
        <v>3293</v>
      </c>
      <c r="Q9" s="76"/>
      <c r="R9" s="481"/>
      <c r="S9" s="76"/>
      <c r="T9" s="86" t="s">
        <v>665</v>
      </c>
      <c r="U9" s="579" t="s">
        <v>666</v>
      </c>
      <c r="V9" s="86" t="s">
        <v>734</v>
      </c>
      <c r="W9" s="86" t="s">
        <v>667</v>
      </c>
      <c r="X9" s="86" t="s">
        <v>3356</v>
      </c>
      <c r="Y9" s="86"/>
      <c r="Z9" s="76"/>
      <c r="AA9" s="481"/>
    </row>
    <row r="10" spans="1:33">
      <c r="A10" s="77"/>
      <c r="B10" s="88"/>
      <c r="C10" s="89"/>
      <c r="D10" s="90"/>
      <c r="E10" s="81"/>
      <c r="F10" s="50"/>
      <c r="G10" s="478"/>
      <c r="H10" s="477"/>
      <c r="I10" s="607"/>
      <c r="J10" s="91"/>
      <c r="K10" s="474"/>
      <c r="L10" s="1693"/>
      <c r="M10" s="1693"/>
      <c r="N10" s="1693"/>
      <c r="O10" s="1693"/>
      <c r="P10" s="1693"/>
      <c r="Q10" s="92"/>
      <c r="R10" s="482"/>
      <c r="S10" s="92"/>
      <c r="T10" s="479"/>
      <c r="U10" s="580"/>
      <c r="V10" s="91"/>
      <c r="W10" s="91"/>
      <c r="X10" s="91"/>
      <c r="Y10" s="91"/>
      <c r="Z10" s="92"/>
      <c r="AA10" s="482"/>
    </row>
    <row r="11" spans="1:33">
      <c r="A11" s="77">
        <v>1</v>
      </c>
      <c r="B11" s="81"/>
      <c r="C11" s="19" t="s">
        <v>4</v>
      </c>
      <c r="D11" s="77"/>
      <c r="E11" s="81"/>
      <c r="F11" s="50"/>
      <c r="G11" s="88"/>
      <c r="H11" s="93"/>
      <c r="I11" s="94"/>
      <c r="J11" s="483"/>
      <c r="K11" s="483"/>
      <c r="L11" s="1694"/>
      <c r="M11" s="1694"/>
      <c r="N11" s="1694"/>
      <c r="O11" s="1694"/>
      <c r="P11" s="1694"/>
      <c r="Q11" s="92"/>
      <c r="R11" s="95"/>
      <c r="S11" s="92"/>
      <c r="T11" s="533"/>
      <c r="U11" s="581"/>
      <c r="V11" s="582"/>
      <c r="W11" s="582"/>
      <c r="X11" s="483"/>
      <c r="Y11" s="582"/>
      <c r="Z11" s="92"/>
      <c r="AA11" s="95"/>
      <c r="AD11" s="1684"/>
    </row>
    <row r="12" spans="1:33">
      <c r="A12" s="96">
        <v>2</v>
      </c>
      <c r="B12" s="51"/>
      <c r="C12" s="33" t="s">
        <v>23</v>
      </c>
      <c r="D12" s="96"/>
      <c r="E12" s="51"/>
      <c r="F12" s="97"/>
      <c r="G12" s="632">
        <f>+'Operating Report'!I17</f>
        <v>-2913264</v>
      </c>
      <c r="H12" s="632">
        <f>+'Operating Report'!J17</f>
        <v>0</v>
      </c>
      <c r="I12" s="632">
        <f>+'Operating Report'!L17</f>
        <v>923295.27470448066</v>
      </c>
      <c r="J12" s="632">
        <f>+'Operating Report'!M17</f>
        <v>0</v>
      </c>
      <c r="K12" s="632">
        <f>+'Operating Report'!N17</f>
        <v>0</v>
      </c>
      <c r="L12" s="632">
        <f>+'Operating Report'!O17</f>
        <v>0</v>
      </c>
      <c r="M12" s="632">
        <f>+'Operating Report'!P17</f>
        <v>0</v>
      </c>
      <c r="N12" s="632">
        <f>+'Operating Report'!Q17</f>
        <v>0</v>
      </c>
      <c r="O12" s="632">
        <f>+'Operating Report'!R17</f>
        <v>0</v>
      </c>
      <c r="P12" s="632">
        <f>+'Operating Report'!S17</f>
        <v>0</v>
      </c>
      <c r="Q12" s="98"/>
      <c r="R12" s="99">
        <f>SUM(G12:P12)</f>
        <v>-1989968.7252955195</v>
      </c>
      <c r="S12" s="98"/>
      <c r="T12" s="632">
        <f>+'Operating Report'!T17</f>
        <v>0</v>
      </c>
      <c r="U12" s="632">
        <f>+'Operating Report'!U17</f>
        <v>0</v>
      </c>
      <c r="V12" s="632">
        <f>+'Operating Report'!V17</f>
        <v>0</v>
      </c>
      <c r="W12" s="632">
        <f>+'Operating Report'!W17</f>
        <v>0</v>
      </c>
      <c r="X12" s="632">
        <f>+'Operating Report'!K17</f>
        <v>14922776.155102273</v>
      </c>
      <c r="Y12" s="632"/>
      <c r="Z12" s="98"/>
      <c r="AA12" s="99">
        <f>SUM(T12:Y12)</f>
        <v>14922776.155102273</v>
      </c>
      <c r="AD12" s="1684"/>
    </row>
    <row r="13" spans="1:33">
      <c r="A13" s="96">
        <v>3</v>
      </c>
      <c r="B13" s="51"/>
      <c r="C13" s="33" t="s">
        <v>24</v>
      </c>
      <c r="D13" s="96"/>
      <c r="E13" s="51"/>
      <c r="F13" s="97"/>
      <c r="G13" s="100"/>
      <c r="H13" s="100"/>
      <c r="I13" s="100"/>
      <c r="J13" s="100"/>
      <c r="K13" s="100"/>
      <c r="L13" s="100"/>
      <c r="M13" s="100"/>
      <c r="N13" s="100"/>
      <c r="O13" s="100"/>
      <c r="P13" s="100"/>
      <c r="Q13" s="100"/>
      <c r="R13" s="100">
        <f>SUM(G13:P13)</f>
        <v>0</v>
      </c>
      <c r="S13" s="100"/>
      <c r="T13" s="100"/>
      <c r="U13" s="100"/>
      <c r="V13" s="100"/>
      <c r="W13" s="100"/>
      <c r="X13" s="100"/>
      <c r="Y13" s="100"/>
      <c r="Z13" s="100"/>
      <c r="AA13" s="100">
        <f>SUM(T13:Y13)</f>
        <v>0</v>
      </c>
      <c r="AD13" s="1684"/>
    </row>
    <row r="14" spans="1:33">
      <c r="A14" s="96">
        <v>4</v>
      </c>
      <c r="B14" s="51"/>
      <c r="C14" s="33" t="s">
        <v>25</v>
      </c>
      <c r="D14" s="96"/>
      <c r="E14" s="51"/>
      <c r="F14" s="97"/>
      <c r="G14" s="632">
        <f>'Operating Report'!I27</f>
        <v>0</v>
      </c>
      <c r="H14" s="632">
        <f>'Operating Report'!J27</f>
        <v>0</v>
      </c>
      <c r="I14" s="632">
        <f>'Operating Report'!L27</f>
        <v>0</v>
      </c>
      <c r="J14" s="632">
        <f>'Operating Report'!M27</f>
        <v>0</v>
      </c>
      <c r="K14" s="632">
        <f>'Operating Report'!N27</f>
        <v>0</v>
      </c>
      <c r="L14" s="632">
        <f>'Operating Report'!O27</f>
        <v>406245</v>
      </c>
      <c r="M14" s="632">
        <f>'Operating Report'!P27</f>
        <v>0</v>
      </c>
      <c r="N14" s="632">
        <f>'Operating Report'!Q27</f>
        <v>0</v>
      </c>
      <c r="O14" s="632">
        <f>'Operating Report'!R27</f>
        <v>0</v>
      </c>
      <c r="P14" s="632">
        <f>'Operating Report'!S27</f>
        <v>0</v>
      </c>
      <c r="Q14" s="100"/>
      <c r="R14" s="100">
        <f>SUM(G14:P14)</f>
        <v>406245</v>
      </c>
      <c r="S14" s="100"/>
      <c r="T14" s="632">
        <f>'Operating Report'!T27</f>
        <v>0</v>
      </c>
      <c r="U14" s="632">
        <f>'Operating Report'!U27</f>
        <v>0</v>
      </c>
      <c r="V14" s="632">
        <f>'Operating Report'!V27</f>
        <v>0</v>
      </c>
      <c r="W14" s="632">
        <f>'Operating Report'!W27</f>
        <v>0</v>
      </c>
      <c r="X14" s="632">
        <f>'Operating Report'!K27</f>
        <v>0</v>
      </c>
      <c r="Y14" s="100"/>
      <c r="Z14" s="100"/>
      <c r="AA14" s="100">
        <f>SUM(T14:Y14)</f>
        <v>0</v>
      </c>
      <c r="AD14" s="3" t="s">
        <v>3271</v>
      </c>
    </row>
    <row r="15" spans="1:33" ht="16.2" thickBot="1">
      <c r="A15" s="96">
        <v>5</v>
      </c>
      <c r="B15" s="101"/>
      <c r="C15" s="39" t="s">
        <v>747</v>
      </c>
      <c r="D15" s="102"/>
      <c r="E15" s="101"/>
      <c r="F15" s="103"/>
      <c r="G15" s="104">
        <f t="shared" ref="G15:L15" si="0">+G12+G13+G14</f>
        <v>-2913264</v>
      </c>
      <c r="H15" s="104">
        <f t="shared" si="0"/>
        <v>0</v>
      </c>
      <c r="I15" s="104">
        <f t="shared" si="0"/>
        <v>923295.27470448066</v>
      </c>
      <c r="J15" s="104">
        <f t="shared" si="0"/>
        <v>0</v>
      </c>
      <c r="K15" s="104">
        <f t="shared" si="0"/>
        <v>0</v>
      </c>
      <c r="L15" s="104">
        <f t="shared" si="0"/>
        <v>406245</v>
      </c>
      <c r="M15" s="104">
        <f t="shared" ref="M15:U15" si="1">+M12+M13+M14</f>
        <v>0</v>
      </c>
      <c r="N15" s="104">
        <f t="shared" si="1"/>
        <v>0</v>
      </c>
      <c r="O15" s="104">
        <f>+O12+O13+O14</f>
        <v>0</v>
      </c>
      <c r="P15" s="104">
        <f>+P12+P13+P14</f>
        <v>0</v>
      </c>
      <c r="Q15" s="104"/>
      <c r="R15" s="104">
        <f>SUM(G15:P15)</f>
        <v>-1583723.7252955195</v>
      </c>
      <c r="S15" s="104"/>
      <c r="T15" s="104">
        <f t="shared" si="1"/>
        <v>0</v>
      </c>
      <c r="U15" s="104">
        <f t="shared" si="1"/>
        <v>0</v>
      </c>
      <c r="V15" s="104">
        <f>+V12+V13+V14</f>
        <v>0</v>
      </c>
      <c r="W15" s="104">
        <f>+W12+W13+W14</f>
        <v>0</v>
      </c>
      <c r="X15" s="104">
        <f>+X12+X13+X14</f>
        <v>14922776.155102273</v>
      </c>
      <c r="Y15" s="104"/>
      <c r="Z15" s="104"/>
      <c r="AA15" s="104">
        <f>SUM(T15:Y15)</f>
        <v>14922776.155102273</v>
      </c>
      <c r="AD15" s="1690">
        <v>350370.42</v>
      </c>
      <c r="AE15" s="3" t="s">
        <v>3272</v>
      </c>
    </row>
    <row r="16" spans="1:33">
      <c r="A16" s="96"/>
      <c r="B16" s="101"/>
      <c r="C16" s="39"/>
      <c r="D16" s="102"/>
      <c r="E16" s="101"/>
      <c r="F16" s="103"/>
      <c r="G16" s="1695"/>
      <c r="H16" s="1695"/>
      <c r="I16" s="1695"/>
      <c r="J16" s="1695"/>
      <c r="K16" s="1695"/>
      <c r="L16" s="1695"/>
      <c r="M16" s="1695"/>
      <c r="N16" s="1695"/>
      <c r="O16" s="1695"/>
      <c r="P16" s="1695"/>
      <c r="Q16" s="781"/>
      <c r="R16" s="781"/>
      <c r="S16" s="781"/>
      <c r="T16" s="1695"/>
      <c r="U16" s="1695"/>
      <c r="V16" s="1695"/>
      <c r="W16" s="1695"/>
      <c r="X16" s="1695"/>
      <c r="Y16" s="105"/>
      <c r="Z16" s="781"/>
      <c r="AA16" s="781"/>
      <c r="AD16" s="1677">
        <v>0.5</v>
      </c>
      <c r="AE16" s="3" t="s">
        <v>3302</v>
      </c>
    </row>
    <row r="17" spans="1:47">
      <c r="A17" s="96"/>
      <c r="B17" s="101"/>
      <c r="C17" s="39" t="s">
        <v>5</v>
      </c>
      <c r="D17" s="102"/>
      <c r="E17" s="101"/>
      <c r="F17" s="103"/>
      <c r="G17" s="1695"/>
      <c r="H17" s="1695"/>
      <c r="I17" s="1695"/>
      <c r="J17" s="1695"/>
      <c r="K17" s="1695"/>
      <c r="L17" s="1695"/>
      <c r="M17" s="1695"/>
      <c r="N17" s="1695"/>
      <c r="O17" s="1695"/>
      <c r="P17" s="1695"/>
      <c r="Q17" s="781"/>
      <c r="R17" s="781"/>
      <c r="S17" s="781"/>
      <c r="T17" s="1695"/>
      <c r="U17" s="1695"/>
      <c r="V17" s="1695"/>
      <c r="W17" s="1695"/>
      <c r="X17" s="1695"/>
      <c r="Y17" s="105"/>
      <c r="Z17" s="781"/>
      <c r="AA17" s="781"/>
      <c r="AD17" s="1690">
        <f>AD15*AD16</f>
        <v>175185.21</v>
      </c>
      <c r="AE17" s="3" t="s">
        <v>3301</v>
      </c>
    </row>
    <row r="18" spans="1:47">
      <c r="A18" s="96">
        <v>6</v>
      </c>
      <c r="B18" s="81"/>
      <c r="C18" s="33" t="s">
        <v>745</v>
      </c>
      <c r="D18" s="77"/>
      <c r="E18" s="81"/>
      <c r="F18" s="50"/>
      <c r="G18" s="632">
        <f>'Operating Report'!I37</f>
        <v>0</v>
      </c>
      <c r="H18" s="632">
        <f>'Operating Report'!J37</f>
        <v>0</v>
      </c>
      <c r="I18" s="632">
        <f>'Operating Report'!L37</f>
        <v>0</v>
      </c>
      <c r="J18" s="632">
        <f>'Operating Report'!M37</f>
        <v>0</v>
      </c>
      <c r="K18" s="632">
        <f>'Operating Report'!N37</f>
        <v>0</v>
      </c>
      <c r="L18" s="632">
        <f>'Operating Report'!O37</f>
        <v>0</v>
      </c>
      <c r="M18" s="632">
        <f>'Operating Report'!P37</f>
        <v>0</v>
      </c>
      <c r="N18" s="632">
        <f>'Operating Report'!Q37</f>
        <v>0</v>
      </c>
      <c r="O18" s="632">
        <f>'Operating Report'!R37</f>
        <v>0</v>
      </c>
      <c r="P18" s="632">
        <f>'Operating Report'!S37</f>
        <v>0</v>
      </c>
      <c r="Q18" s="108"/>
      <c r="R18" s="1724">
        <f t="shared" ref="R18:R31" si="2">SUM(G18:P18)</f>
        <v>0</v>
      </c>
      <c r="S18" s="108"/>
      <c r="T18" s="632">
        <f>'Operating Report'!T37</f>
        <v>0</v>
      </c>
      <c r="U18" s="632">
        <f>'Operating Report'!U37</f>
        <v>0</v>
      </c>
      <c r="V18" s="632">
        <f>'Operating Report'!V37</f>
        <v>0</v>
      </c>
      <c r="W18" s="632">
        <f>'Operating Report'!W37</f>
        <v>0</v>
      </c>
      <c r="X18" s="632">
        <f>'Operating Report'!K37</f>
        <v>0</v>
      </c>
      <c r="Y18" s="100"/>
      <c r="Z18" s="108"/>
      <c r="AA18" s="1724">
        <f t="shared" ref="AA18:AA31" si="3">SUM(T18:Y18)</f>
        <v>0</v>
      </c>
      <c r="AC18" s="1690">
        <f>AA18-'Exh 6, ROO Summary'!N17</f>
        <v>0</v>
      </c>
    </row>
    <row r="19" spans="1:47">
      <c r="A19" s="96">
        <v>7</v>
      </c>
      <c r="B19" s="81"/>
      <c r="C19" s="33" t="s">
        <v>746</v>
      </c>
      <c r="D19" s="77"/>
      <c r="E19" s="81"/>
      <c r="F19" s="50"/>
      <c r="G19" s="632">
        <f>+'Operating Report'!I53</f>
        <v>-118045.45728</v>
      </c>
      <c r="H19" s="632">
        <f>+'Operating Report'!J53</f>
        <v>0</v>
      </c>
      <c r="I19" s="632">
        <f>+'Operating Report'!L53</f>
        <v>37411.924531025557</v>
      </c>
      <c r="J19" s="632">
        <f>+'Operating Report'!M53</f>
        <v>0</v>
      </c>
      <c r="K19" s="632">
        <f>+'Operating Report'!N53</f>
        <v>0</v>
      </c>
      <c r="L19" s="632">
        <f>+'Operating Report'!O53</f>
        <v>16461.047399999999</v>
      </c>
      <c r="M19" s="632">
        <f>+'Operating Report'!P53</f>
        <v>0</v>
      </c>
      <c r="N19" s="632">
        <f>+'Operating Report'!Q53</f>
        <v>0</v>
      </c>
      <c r="O19" s="632">
        <f>+'Operating Report'!R53</f>
        <v>0</v>
      </c>
      <c r="P19" s="632">
        <f>+'Operating Report'!S53</f>
        <v>0</v>
      </c>
      <c r="Q19" s="108"/>
      <c r="R19" s="1724">
        <f t="shared" si="2"/>
        <v>-64172.485348974456</v>
      </c>
      <c r="S19" s="108"/>
      <c r="T19" s="632">
        <f>+'Operating Report'!T53</f>
        <v>0</v>
      </c>
      <c r="U19" s="632">
        <f>+'Operating Report'!U53</f>
        <v>0</v>
      </c>
      <c r="V19" s="632">
        <f>+'Operating Report'!V53</f>
        <v>0</v>
      </c>
      <c r="W19" s="632">
        <f>+'Operating Report'!W53</f>
        <v>0</v>
      </c>
      <c r="X19" s="632">
        <f>+'Operating Report'!K53</f>
        <v>604670.88980474416</v>
      </c>
      <c r="Y19" s="100"/>
      <c r="Z19" s="108"/>
      <c r="AA19" s="1724">
        <f t="shared" si="3"/>
        <v>604670.88980474416</v>
      </c>
      <c r="AC19" s="1690">
        <f>AA19-'Exh 6, ROO Summary'!N18</f>
        <v>0</v>
      </c>
    </row>
    <row r="20" spans="1:47">
      <c r="A20" s="96">
        <v>8</v>
      </c>
      <c r="B20" s="81"/>
      <c r="C20" s="41" t="s">
        <v>27</v>
      </c>
      <c r="D20" s="77"/>
      <c r="E20" s="81"/>
      <c r="F20" s="50"/>
      <c r="G20" s="632">
        <f>+'Operating Report'!I57</f>
        <v>0</v>
      </c>
      <c r="H20" s="632">
        <f>+'Operating Report'!J57</f>
        <v>0</v>
      </c>
      <c r="I20" s="632">
        <f>+'Operating Report'!L57</f>
        <v>0</v>
      </c>
      <c r="J20" s="632">
        <f>+'Operating Report'!M57</f>
        <v>0</v>
      </c>
      <c r="K20" s="632">
        <f>+'Operating Report'!N57</f>
        <v>0</v>
      </c>
      <c r="L20" s="632">
        <f>+'Operating Report'!O57</f>
        <v>0</v>
      </c>
      <c r="M20" s="632">
        <f>+'Operating Report'!P57</f>
        <v>0</v>
      </c>
      <c r="N20" s="632">
        <f>+'Operating Report'!Q57</f>
        <v>0</v>
      </c>
      <c r="O20" s="632">
        <f>+'Operating Report'!R57</f>
        <v>0</v>
      </c>
      <c r="P20" s="632">
        <f>+'Operating Report'!S57</f>
        <v>0</v>
      </c>
      <c r="Q20" s="108"/>
      <c r="R20" s="98">
        <f t="shared" si="2"/>
        <v>0</v>
      </c>
      <c r="S20" s="108"/>
      <c r="T20" s="632">
        <f>+'Operating Report'!T57</f>
        <v>0</v>
      </c>
      <c r="U20" s="632">
        <f>+'Operating Report'!U57</f>
        <v>5778.6633749999992</v>
      </c>
      <c r="V20" s="632">
        <f>+'Operating Report'!V57</f>
        <v>0</v>
      </c>
      <c r="W20" s="632">
        <f>+'Operating Report'!W57</f>
        <v>0</v>
      </c>
      <c r="X20" s="632">
        <f>+'Operating Report'!K57</f>
        <v>0</v>
      </c>
      <c r="Y20" s="100"/>
      <c r="Z20" s="108"/>
      <c r="AA20" s="98">
        <f t="shared" si="3"/>
        <v>5778.6633749999992</v>
      </c>
      <c r="AC20" s="1690">
        <f>AA20-'Exh 6, ROO Summary'!N19</f>
        <v>0</v>
      </c>
    </row>
    <row r="21" spans="1:47">
      <c r="A21" s="96">
        <v>9</v>
      </c>
      <c r="B21" s="81"/>
      <c r="C21" s="41" t="s">
        <v>6</v>
      </c>
      <c r="D21" s="77"/>
      <c r="E21" s="81"/>
      <c r="F21" s="50"/>
      <c r="G21" s="632">
        <f>+'Operating Report'!I85</f>
        <v>0</v>
      </c>
      <c r="H21" s="632">
        <f>+'Operating Report'!J85</f>
        <v>0</v>
      </c>
      <c r="I21" s="632">
        <f>+'Operating Report'!L85</f>
        <v>0</v>
      </c>
      <c r="J21" s="632">
        <f>+'Operating Report'!M85</f>
        <v>77164.839599999992</v>
      </c>
      <c r="K21" s="632">
        <f>+'Operating Report'!N85</f>
        <v>0</v>
      </c>
      <c r="L21" s="632">
        <f>+'Operating Report'!O85</f>
        <v>0</v>
      </c>
      <c r="M21" s="632">
        <f>+'Operating Report'!P85</f>
        <v>0</v>
      </c>
      <c r="N21" s="632">
        <f>+'Operating Report'!Q85</f>
        <v>0</v>
      </c>
      <c r="O21" s="632">
        <f>+'Operating Report'!R85</f>
        <v>0</v>
      </c>
      <c r="P21" s="632">
        <f>+'Operating Report'!S85</f>
        <v>0</v>
      </c>
      <c r="Q21" s="108"/>
      <c r="R21" s="632">
        <f t="shared" si="2"/>
        <v>77164.839599999992</v>
      </c>
      <c r="S21" s="108"/>
      <c r="T21" s="632">
        <f>+'Operating Report'!T85</f>
        <v>0</v>
      </c>
      <c r="U21" s="632">
        <f>+'Operating Report'!U85</f>
        <v>421920.10321799992</v>
      </c>
      <c r="V21" s="632">
        <f>+'Operating Report'!V85</f>
        <v>0</v>
      </c>
      <c r="W21" s="632">
        <f>+'Operating Report'!W85</f>
        <v>800404.5149999999</v>
      </c>
      <c r="X21" s="632">
        <f>+'Operating Report'!K85</f>
        <v>0</v>
      </c>
      <c r="Y21" s="100"/>
      <c r="Z21" s="108"/>
      <c r="AA21" s="632">
        <f t="shared" si="3"/>
        <v>1222324.6182179998</v>
      </c>
      <c r="AC21" s="1690">
        <f>AA21-'Exh 6, ROO Summary'!N20</f>
        <v>0</v>
      </c>
      <c r="AD21" s="1684"/>
    </row>
    <row r="22" spans="1:47">
      <c r="A22" s="96">
        <v>10</v>
      </c>
      <c r="B22" s="81"/>
      <c r="C22" s="41" t="s">
        <v>28</v>
      </c>
      <c r="D22" s="77"/>
      <c r="E22" s="81"/>
      <c r="F22" s="50"/>
      <c r="G22" s="632">
        <f>+'Operating Report'!I93</f>
        <v>-11710.981482519415</v>
      </c>
      <c r="H22" s="632">
        <f>+'Operating Report'!J93</f>
        <v>0</v>
      </c>
      <c r="I22" s="632">
        <f>+'Operating Report'!L93</f>
        <v>3711.5393129362292</v>
      </c>
      <c r="J22" s="632">
        <f>+'Operating Report'!M93</f>
        <v>3359.4546</v>
      </c>
      <c r="K22" s="632">
        <f>+'Operating Report'!N93</f>
        <v>0</v>
      </c>
      <c r="L22" s="632">
        <f>+'Operating Report'!O93</f>
        <v>1633.0575163686162</v>
      </c>
      <c r="M22" s="632">
        <f>+'Operating Report'!P93</f>
        <v>0</v>
      </c>
      <c r="N22" s="632">
        <f>+'Operating Report'!Q93</f>
        <v>0</v>
      </c>
      <c r="O22" s="632">
        <f>+'Operating Report'!R93</f>
        <v>0</v>
      </c>
      <c r="P22" s="632">
        <f>+'Operating Report'!S93</f>
        <v>0</v>
      </c>
      <c r="Q22" s="782"/>
      <c r="R22" s="98">
        <f t="shared" si="2"/>
        <v>-3006.9300532145699</v>
      </c>
      <c r="S22" s="782"/>
      <c r="T22" s="632">
        <f>+'Operating Report'!T93</f>
        <v>0</v>
      </c>
      <c r="U22" s="632">
        <f>+'Operating Report'!U93</f>
        <v>102159.327013</v>
      </c>
      <c r="V22" s="632">
        <f>+'Operating Report'!V93</f>
        <v>0</v>
      </c>
      <c r="W22" s="632">
        <f>+'Operating Report'!W93</f>
        <v>0</v>
      </c>
      <c r="X22" s="632">
        <f>+'Operating Report'!K93</f>
        <v>59987.819579751442</v>
      </c>
      <c r="Y22" s="100"/>
      <c r="Z22" s="782"/>
      <c r="AA22" s="98">
        <f t="shared" si="3"/>
        <v>162147.14659275144</v>
      </c>
      <c r="AC22" s="1690">
        <f>AA22-'Exh 6, ROO Summary'!N21</f>
        <v>0</v>
      </c>
      <c r="AD22" s="1684"/>
    </row>
    <row r="23" spans="1:47">
      <c r="A23" s="96">
        <v>11</v>
      </c>
      <c r="B23" s="81"/>
      <c r="C23" s="41" t="s">
        <v>7</v>
      </c>
      <c r="D23" s="77"/>
      <c r="E23" s="81"/>
      <c r="F23" s="50"/>
      <c r="G23" s="632">
        <f>+'Operating Report'!I100</f>
        <v>0</v>
      </c>
      <c r="H23" s="632">
        <f>+'Operating Report'!J100</f>
        <v>0</v>
      </c>
      <c r="I23" s="632">
        <f>+'Operating Report'!L100</f>
        <v>0</v>
      </c>
      <c r="J23" s="632">
        <f>+'Operating Report'!M100</f>
        <v>0</v>
      </c>
      <c r="K23" s="632">
        <f>+'Operating Report'!N100</f>
        <v>0</v>
      </c>
      <c r="L23" s="632">
        <f>+'Operating Report'!O100</f>
        <v>0</v>
      </c>
      <c r="M23" s="632">
        <f>+'Operating Report'!P100</f>
        <v>0</v>
      </c>
      <c r="N23" s="632">
        <f>+'Operating Report'!Q100</f>
        <v>-4394</v>
      </c>
      <c r="O23" s="632">
        <f>+'Operating Report'!R100</f>
        <v>0</v>
      </c>
      <c r="P23" s="632">
        <f>+'Operating Report'!S100</f>
        <v>0</v>
      </c>
      <c r="Q23" s="100"/>
      <c r="R23" s="98">
        <f t="shared" si="2"/>
        <v>-4394</v>
      </c>
      <c r="S23" s="100"/>
      <c r="T23" s="632">
        <f>+'Operating Report'!T100</f>
        <v>0</v>
      </c>
      <c r="U23" s="632">
        <f>+'Operating Report'!U100</f>
        <v>24840.201999999997</v>
      </c>
      <c r="V23" s="632">
        <f>+'Operating Report'!V100</f>
        <v>0</v>
      </c>
      <c r="W23" s="632">
        <f>+'Operating Report'!W100</f>
        <v>0</v>
      </c>
      <c r="X23" s="632">
        <f>+'Operating Report'!K100</f>
        <v>0</v>
      </c>
      <c r="Y23" s="100"/>
      <c r="Z23" s="100"/>
      <c r="AA23" s="98">
        <f t="shared" si="3"/>
        <v>24840.201999999997</v>
      </c>
      <c r="AC23" s="1690">
        <f>AA23-'Exh 6, ROO Summary'!N22</f>
        <v>0</v>
      </c>
      <c r="AD23" s="1684"/>
      <c r="AI23" s="1684"/>
      <c r="AJ23" s="1684"/>
      <c r="AK23" s="1684"/>
      <c r="AL23" s="1684"/>
      <c r="AM23" s="1684"/>
      <c r="AO23" s="1690"/>
      <c r="AQ23" s="1684"/>
      <c r="AR23" s="1684"/>
      <c r="AS23" s="1684"/>
      <c r="AT23" s="1684"/>
      <c r="AU23" s="1684"/>
    </row>
    <row r="24" spans="1:47">
      <c r="A24" s="96">
        <v>12</v>
      </c>
      <c r="B24" s="81"/>
      <c r="C24" s="41" t="s">
        <v>8</v>
      </c>
      <c r="D24" s="77"/>
      <c r="E24" s="81"/>
      <c r="F24" s="50"/>
      <c r="G24" s="632">
        <f>'Operating Report'!I107</f>
        <v>0</v>
      </c>
      <c r="H24" s="632">
        <f>'Operating Report'!J107</f>
        <v>-1977.2275</v>
      </c>
      <c r="I24" s="632">
        <f>'Operating Report'!L107</f>
        <v>0</v>
      </c>
      <c r="J24" s="632">
        <f>'Operating Report'!M107</f>
        <v>0</v>
      </c>
      <c r="K24" s="632">
        <f>'Operating Report'!N107</f>
        <v>0</v>
      </c>
      <c r="L24" s="632">
        <f>'Operating Report'!O107</f>
        <v>0</v>
      </c>
      <c r="M24" s="632">
        <f>'Operating Report'!P107</f>
        <v>0</v>
      </c>
      <c r="N24" s="632">
        <f>'Operating Report'!Q107</f>
        <v>0</v>
      </c>
      <c r="O24" s="632">
        <f>'Operating Report'!R107</f>
        <v>0</v>
      </c>
      <c r="P24" s="632">
        <f>'Operating Report'!S107</f>
        <v>0</v>
      </c>
      <c r="Q24" s="100"/>
      <c r="R24" s="632">
        <f t="shared" si="2"/>
        <v>-1977.2275</v>
      </c>
      <c r="S24" s="100"/>
      <c r="T24" s="632">
        <f>'Operating Report'!T107</f>
        <v>0</v>
      </c>
      <c r="U24" s="632">
        <f>'Operating Report'!U107</f>
        <v>94.855999999999995</v>
      </c>
      <c r="V24" s="632">
        <f>'Operating Report'!V107</f>
        <v>0</v>
      </c>
      <c r="W24" s="632">
        <f>'Operating Report'!W107</f>
        <v>0</v>
      </c>
      <c r="X24" s="632">
        <f>'Operating Report'!K107</f>
        <v>0</v>
      </c>
      <c r="Y24" s="100"/>
      <c r="Z24" s="100"/>
      <c r="AA24" s="632">
        <f t="shared" si="3"/>
        <v>94.855999999999995</v>
      </c>
      <c r="AC24" s="1690">
        <f>AA24-'Exh 6, ROO Summary'!N23</f>
        <v>0</v>
      </c>
      <c r="AD24" s="1684" t="e">
        <f>-#REF!</f>
        <v>#REF!</v>
      </c>
      <c r="AE24" s="3" t="s">
        <v>3256</v>
      </c>
      <c r="AL24" s="1690"/>
      <c r="AM24" s="1690"/>
      <c r="AQ24" s="1718"/>
      <c r="AR24" s="1718"/>
      <c r="AS24" s="1718"/>
      <c r="AT24" s="1718"/>
      <c r="AU24" s="1718"/>
    </row>
    <row r="25" spans="1:47">
      <c r="A25" s="96">
        <v>13</v>
      </c>
      <c r="B25" s="101"/>
      <c r="C25" s="41" t="s">
        <v>9</v>
      </c>
      <c r="D25" s="102"/>
      <c r="E25" s="101"/>
      <c r="F25" s="103"/>
      <c r="G25" s="632">
        <f>+'Operating Report'!I123</f>
        <v>0</v>
      </c>
      <c r="H25" s="632">
        <f>+'Operating Report'!J123</f>
        <v>-25714.466148000007</v>
      </c>
      <c r="I25" s="632">
        <f>+'Operating Report'!L123</f>
        <v>0</v>
      </c>
      <c r="J25" s="632">
        <f>+'Operating Report'!M123</f>
        <v>39.050400000000003</v>
      </c>
      <c r="K25" s="632">
        <f>+'Operating Report'!N123</f>
        <v>-1788652.3900000001</v>
      </c>
      <c r="L25" s="632">
        <f>+'Operating Report'!O123</f>
        <v>0</v>
      </c>
      <c r="M25" s="632">
        <f>+'Operating Report'!P123</f>
        <v>-175185.21</v>
      </c>
      <c r="N25" s="632">
        <f>+'Operating Report'!Q123</f>
        <v>-41431</v>
      </c>
      <c r="O25" s="632">
        <f>+'Operating Report'!R123</f>
        <v>0</v>
      </c>
      <c r="P25" s="632">
        <f>+'Operating Report'!S123</f>
        <v>0</v>
      </c>
      <c r="Q25" s="100"/>
      <c r="R25" s="98">
        <f t="shared" si="2"/>
        <v>-2030944.015748</v>
      </c>
      <c r="S25" s="100"/>
      <c r="T25" s="632">
        <f>+'Operating Report'!T123</f>
        <v>0</v>
      </c>
      <c r="U25" s="632">
        <f>+'Operating Report'!U123</f>
        <v>307101.57116349996</v>
      </c>
      <c r="V25" s="632">
        <f>+'Operating Report'!V123</f>
        <v>0</v>
      </c>
      <c r="W25" s="632">
        <f>+'Operating Report'!W123</f>
        <v>0</v>
      </c>
      <c r="X25" s="632">
        <f>+'Operating Report'!K123</f>
        <v>0</v>
      </c>
      <c r="Y25" s="100"/>
      <c r="Z25" s="100"/>
      <c r="AA25" s="98">
        <f t="shared" si="3"/>
        <v>307101.57116349996</v>
      </c>
      <c r="AC25" s="1690">
        <f>AA25-'Exh 6, ROO Summary'!N24</f>
        <v>0</v>
      </c>
      <c r="AD25" s="1684"/>
      <c r="AL25" s="1690"/>
      <c r="AM25" s="1690"/>
      <c r="AQ25" s="1718"/>
      <c r="AR25" s="1718"/>
      <c r="AS25" s="1718"/>
      <c r="AT25" s="1718"/>
      <c r="AU25" s="1718"/>
    </row>
    <row r="26" spans="1:47">
      <c r="A26" s="96">
        <v>14</v>
      </c>
      <c r="B26" s="81"/>
      <c r="C26" s="41" t="s">
        <v>29</v>
      </c>
      <c r="D26" s="77"/>
      <c r="E26" s="81"/>
      <c r="F26" s="50"/>
      <c r="G26" s="632">
        <f>+'Operating Report'!I128</f>
        <v>0</v>
      </c>
      <c r="H26" s="632">
        <f>+'Operating Report'!J128</f>
        <v>0</v>
      </c>
      <c r="I26" s="632">
        <f>+'Operating Report'!L128</f>
        <v>1910511.9494739994</v>
      </c>
      <c r="J26" s="632">
        <f>+'Operating Report'!M128</f>
        <v>0</v>
      </c>
      <c r="K26" s="632">
        <f>+'Operating Report'!N128</f>
        <v>0</v>
      </c>
      <c r="L26" s="632">
        <f>+'Operating Report'!O128</f>
        <v>0</v>
      </c>
      <c r="M26" s="632">
        <f>+'Operating Report'!P128</f>
        <v>0</v>
      </c>
      <c r="N26" s="632">
        <f>+'Operating Report'!Q128</f>
        <v>0</v>
      </c>
      <c r="O26" s="632">
        <f>+'Operating Report'!R128</f>
        <v>-459130.68158399995</v>
      </c>
      <c r="P26" s="632">
        <f>+'Operating Report'!S128</f>
        <v>0</v>
      </c>
      <c r="Q26" s="99"/>
      <c r="R26" s="98">
        <f t="shared" si="2"/>
        <v>1451381.2678899996</v>
      </c>
      <c r="S26" s="99"/>
      <c r="T26" s="632">
        <f>+'Operating Report'!T128</f>
        <v>0</v>
      </c>
      <c r="U26" s="632">
        <f>+'Operating Report'!U128</f>
        <v>0</v>
      </c>
      <c r="V26" s="632">
        <f>+'Operating Report'!V128</f>
        <v>868217.01335499994</v>
      </c>
      <c r="W26" s="632">
        <f>+'Operating Report'!W128</f>
        <v>0</v>
      </c>
      <c r="X26" s="632">
        <f>+'Operating Report'!K128</f>
        <v>0</v>
      </c>
      <c r="Y26" s="100"/>
      <c r="Z26" s="99"/>
      <c r="AA26" s="98">
        <f t="shared" si="3"/>
        <v>868217.01335499994</v>
      </c>
      <c r="AC26" s="1690">
        <f>AA26-'Exh 6, ROO Summary'!N25</f>
        <v>0</v>
      </c>
      <c r="AD26" s="1684"/>
      <c r="AL26" s="1690"/>
      <c r="AM26" s="1690"/>
      <c r="AQ26" s="1718"/>
      <c r="AR26" s="1718"/>
      <c r="AS26" s="1719"/>
      <c r="AT26" s="1718"/>
      <c r="AU26" s="1719"/>
    </row>
    <row r="27" spans="1:47">
      <c r="A27" s="96">
        <v>15</v>
      </c>
      <c r="B27" s="81"/>
      <c r="C27" s="41" t="s">
        <v>30</v>
      </c>
      <c r="D27" s="77"/>
      <c r="E27" s="81"/>
      <c r="F27" s="50"/>
      <c r="G27" s="632"/>
      <c r="H27" s="632"/>
      <c r="I27" s="632"/>
      <c r="J27" s="632"/>
      <c r="K27" s="632"/>
      <c r="L27" s="632"/>
      <c r="M27" s="632"/>
      <c r="N27" s="632"/>
      <c r="O27" s="632"/>
      <c r="P27" s="632"/>
      <c r="Q27" s="100"/>
      <c r="R27" s="98">
        <f t="shared" si="2"/>
        <v>0</v>
      </c>
      <c r="S27" s="100"/>
      <c r="T27" s="632"/>
      <c r="U27" s="632"/>
      <c r="V27" s="632"/>
      <c r="W27" s="632"/>
      <c r="X27" s="632"/>
      <c r="Y27" s="100"/>
      <c r="Z27" s="100"/>
      <c r="AA27" s="98">
        <f t="shared" si="3"/>
        <v>0</v>
      </c>
      <c r="AC27" s="1690">
        <f>AA27-'Exh 6, ROO Summary'!N26</f>
        <v>0</v>
      </c>
    </row>
    <row r="28" spans="1:47">
      <c r="A28" s="96">
        <v>16</v>
      </c>
      <c r="B28" s="81"/>
      <c r="C28" s="41" t="s">
        <v>31</v>
      </c>
      <c r="D28" s="77"/>
      <c r="E28" s="81"/>
      <c r="F28" s="50"/>
      <c r="G28" s="632">
        <f>+'Operating Report'!I140</f>
        <v>0</v>
      </c>
      <c r="H28" s="632">
        <f>+'Operating Report'!J140</f>
        <v>0</v>
      </c>
      <c r="I28" s="632">
        <f>+'Operating Report'!L140</f>
        <v>0</v>
      </c>
      <c r="J28" s="632">
        <f>+'Operating Report'!M140</f>
        <v>6163.0958619000021</v>
      </c>
      <c r="K28" s="632">
        <f>+'Operating Report'!N140</f>
        <v>0</v>
      </c>
      <c r="L28" s="632">
        <f>+'Operating Report'!O140</f>
        <v>0</v>
      </c>
      <c r="M28" s="632">
        <f>+'Operating Report'!P140</f>
        <v>0</v>
      </c>
      <c r="N28" s="632">
        <f>+'Operating Report'!Q140</f>
        <v>0</v>
      </c>
      <c r="O28" s="632">
        <f>+'Operating Report'!R140</f>
        <v>0</v>
      </c>
      <c r="P28" s="632">
        <f>+'Operating Report'!S140</f>
        <v>0</v>
      </c>
      <c r="Q28" s="100"/>
      <c r="R28" s="632">
        <f t="shared" si="2"/>
        <v>6163.0958619000021</v>
      </c>
      <c r="S28" s="100"/>
      <c r="T28" s="632">
        <f>+'Operating Report'!T140</f>
        <v>0</v>
      </c>
      <c r="U28" s="632">
        <f>+'Operating Report'!U140</f>
        <v>50096.159624661734</v>
      </c>
      <c r="V28" s="632">
        <f>+'Operating Report'!V140</f>
        <v>157360.47984614564</v>
      </c>
      <c r="W28" s="632">
        <f>+'Operating Report'!W140</f>
        <v>0</v>
      </c>
      <c r="X28" s="632">
        <f>+'Operating Report'!K140</f>
        <v>0</v>
      </c>
      <c r="Y28" s="100"/>
      <c r="Z28" s="100"/>
      <c r="AA28" s="632">
        <f t="shared" si="3"/>
        <v>207456.63947080736</v>
      </c>
      <c r="AB28" s="50"/>
      <c r="AC28" s="1690">
        <f>AA28-'Exh 6, ROO Summary'!N27</f>
        <v>0</v>
      </c>
      <c r="AU28" s="1720"/>
    </row>
    <row r="29" spans="1:47">
      <c r="A29" s="96">
        <v>17</v>
      </c>
      <c r="B29" s="81"/>
      <c r="C29" s="41" t="s">
        <v>32</v>
      </c>
      <c r="D29" s="77"/>
      <c r="E29" s="81"/>
      <c r="F29" s="50"/>
      <c r="G29" s="632">
        <f>+'Operating Report'!I143</f>
        <v>-584536.58785987087</v>
      </c>
      <c r="H29" s="632">
        <f>+'Operating Report'!J143</f>
        <v>5815.255666080001</v>
      </c>
      <c r="I29" s="632">
        <f>+'Operating Report'!L143</f>
        <v>-215951.4291088309</v>
      </c>
      <c r="J29" s="632">
        <f>+'Operating Report'!M143</f>
        <v>-18212.552496998997</v>
      </c>
      <c r="K29" s="632">
        <f>+'Operating Report'!N143</f>
        <v>375617.00190000003</v>
      </c>
      <c r="L29" s="632">
        <f>+'Operating Report'!O143</f>
        <v>81511.687967562582</v>
      </c>
      <c r="M29" s="632">
        <f>+'Operating Report'!P143</f>
        <v>36788.894099999998</v>
      </c>
      <c r="N29" s="632">
        <f>+'Operating Report'!Q143</f>
        <v>9623.25</v>
      </c>
      <c r="O29" s="632">
        <f>+'Operating Report'!R143</f>
        <v>96417.443132639979</v>
      </c>
      <c r="P29" s="632">
        <f>+'Operating Report'!S143</f>
        <v>0</v>
      </c>
      <c r="Q29" s="100"/>
      <c r="R29" s="98">
        <f t="shared" si="2"/>
        <v>-212927.03669941815</v>
      </c>
      <c r="S29" s="100"/>
      <c r="T29" s="632">
        <f>+'Operating Report'!T143</f>
        <v>360262.11107983382</v>
      </c>
      <c r="U29" s="632">
        <f>+'Operating Report'!U143</f>
        <v>-191518.08530277398</v>
      </c>
      <c r="V29" s="632">
        <f>+'Operating Report'!V143</f>
        <v>-215371.27357224055</v>
      </c>
      <c r="W29" s="632">
        <f>+'Operating Report'!W143</f>
        <v>-168084.94814999998</v>
      </c>
      <c r="X29" s="632">
        <f>+'Operating Report'!K143</f>
        <v>2994204.663600733</v>
      </c>
      <c r="Y29" s="100">
        <f>(Y15-SUM(Y18:Y28))*'Exh 8, Conversion Factor'!$C$33</f>
        <v>0</v>
      </c>
      <c r="Z29" s="100"/>
      <c r="AA29" s="98">
        <f t="shared" si="3"/>
        <v>2779492.4676555526</v>
      </c>
      <c r="AB29" s="50"/>
      <c r="AC29" s="1690">
        <f>AA29-'Exh 6, ROO Summary'!N28</f>
        <v>0</v>
      </c>
      <c r="AD29" s="73"/>
    </row>
    <row r="30" spans="1:47">
      <c r="A30" s="96">
        <v>18</v>
      </c>
      <c r="B30" s="81"/>
      <c r="C30" s="45" t="s">
        <v>33</v>
      </c>
      <c r="D30" s="77"/>
      <c r="E30" s="81"/>
      <c r="F30" s="50"/>
      <c r="G30" s="100">
        <f t="shared" ref="G30:L30" si="4">SUM(G18:G29)</f>
        <v>-714293.02662239026</v>
      </c>
      <c r="H30" s="100">
        <f t="shared" si="4"/>
        <v>-21876.437981920008</v>
      </c>
      <c r="I30" s="100">
        <f t="shared" si="4"/>
        <v>1735683.9842091303</v>
      </c>
      <c r="J30" s="100">
        <f t="shared" si="4"/>
        <v>68513.88796490099</v>
      </c>
      <c r="K30" s="100">
        <f t="shared" si="4"/>
        <v>-1413035.3881000001</v>
      </c>
      <c r="L30" s="100">
        <f t="shared" si="4"/>
        <v>99605.792883931194</v>
      </c>
      <c r="M30" s="100">
        <f t="shared" ref="M30:U30" si="5">SUM(M18:M29)</f>
        <v>-138396.31589999999</v>
      </c>
      <c r="N30" s="100">
        <f t="shared" si="5"/>
        <v>-36201.75</v>
      </c>
      <c r="O30" s="100">
        <f>SUM(O18:O29)</f>
        <v>-362713.23845135997</v>
      </c>
      <c r="P30" s="100">
        <f>SUM(P18:P29)</f>
        <v>0</v>
      </c>
      <c r="Q30" s="100"/>
      <c r="R30" s="98">
        <f t="shared" si="2"/>
        <v>-782712.49199770775</v>
      </c>
      <c r="S30" s="100"/>
      <c r="T30" s="100">
        <f t="shared" si="5"/>
        <v>360262.11107983382</v>
      </c>
      <c r="U30" s="100">
        <f t="shared" si="5"/>
        <v>720472.79709138779</v>
      </c>
      <c r="V30" s="100">
        <f>SUM(V18:V29)</f>
        <v>810206.21962890495</v>
      </c>
      <c r="W30" s="100">
        <f>SUM(W18:W29)</f>
        <v>632319.56684999994</v>
      </c>
      <c r="X30" s="100">
        <f>SUM(X18:X29)</f>
        <v>3658863.3729852289</v>
      </c>
      <c r="Y30" s="100">
        <f>SUM(Y18:Y29)</f>
        <v>0</v>
      </c>
      <c r="Z30" s="100"/>
      <c r="AA30" s="98">
        <f t="shared" si="3"/>
        <v>6182124.0676353555</v>
      </c>
      <c r="AB30" s="50"/>
      <c r="AC30" s="1690">
        <f>AA30-'Exh 6, ROO Summary'!N29</f>
        <v>0</v>
      </c>
      <c r="AI30" s="1684"/>
      <c r="AJ30" s="1684"/>
      <c r="AK30" s="1684"/>
      <c r="AL30" s="1684"/>
      <c r="AM30" s="1684"/>
      <c r="AO30" s="1684"/>
      <c r="AU30" s="764"/>
    </row>
    <row r="31" spans="1:47" ht="16.2" thickBot="1">
      <c r="A31" s="96">
        <v>19</v>
      </c>
      <c r="B31" s="81"/>
      <c r="C31" s="45" t="s">
        <v>10</v>
      </c>
      <c r="D31" s="77"/>
      <c r="E31" s="81"/>
      <c r="F31" s="50"/>
      <c r="G31" s="343">
        <f t="shared" ref="G31:L31" si="6">+G15-G30</f>
        <v>-2198970.9733776096</v>
      </c>
      <c r="H31" s="343">
        <f t="shared" si="6"/>
        <v>21876.437981920008</v>
      </c>
      <c r="I31" s="343">
        <f t="shared" si="6"/>
        <v>-812388.70950464963</v>
      </c>
      <c r="J31" s="343">
        <f t="shared" si="6"/>
        <v>-68513.88796490099</v>
      </c>
      <c r="K31" s="343">
        <f t="shared" si="6"/>
        <v>1413035.3881000001</v>
      </c>
      <c r="L31" s="343">
        <f t="shared" si="6"/>
        <v>306639.20711606881</v>
      </c>
      <c r="M31" s="343">
        <f t="shared" ref="M31:U31" si="7">+M15-M30</f>
        <v>138396.31589999999</v>
      </c>
      <c r="N31" s="343">
        <f t="shared" si="7"/>
        <v>36201.75</v>
      </c>
      <c r="O31" s="343">
        <f>+O15-O30</f>
        <v>362713.23845135997</v>
      </c>
      <c r="P31" s="343">
        <f>+P15-P30</f>
        <v>0</v>
      </c>
      <c r="Q31" s="343"/>
      <c r="R31" s="343">
        <f t="shared" si="2"/>
        <v>-801011.23329781136</v>
      </c>
      <c r="S31" s="343"/>
      <c r="T31" s="343">
        <f t="shared" si="7"/>
        <v>-360262.11107983382</v>
      </c>
      <c r="U31" s="343">
        <f t="shared" si="7"/>
        <v>-720472.79709138779</v>
      </c>
      <c r="V31" s="343">
        <f>+V15-V30</f>
        <v>-810206.21962890495</v>
      </c>
      <c r="W31" s="343">
        <f>+W15-W30</f>
        <v>-632319.56684999994</v>
      </c>
      <c r="X31" s="343">
        <f>+X15-X30</f>
        <v>11263912.782117045</v>
      </c>
      <c r="Y31" s="343">
        <f>+Y15-Y30</f>
        <v>0</v>
      </c>
      <c r="Z31" s="343"/>
      <c r="AA31" s="343">
        <f t="shared" si="3"/>
        <v>8740652.0874669179</v>
      </c>
      <c r="AB31" s="50"/>
      <c r="AC31" s="1690">
        <f>AA31-'Exh 6, ROO Summary'!N30</f>
        <v>0</v>
      </c>
      <c r="AL31" s="1690"/>
      <c r="AM31" s="1690"/>
    </row>
    <row r="32" spans="1:47" ht="16.2" thickBot="1">
      <c r="A32" s="96"/>
      <c r="B32" s="81"/>
      <c r="C32" s="45"/>
      <c r="D32" s="77"/>
      <c r="E32" s="81"/>
      <c r="F32" s="50"/>
      <c r="G32" s="106"/>
      <c r="H32" s="106"/>
      <c r="I32" s="106"/>
      <c r="J32" s="106"/>
      <c r="K32" s="106"/>
      <c r="L32" s="106"/>
      <c r="M32" s="106"/>
      <c r="N32" s="106"/>
      <c r="O32" s="106"/>
      <c r="P32" s="106"/>
      <c r="Q32" s="784"/>
      <c r="R32" s="106"/>
      <c r="S32" s="784"/>
      <c r="T32" s="106"/>
      <c r="U32" s="106"/>
      <c r="V32" s="106"/>
      <c r="W32" s="106"/>
      <c r="X32" s="106"/>
      <c r="Y32" s="106"/>
      <c r="Z32" s="784"/>
      <c r="AA32" s="106"/>
      <c r="AB32" s="107"/>
      <c r="AL32" s="1690"/>
      <c r="AM32" s="1690"/>
      <c r="AU32" s="764"/>
    </row>
    <row r="33" spans="1:139" ht="16.2" thickTop="1">
      <c r="A33" s="96">
        <v>20</v>
      </c>
      <c r="B33" s="81"/>
      <c r="C33" s="45" t="s">
        <v>34</v>
      </c>
      <c r="D33" s="77"/>
      <c r="E33" s="81"/>
      <c r="F33" s="50"/>
      <c r="G33" s="108"/>
      <c r="H33" s="108"/>
      <c r="I33" s="108"/>
      <c r="J33" s="1696"/>
      <c r="K33" s="1696"/>
      <c r="L33" s="1696"/>
      <c r="M33" s="1696"/>
      <c r="N33" s="1696"/>
      <c r="O33" s="1696"/>
      <c r="P33" s="1696"/>
      <c r="Q33" s="108"/>
      <c r="R33" s="785"/>
      <c r="S33" s="108"/>
      <c r="T33" s="1696"/>
      <c r="U33" s="1696"/>
      <c r="V33" s="108"/>
      <c r="W33" s="108"/>
      <c r="X33" s="108"/>
      <c r="Y33" s="108"/>
      <c r="Z33" s="108"/>
      <c r="AA33" s="785"/>
      <c r="AB33" s="50"/>
      <c r="AL33" s="1690"/>
      <c r="AM33" s="1690"/>
      <c r="AO33" s="1690"/>
    </row>
    <row r="34" spans="1:139">
      <c r="A34" s="96">
        <v>21</v>
      </c>
      <c r="B34" s="81"/>
      <c r="C34" s="33" t="s">
        <v>36</v>
      </c>
      <c r="D34" s="77"/>
      <c r="E34" s="81"/>
      <c r="F34" s="50"/>
      <c r="G34" s="782"/>
      <c r="H34" s="782"/>
      <c r="I34" s="100">
        <f>+'Rate Base'!H13-'Rate Base'!D13</f>
        <v>31077329.243195057</v>
      </c>
      <c r="J34" s="782"/>
      <c r="K34" s="782"/>
      <c r="L34" s="782"/>
      <c r="M34" s="782"/>
      <c r="N34" s="782"/>
      <c r="O34" s="782">
        <f>-O26/2</f>
        <v>229565.34079199997</v>
      </c>
      <c r="P34" s="782"/>
      <c r="Q34" s="782"/>
      <c r="R34" s="98">
        <f t="shared" ref="R34:R39" si="8">SUM(G34:P34)</f>
        <v>31306894.583987057</v>
      </c>
      <c r="S34" s="782"/>
      <c r="T34" s="782"/>
      <c r="U34" s="782"/>
      <c r="V34" s="100">
        <f>+'Pro Forma Plant Additions'!E16</f>
        <v>13586826.540000001</v>
      </c>
      <c r="W34" s="100"/>
      <c r="X34" s="782"/>
      <c r="Y34" s="100"/>
      <c r="Z34" s="782"/>
      <c r="AA34" s="98">
        <f t="shared" ref="AA34:AA39" si="9">SUM(T34:Y34)</f>
        <v>13586826.540000001</v>
      </c>
      <c r="AB34" s="50"/>
      <c r="AU34" s="43"/>
    </row>
    <row r="35" spans="1:139">
      <c r="A35" s="96">
        <v>22</v>
      </c>
      <c r="B35" s="81"/>
      <c r="C35" s="33" t="s">
        <v>37</v>
      </c>
      <c r="D35" s="77"/>
      <c r="E35" s="81"/>
      <c r="F35" s="50"/>
      <c r="G35" s="99"/>
      <c r="H35" s="99"/>
      <c r="I35" s="99">
        <f>+'Rate Base'!H14-'Rate Base'!D14</f>
        <v>-7438116.7491337657</v>
      </c>
      <c r="J35" s="1697"/>
      <c r="K35" s="1697"/>
      <c r="L35" s="1697"/>
      <c r="M35" s="1697"/>
      <c r="N35" s="1697"/>
      <c r="O35" s="1697"/>
      <c r="P35" s="1697"/>
      <c r="Q35" s="100"/>
      <c r="R35" s="98">
        <f t="shared" si="8"/>
        <v>-7438116.7491337657</v>
      </c>
      <c r="S35" s="100"/>
      <c r="T35" s="1697"/>
      <c r="U35" s="1697"/>
      <c r="V35" s="99">
        <f>-'Pro Forma Plant Additions'!E19</f>
        <v>-434108.50667749997</v>
      </c>
      <c r="W35" s="99"/>
      <c r="X35" s="99"/>
      <c r="Y35" s="99"/>
      <c r="Z35" s="100"/>
      <c r="AA35" s="98">
        <f t="shared" si="9"/>
        <v>-434108.50667749997</v>
      </c>
      <c r="AB35" s="50"/>
      <c r="AM35" s="1721"/>
      <c r="AU35" s="1618"/>
    </row>
    <row r="36" spans="1:139">
      <c r="A36" s="96">
        <v>23</v>
      </c>
      <c r="B36" s="81"/>
      <c r="C36" s="38" t="s">
        <v>11</v>
      </c>
      <c r="D36" s="77"/>
      <c r="E36" s="81"/>
      <c r="F36" s="50"/>
      <c r="G36" s="99"/>
      <c r="H36" s="99"/>
      <c r="I36" s="99">
        <f>+'Rate Base'!H16-'Rate Base'!D16</f>
        <v>44862.196250000037</v>
      </c>
      <c r="J36" s="1697"/>
      <c r="K36" s="1697"/>
      <c r="L36" s="1697"/>
      <c r="M36" s="1697"/>
      <c r="N36" s="1697"/>
      <c r="O36" s="1697"/>
      <c r="P36" s="1697"/>
      <c r="Q36" s="100"/>
      <c r="R36" s="98">
        <f t="shared" si="8"/>
        <v>44862.196250000037</v>
      </c>
      <c r="S36" s="100"/>
      <c r="T36" s="1697"/>
      <c r="U36" s="1697"/>
      <c r="V36" s="99"/>
      <c r="W36" s="99"/>
      <c r="X36" s="99"/>
      <c r="Y36" s="99"/>
      <c r="Z36" s="100"/>
      <c r="AA36" s="98">
        <f t="shared" si="9"/>
        <v>0</v>
      </c>
      <c r="AB36" s="50"/>
    </row>
    <row r="37" spans="1:139" ht="16.2" thickBot="1">
      <c r="A37" s="96">
        <v>24</v>
      </c>
      <c r="B37" s="81"/>
      <c r="C37" s="38" t="s">
        <v>38</v>
      </c>
      <c r="D37" s="77"/>
      <c r="E37" s="81"/>
      <c r="F37" s="50"/>
      <c r="G37" s="99"/>
      <c r="H37" s="99"/>
      <c r="I37" s="99">
        <f>+'Rate Base'!H17-'Rate Base'!D17</f>
        <v>-2047961.5683333576</v>
      </c>
      <c r="J37" s="1697"/>
      <c r="K37" s="1697"/>
      <c r="L37" s="1697"/>
      <c r="M37" s="1697"/>
      <c r="N37" s="1697"/>
      <c r="O37" s="1697"/>
      <c r="P37" s="1697"/>
      <c r="Q37" s="109"/>
      <c r="R37" s="98">
        <f t="shared" si="8"/>
        <v>-2047961.5683333576</v>
      </c>
      <c r="S37" s="109"/>
      <c r="T37" s="1697"/>
      <c r="U37" s="1697"/>
      <c r="V37" s="99">
        <f>-'Pro Forma Plant Additions'!E22</f>
        <v>37664.656901024988</v>
      </c>
      <c r="W37" s="99"/>
      <c r="X37" s="99"/>
      <c r="Y37" s="99"/>
      <c r="Z37" s="109"/>
      <c r="AA37" s="98">
        <f t="shared" si="9"/>
        <v>37664.656901024988</v>
      </c>
      <c r="AB37" s="50"/>
    </row>
    <row r="38" spans="1:139">
      <c r="A38" s="96">
        <v>25</v>
      </c>
      <c r="B38" s="81"/>
      <c r="C38" s="38" t="s">
        <v>39</v>
      </c>
      <c r="D38" s="77"/>
      <c r="E38" s="81"/>
      <c r="F38" s="50"/>
      <c r="G38" s="99"/>
      <c r="H38" s="99"/>
      <c r="I38" s="99">
        <f>+'Rate Base'!H18-'Rate Base'!D18</f>
        <v>0</v>
      </c>
      <c r="J38" s="1697"/>
      <c r="K38" s="1697"/>
      <c r="L38" s="1697"/>
      <c r="M38" s="1697"/>
      <c r="N38" s="1697"/>
      <c r="O38" s="1697"/>
      <c r="P38" s="1697"/>
      <c r="Q38" s="100"/>
      <c r="R38" s="98">
        <f t="shared" si="8"/>
        <v>0</v>
      </c>
      <c r="S38" s="100"/>
      <c r="T38" s="1697"/>
      <c r="U38" s="1697"/>
      <c r="V38" s="99"/>
      <c r="W38" s="99"/>
      <c r="X38" s="99"/>
      <c r="Y38" s="99"/>
      <c r="Z38" s="100"/>
      <c r="AA38" s="98">
        <f t="shared" si="9"/>
        <v>0</v>
      </c>
      <c r="AB38" s="50"/>
      <c r="AL38" s="43"/>
      <c r="AM38" s="43"/>
    </row>
    <row r="39" spans="1:139" ht="16.2" thickBot="1">
      <c r="A39" s="96">
        <v>26</v>
      </c>
      <c r="B39" s="81"/>
      <c r="C39" s="45" t="s">
        <v>35</v>
      </c>
      <c r="D39" s="77"/>
      <c r="E39" s="81"/>
      <c r="F39" s="50"/>
      <c r="G39" s="109">
        <f t="shared" ref="G39:L39" si="10">SUM(G34:G38)</f>
        <v>0</v>
      </c>
      <c r="H39" s="109">
        <f t="shared" si="10"/>
        <v>0</v>
      </c>
      <c r="I39" s="109">
        <f t="shared" si="10"/>
        <v>21636113.121977933</v>
      </c>
      <c r="J39" s="109">
        <f t="shared" si="10"/>
        <v>0</v>
      </c>
      <c r="K39" s="109">
        <f t="shared" si="10"/>
        <v>0</v>
      </c>
      <c r="L39" s="109">
        <f t="shared" si="10"/>
        <v>0</v>
      </c>
      <c r="M39" s="109">
        <f t="shared" ref="M39:U39" si="11">SUM(M34:M38)</f>
        <v>0</v>
      </c>
      <c r="N39" s="109">
        <f t="shared" si="11"/>
        <v>0</v>
      </c>
      <c r="O39" s="109">
        <f>SUM(O34:O38)</f>
        <v>229565.34079199997</v>
      </c>
      <c r="P39" s="109">
        <f>SUM(P34:P38)</f>
        <v>0</v>
      </c>
      <c r="Q39" s="109"/>
      <c r="R39" s="109">
        <f t="shared" si="8"/>
        <v>21865678.462769933</v>
      </c>
      <c r="S39" s="109"/>
      <c r="T39" s="109">
        <f t="shared" si="11"/>
        <v>0</v>
      </c>
      <c r="U39" s="109">
        <f t="shared" si="11"/>
        <v>0</v>
      </c>
      <c r="V39" s="109">
        <f>SUM(V34:V38)</f>
        <v>13190382.690223526</v>
      </c>
      <c r="W39" s="109"/>
      <c r="X39" s="109">
        <f>SUM(X34:X38)</f>
        <v>0</v>
      </c>
      <c r="Y39" s="109"/>
      <c r="Z39" s="109"/>
      <c r="AA39" s="109">
        <f t="shared" si="9"/>
        <v>13190382.690223526</v>
      </c>
      <c r="AB39" s="50"/>
      <c r="AC39" s="49">
        <f>AA39+R39</f>
        <v>35056061.152993456</v>
      </c>
      <c r="AL39" s="43"/>
      <c r="AM39" s="43"/>
    </row>
    <row r="40" spans="1:139" ht="16.2" thickBot="1">
      <c r="A40" s="96"/>
      <c r="B40" s="101"/>
      <c r="C40" s="110"/>
      <c r="D40" s="102"/>
      <c r="E40" s="101"/>
      <c r="F40" s="103"/>
      <c r="G40" s="104"/>
      <c r="H40" s="104"/>
      <c r="I40" s="104"/>
      <c r="J40" s="104"/>
      <c r="K40" s="104"/>
      <c r="L40" s="104"/>
      <c r="M40" s="104"/>
      <c r="N40" s="104"/>
      <c r="O40" s="104"/>
      <c r="P40" s="104"/>
      <c r="Q40" s="783"/>
      <c r="R40" s="111"/>
      <c r="S40" s="783"/>
      <c r="T40" s="104"/>
      <c r="U40" s="104"/>
      <c r="V40" s="111"/>
      <c r="W40" s="104"/>
      <c r="X40" s="104"/>
      <c r="Y40" s="104"/>
      <c r="Z40" s="783"/>
      <c r="AA40" s="111"/>
      <c r="AB40" s="112"/>
      <c r="AC40" s="112"/>
      <c r="AD40" s="112"/>
      <c r="AE40" s="112"/>
      <c r="AF40" s="112"/>
      <c r="AG40" s="112"/>
      <c r="AH40" s="112"/>
      <c r="AI40" s="112"/>
      <c r="AJ40" s="112"/>
      <c r="AK40" s="43"/>
      <c r="AL40" s="1725"/>
      <c r="AM40" s="43"/>
      <c r="AN40" s="97"/>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row>
    <row r="41" spans="1:139">
      <c r="A41" s="96">
        <v>27</v>
      </c>
      <c r="B41" s="113"/>
      <c r="C41" s="1771" t="s">
        <v>3319</v>
      </c>
      <c r="D41" s="114"/>
      <c r="E41" s="101"/>
      <c r="F41" s="103"/>
      <c r="G41" s="1791">
        <f>((+G39*'Capital Structure Calculation'!$J$14)-'Exh 9, Summary of Adj'!G31)/'Exh 8, Conversion Factor'!$C$25</f>
        <v>2913264</v>
      </c>
      <c r="H41" s="1791">
        <f>((+H39*'Capital Structure Calculation'!$J$14)-'Exh 9, Summary of Adj'!H31)/'Exh 8, Conversion Factor'!$C$25</f>
        <v>-28982.574118779015</v>
      </c>
      <c r="I41" s="1791">
        <f>((+I39*'Capital Structure Calculation'!$J$14)-'Exh 9, Summary of Adj'!I31)/'Exh 8, Conversion Factor'!$C$25</f>
        <v>3068724.866104031</v>
      </c>
      <c r="J41" s="1791">
        <f>((+J39*'Capital Structure Calculation'!$J$14)-'Exh 9, Summary of Adj'!J31)/'Exh 8, Conversion Factor'!$C$25</f>
        <v>90769.294240203672</v>
      </c>
      <c r="K41" s="1791">
        <f>((+K39*'Capital Structure Calculation'!$J$14)-'Exh 9, Summary of Adj'!K31)/'Exh 8, Conversion Factor'!$C$25</f>
        <v>-1872032.4991624439</v>
      </c>
      <c r="L41" s="1791">
        <f>((+L39*'Capital Structure Calculation'!$J$14)-'Exh 9, Summary of Adj'!L31)/'Exh 8, Conversion Factor'!$C$25</f>
        <v>-406245</v>
      </c>
      <c r="M41" s="1791">
        <f>((+M39*'Capital Structure Calculation'!$J$14)-'Exh 9, Summary of Adj'!M31)/'Exh 8, Conversion Factor'!$C$25</f>
        <v>-183351.67208906225</v>
      </c>
      <c r="N41" s="1791">
        <f>((+N39*'Capital Structure Calculation'!$J$14)-'Exh 9, Summary of Adj'!N31)/'Exh 8, Conversion Factor'!$C$25</f>
        <v>-47961.18561310786</v>
      </c>
      <c r="O41" s="1791">
        <f>((+O39*'Capital Structure Calculation'!$J$14)-'Exh 9, Summary of Adj'!O31)/'Exh 8, Conversion Factor'!$C$25</f>
        <v>-459393.15502686065</v>
      </c>
      <c r="P41" s="115">
        <f>((+P39*'Capital Structure Calculation'!$J$14)-'Exh 9, Summary of Adj'!P31)/'Exh 8, Conversion Factor'!$C$25</f>
        <v>0</v>
      </c>
      <c r="Q41" s="115"/>
      <c r="R41" s="115">
        <f>((+R39*'Capital Structure Calculation'!$J$14)-'Exh 9, Summary of Adj'!R31)/'Exh 8, Conversion Factor'!$C$25</f>
        <v>3074792.0743339807</v>
      </c>
      <c r="S41" s="115"/>
      <c r="T41" s="1791">
        <f>((+T39*'Capital Structure Calculation'!$J$14)-'Exh 9, Summary of Adj'!T31)/'Exh 8, Conversion Factor'!$C$25</f>
        <v>477286.26320191676</v>
      </c>
      <c r="U41" s="1791">
        <f>((+U39*'Capital Structure Calculation'!$J$14)-'Exh 9, Summary of Adj'!U31)/'Exh 8, Conversion Factor'!$C$25</f>
        <v>954504.39690056548</v>
      </c>
      <c r="V41" s="1791">
        <f>((+V39*'Capital Structure Calculation'!$J$14)-'Exh 9, Summary of Adj'!V31)/'Exh 8, Conversion Factor'!$C$25</f>
        <v>2288074.7872173605</v>
      </c>
      <c r="W41" s="1791">
        <f>((+W39*'Capital Structure Calculation'!$J$14)-'Exh 9, Summary of Adj'!W31)/'Exh 8, Conversion Factor'!$C$25</f>
        <v>837716.30135263654</v>
      </c>
      <c r="X41" s="1791">
        <f>((+X39*'Capital Structure Calculation'!$J$14)-'Exh 9, Summary of Adj'!X31)/'Exh 8, Conversion Factor'!$C$25</f>
        <v>-14922776.155102273</v>
      </c>
      <c r="Y41" s="115">
        <f>((+Y39*'Capital Structure Calculation'!$J$14)-'Exh 9, Summary of Adj'!Y31)/'Exh 8, Conversion Factor'!$C$25</f>
        <v>0</v>
      </c>
      <c r="Z41" s="115"/>
      <c r="AA41" s="115">
        <f>((+AA39*'Capital Structure Calculation'!$J$14)-'Exh 9, Summary of Adj'!AA31)/'Exh 8, Conversion Factor'!$C$25</f>
        <v>-10365194.406429794</v>
      </c>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row>
    <row r="42" spans="1:139">
      <c r="A42" s="50"/>
      <c r="B42" s="50"/>
      <c r="C42" s="50"/>
      <c r="D42" s="50"/>
      <c r="E42" s="50"/>
      <c r="F42" s="50"/>
      <c r="G42" s="117"/>
      <c r="H42" s="117"/>
      <c r="I42" s="117"/>
      <c r="J42" s="289"/>
      <c r="K42" s="289"/>
      <c r="L42" s="289"/>
      <c r="M42" s="289"/>
      <c r="N42" s="289"/>
      <c r="O42" s="289"/>
      <c r="P42" s="289"/>
      <c r="Q42" s="117"/>
      <c r="R42" s="50"/>
      <c r="S42" s="117"/>
      <c r="T42" s="117"/>
      <c r="U42" s="117"/>
      <c r="V42" s="117"/>
      <c r="W42" s="289"/>
      <c r="X42" s="117"/>
      <c r="Y42" s="289"/>
      <c r="Z42" s="117"/>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row>
    <row r="43" spans="1:139">
      <c r="A43" s="50"/>
      <c r="B43" s="50"/>
      <c r="C43" s="50" t="s">
        <v>2432</v>
      </c>
      <c r="D43" s="50"/>
      <c r="E43" s="50"/>
      <c r="F43" s="50"/>
      <c r="G43" s="118">
        <v>2904183.7900000028</v>
      </c>
      <c r="H43" s="118">
        <v>-28982.574118779015</v>
      </c>
      <c r="I43" s="118">
        <v>4308761.3882119134</v>
      </c>
      <c r="J43" s="143">
        <v>90769.294240203672</v>
      </c>
      <c r="K43" s="143">
        <v>-1288107.5814347249</v>
      </c>
      <c r="L43" s="143">
        <v>0</v>
      </c>
      <c r="M43" s="143">
        <v>0</v>
      </c>
      <c r="N43" s="143">
        <v>0</v>
      </c>
      <c r="O43" s="143">
        <v>0</v>
      </c>
      <c r="P43" s="143">
        <v>0</v>
      </c>
      <c r="Q43" s="119"/>
      <c r="R43" s="119"/>
      <c r="S43" s="119"/>
      <c r="T43" s="143">
        <v>121700.73733306683</v>
      </c>
      <c r="U43" s="143">
        <v>2114703.1021065707</v>
      </c>
      <c r="V43" s="143">
        <v>10172129.083139265</v>
      </c>
      <c r="W43" s="143">
        <v>968904.8187259814</v>
      </c>
      <c r="X43" s="118">
        <v>-14922776.155102273</v>
      </c>
      <c r="Y43" s="143"/>
      <c r="Z43" s="119"/>
      <c r="AA43" s="119"/>
      <c r="AB43" s="51"/>
      <c r="AC43" s="51"/>
      <c r="AD43" s="51"/>
      <c r="AE43" s="51"/>
      <c r="AF43" s="51"/>
      <c r="AG43" s="51"/>
      <c r="AH43" s="51"/>
      <c r="AI43" s="51"/>
      <c r="AJ43" s="51"/>
      <c r="AK43" s="51"/>
      <c r="AL43" s="51"/>
      <c r="AM43" s="51"/>
      <c r="AN43" s="51"/>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row>
    <row r="44" spans="1:139">
      <c r="A44" s="50"/>
      <c r="B44" s="50"/>
      <c r="C44" s="50" t="s">
        <v>1807</v>
      </c>
      <c r="D44" s="50"/>
      <c r="E44" s="50"/>
      <c r="F44" s="50"/>
      <c r="G44" s="118">
        <f>G41-G43</f>
        <v>9080.2099999971688</v>
      </c>
      <c r="H44" s="118">
        <f t="shared" ref="H44:W44" si="12">H41-H43</f>
        <v>0</v>
      </c>
      <c r="I44" s="118">
        <f t="shared" si="12"/>
        <v>-1240036.5221078824</v>
      </c>
      <c r="J44" s="118">
        <f t="shared" si="12"/>
        <v>0</v>
      </c>
      <c r="K44" s="118">
        <f t="shared" si="12"/>
        <v>-583924.91772771906</v>
      </c>
      <c r="L44" s="118">
        <f t="shared" si="12"/>
        <v>-406245</v>
      </c>
      <c r="M44" s="118">
        <f t="shared" si="12"/>
        <v>-183351.67208906225</v>
      </c>
      <c r="N44" s="118">
        <f t="shared" si="12"/>
        <v>-47961.18561310786</v>
      </c>
      <c r="O44" s="118">
        <f t="shared" si="12"/>
        <v>-459393.15502686065</v>
      </c>
      <c r="P44" s="118">
        <f t="shared" si="12"/>
        <v>0</v>
      </c>
      <c r="Q44" s="119"/>
      <c r="R44" s="119">
        <f>SUM(G44:P44)</f>
        <v>-2911832.2425646349</v>
      </c>
      <c r="S44" s="119"/>
      <c r="T44" s="118">
        <f t="shared" si="12"/>
        <v>355585.52586884995</v>
      </c>
      <c r="U44" s="118">
        <f t="shared" si="12"/>
        <v>-1160198.7052060054</v>
      </c>
      <c r="V44" s="118">
        <f t="shared" si="12"/>
        <v>-7884054.295921905</v>
      </c>
      <c r="W44" s="118">
        <f t="shared" si="12"/>
        <v>-131188.51737334486</v>
      </c>
      <c r="X44" s="118">
        <f>X41-X43</f>
        <v>0</v>
      </c>
      <c r="Y44" s="143"/>
      <c r="Z44" s="119"/>
      <c r="AA44" s="119">
        <f>SUM(T44:Y44)</f>
        <v>-8819855.992632404</v>
      </c>
      <c r="AB44" s="51"/>
      <c r="AC44" s="51"/>
      <c r="AD44" s="51"/>
      <c r="AE44" s="51"/>
      <c r="AF44" s="51"/>
      <c r="AG44" s="51"/>
      <c r="AH44" s="51"/>
      <c r="AI44" s="51"/>
      <c r="AJ44" s="51"/>
      <c r="AK44" s="51"/>
      <c r="AL44" s="51"/>
      <c r="AM44" s="51"/>
      <c r="AN44" s="51"/>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row>
    <row r="45" spans="1:139">
      <c r="A45" s="50"/>
      <c r="B45" s="50"/>
      <c r="C45" s="50"/>
      <c r="D45" s="50"/>
      <c r="E45" s="50"/>
      <c r="F45" s="50"/>
      <c r="G45" s="118"/>
      <c r="H45" s="118"/>
      <c r="I45" s="118"/>
      <c r="J45" s="143"/>
      <c r="K45" s="143"/>
      <c r="L45" s="143"/>
      <c r="M45" s="143"/>
      <c r="N45" s="143"/>
      <c r="P45" s="143"/>
      <c r="Q45" s="119"/>
      <c r="R45" s="51"/>
      <c r="S45" s="119"/>
      <c r="T45" s="118"/>
      <c r="U45" s="118"/>
      <c r="V45" s="118"/>
      <c r="W45" s="143"/>
      <c r="X45" s="118"/>
      <c r="Y45" s="143"/>
      <c r="Z45" s="119"/>
      <c r="AA45" s="51"/>
      <c r="AB45" s="51"/>
      <c r="AC45" s="51"/>
      <c r="AD45" s="51"/>
      <c r="AE45" s="51"/>
      <c r="AF45" s="51"/>
      <c r="AG45" s="51"/>
      <c r="AH45" s="51"/>
      <c r="AI45" s="51"/>
      <c r="AJ45" s="51"/>
      <c r="AK45" s="51"/>
      <c r="AL45" s="51"/>
      <c r="AM45" s="51"/>
      <c r="AN45" s="51"/>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row>
    <row r="46" spans="1:139">
      <c r="A46" s="50"/>
      <c r="B46" s="50"/>
      <c r="C46" s="1794" t="s">
        <v>3371</v>
      </c>
      <c r="D46" s="1794"/>
      <c r="E46" s="1794"/>
      <c r="F46" s="1794"/>
      <c r="G46" s="1795">
        <v>2913264</v>
      </c>
      <c r="H46" s="1795">
        <v>-28983</v>
      </c>
      <c r="I46" s="1795">
        <v>3068725</v>
      </c>
      <c r="J46" s="1795">
        <v>90769</v>
      </c>
      <c r="K46" s="1795">
        <v>-1872032</v>
      </c>
      <c r="L46" s="1795">
        <v>-406245</v>
      </c>
      <c r="M46" s="1795">
        <v>-183352</v>
      </c>
      <c r="N46" s="1795">
        <v>-47961</v>
      </c>
      <c r="O46" s="1795">
        <v>-459393</v>
      </c>
      <c r="P46" s="1795">
        <v>0</v>
      </c>
      <c r="Q46" s="1795"/>
      <c r="R46" s="1796">
        <f>SUM(G46:P46)</f>
        <v>3074792</v>
      </c>
      <c r="S46" s="1795"/>
      <c r="T46" s="1795">
        <v>477286</v>
      </c>
      <c r="U46" s="1795">
        <v>954504</v>
      </c>
      <c r="V46" s="1795">
        <v>2288075</v>
      </c>
      <c r="W46" s="1795">
        <v>837716</v>
      </c>
      <c r="X46" s="1795">
        <v>-14922776</v>
      </c>
      <c r="Y46" s="1795">
        <v>0</v>
      </c>
      <c r="Z46" s="1795"/>
      <c r="AA46" s="1796">
        <f>SUM(T46:Y46)</f>
        <v>-10365195</v>
      </c>
      <c r="AB46" s="1797"/>
      <c r="AC46" s="1797"/>
      <c r="AD46" s="51"/>
      <c r="AE46" s="51"/>
      <c r="AF46" s="51"/>
      <c r="AG46" s="51"/>
      <c r="AH46" s="51"/>
      <c r="AI46" s="51"/>
      <c r="AJ46" s="51"/>
      <c r="AK46" s="51"/>
      <c r="AL46" s="51"/>
      <c r="AM46" s="51"/>
      <c r="AN46" s="51"/>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row>
    <row r="47" spans="1:139">
      <c r="A47" s="50"/>
      <c r="B47" s="50"/>
      <c r="C47" s="1794"/>
      <c r="D47" s="1794"/>
      <c r="E47" s="1794"/>
      <c r="F47" s="1794"/>
      <c r="G47" s="1795">
        <f>ROUND(G46-G41, 0)</f>
        <v>0</v>
      </c>
      <c r="H47" s="1795">
        <f t="shared" ref="H47:R47" si="13">ROUND(H46-H41, 0)</f>
        <v>0</v>
      </c>
      <c r="I47" s="1795">
        <f t="shared" si="13"/>
        <v>0</v>
      </c>
      <c r="J47" s="1795">
        <f t="shared" si="13"/>
        <v>0</v>
      </c>
      <c r="K47" s="1795">
        <f t="shared" si="13"/>
        <v>0</v>
      </c>
      <c r="L47" s="1795">
        <f t="shared" si="13"/>
        <v>0</v>
      </c>
      <c r="M47" s="1795">
        <f t="shared" si="13"/>
        <v>0</v>
      </c>
      <c r="N47" s="1795">
        <f t="shared" si="13"/>
        <v>0</v>
      </c>
      <c r="O47" s="1795">
        <f t="shared" si="13"/>
        <v>0</v>
      </c>
      <c r="P47" s="1795">
        <f t="shared" si="13"/>
        <v>0</v>
      </c>
      <c r="Q47" s="1795"/>
      <c r="R47" s="1795">
        <f t="shared" si="13"/>
        <v>0</v>
      </c>
      <c r="S47" s="1795"/>
      <c r="T47" s="1795">
        <f t="shared" ref="T47:Y47" si="14">ROUND(T46-T41, 0)</f>
        <v>0</v>
      </c>
      <c r="U47" s="1795">
        <f t="shared" si="14"/>
        <v>0</v>
      </c>
      <c r="V47" s="1795">
        <f t="shared" si="14"/>
        <v>0</v>
      </c>
      <c r="W47" s="1795">
        <f t="shared" si="14"/>
        <v>0</v>
      </c>
      <c r="X47" s="1795">
        <f t="shared" si="14"/>
        <v>0</v>
      </c>
      <c r="Y47" s="1795">
        <f t="shared" si="14"/>
        <v>0</v>
      </c>
      <c r="Z47" s="1795"/>
      <c r="AA47" s="1795">
        <f>SUM(T47:Y47)</f>
        <v>0</v>
      </c>
      <c r="AB47" s="1797"/>
      <c r="AC47" s="1797"/>
      <c r="AD47" s="51"/>
      <c r="AE47" s="51"/>
      <c r="AF47" s="51"/>
      <c r="AG47" s="51"/>
      <c r="AH47" s="51"/>
      <c r="AI47" s="51"/>
      <c r="AJ47" s="51"/>
      <c r="AK47" s="51"/>
      <c r="AL47" s="51"/>
      <c r="AM47" s="51"/>
      <c r="AN47" s="51"/>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row>
    <row r="48" spans="1:139">
      <c r="A48" s="50"/>
      <c r="B48" s="50"/>
      <c r="C48" s="1794"/>
      <c r="D48" s="1794"/>
      <c r="E48" s="1794"/>
      <c r="F48" s="1794"/>
      <c r="G48" s="1797"/>
      <c r="H48" s="1798"/>
      <c r="I48" s="1798"/>
      <c r="J48" s="1798"/>
      <c r="K48" s="1798"/>
      <c r="L48" s="1798"/>
      <c r="M48" s="1798"/>
      <c r="N48" s="1798"/>
      <c r="O48" s="1798"/>
      <c r="P48" s="1798"/>
      <c r="Q48" s="1797"/>
      <c r="R48" s="1797"/>
      <c r="S48" s="1797"/>
      <c r="T48" s="1798"/>
      <c r="U48" s="1799"/>
      <c r="V48" s="1798"/>
      <c r="W48" s="1798"/>
      <c r="X48" s="1798"/>
      <c r="Y48" s="1798"/>
      <c r="Z48" s="1797"/>
      <c r="AA48" s="1797"/>
      <c r="AB48" s="1797"/>
      <c r="AC48" s="1797"/>
      <c r="AD48" s="51"/>
      <c r="AE48" s="51"/>
      <c r="AF48" s="51"/>
      <c r="AG48" s="51"/>
      <c r="AH48" s="51"/>
      <c r="AI48" s="51"/>
      <c r="AJ48" s="51"/>
      <c r="AK48" s="51"/>
      <c r="AL48" s="51"/>
      <c r="AM48" s="51"/>
      <c r="AN48" s="51"/>
    </row>
    <row r="49" spans="1:40">
      <c r="A49" s="50"/>
      <c r="B49" s="50"/>
      <c r="C49" s="1794" t="s">
        <v>3357</v>
      </c>
      <c r="D49" s="1794"/>
      <c r="E49" s="1794"/>
      <c r="F49" s="1794"/>
      <c r="G49" s="1795"/>
      <c r="H49" s="1795"/>
      <c r="I49" s="1795">
        <v>21636113</v>
      </c>
      <c r="J49" s="1795"/>
      <c r="K49" s="1795"/>
      <c r="L49" s="1795"/>
      <c r="M49" s="1795"/>
      <c r="N49" s="1795"/>
      <c r="O49" s="1795">
        <v>229565</v>
      </c>
      <c r="P49" s="1795"/>
      <c r="Q49" s="1795"/>
      <c r="R49" s="1796">
        <f>SUM(G49:P49)</f>
        <v>21865678</v>
      </c>
      <c r="S49" s="1795"/>
      <c r="T49" s="1795"/>
      <c r="U49" s="1795"/>
      <c r="V49" s="1795">
        <v>13190383</v>
      </c>
      <c r="W49" s="1795"/>
      <c r="X49" s="1795"/>
      <c r="Y49" s="1795"/>
      <c r="Z49" s="1795"/>
      <c r="AA49" s="1796">
        <f>SUM(T49:Y49)</f>
        <v>13190383</v>
      </c>
      <c r="AB49" s="1797"/>
      <c r="AC49" s="1796">
        <f>AA49+R49</f>
        <v>35056061</v>
      </c>
      <c r="AD49" s="51"/>
      <c r="AE49" s="51"/>
      <c r="AF49" s="51"/>
      <c r="AG49" s="51"/>
      <c r="AH49" s="51"/>
      <c r="AI49" s="51"/>
      <c r="AJ49" s="51"/>
      <c r="AK49" s="51"/>
      <c r="AL49" s="51"/>
      <c r="AM49" s="51"/>
      <c r="AN49" s="51"/>
    </row>
    <row r="50" spans="1:40">
      <c r="A50" s="50"/>
      <c r="B50" s="50"/>
      <c r="C50" s="1794"/>
      <c r="D50" s="1794"/>
      <c r="E50" s="1794"/>
      <c r="F50" s="1794"/>
      <c r="G50" s="1795"/>
      <c r="H50" s="1795"/>
      <c r="I50" s="1795">
        <f>ROUND(I49-I39, 0)</f>
        <v>0</v>
      </c>
      <c r="J50" s="1795"/>
      <c r="K50" s="1795"/>
      <c r="L50" s="1795"/>
      <c r="M50" s="1795"/>
      <c r="N50" s="1795"/>
      <c r="O50" s="1795">
        <f>ROUND(O49-O39, 0)</f>
        <v>0</v>
      </c>
      <c r="P50" s="1795"/>
      <c r="Q50" s="1795"/>
      <c r="R50" s="1795">
        <f>ROUND(R49-R39, 0)</f>
        <v>0</v>
      </c>
      <c r="S50" s="1795"/>
      <c r="T50" s="1795"/>
      <c r="U50" s="1795"/>
      <c r="V50" s="1795">
        <f>ROUND(V49-V39, 0)</f>
        <v>0</v>
      </c>
      <c r="W50" s="1795"/>
      <c r="X50" s="1795"/>
      <c r="Y50" s="1795"/>
      <c r="Z50" s="1795"/>
      <c r="AA50" s="1795">
        <f>ROUND(AA49-AA39, 0)</f>
        <v>0</v>
      </c>
      <c r="AB50" s="1797"/>
      <c r="AC50" s="1796">
        <f>ROUND(AC49-AC39, 0)</f>
        <v>0</v>
      </c>
      <c r="AD50" s="51"/>
      <c r="AE50" s="51"/>
      <c r="AF50" s="51"/>
      <c r="AG50" s="51"/>
      <c r="AH50" s="51"/>
      <c r="AI50" s="51"/>
      <c r="AJ50" s="51"/>
      <c r="AK50" s="51"/>
      <c r="AL50" s="51"/>
      <c r="AM50" s="51"/>
      <c r="AN50" s="51"/>
    </row>
    <row r="51" spans="1:40">
      <c r="A51" s="50"/>
      <c r="B51" s="50"/>
      <c r="C51" s="50"/>
      <c r="D51" s="50"/>
      <c r="E51" s="50"/>
      <c r="F51" s="50"/>
      <c r="G51" s="118"/>
      <c r="H51" s="118"/>
      <c r="I51" s="118"/>
      <c r="J51" s="118"/>
      <c r="K51" s="118"/>
      <c r="L51" s="118"/>
      <c r="M51" s="118"/>
      <c r="N51" s="118"/>
      <c r="O51" s="118"/>
      <c r="P51" s="118"/>
      <c r="Q51" s="118"/>
      <c r="R51" s="118"/>
      <c r="S51" s="118"/>
      <c r="T51" s="118"/>
      <c r="U51" s="118"/>
      <c r="V51" s="118"/>
      <c r="W51" s="118"/>
      <c r="X51" s="118"/>
      <c r="Y51" s="118"/>
      <c r="Z51" s="118"/>
      <c r="AA51" s="118"/>
      <c r="AB51" s="51"/>
      <c r="AC51" s="51"/>
      <c r="AD51" s="51"/>
      <c r="AE51" s="51"/>
      <c r="AF51" s="51"/>
      <c r="AG51" s="51"/>
      <c r="AH51" s="51"/>
      <c r="AI51" s="51"/>
      <c r="AJ51" s="51"/>
      <c r="AK51" s="51"/>
      <c r="AL51" s="51"/>
      <c r="AM51" s="51"/>
      <c r="AN51" s="51"/>
    </row>
    <row r="52" spans="1:40" ht="46.8">
      <c r="A52" s="50"/>
      <c r="B52" s="50"/>
      <c r="C52" s="50" t="s">
        <v>3361</v>
      </c>
      <c r="D52" s="50"/>
      <c r="E52" s="50"/>
      <c r="F52" s="50"/>
      <c r="G52" s="122"/>
      <c r="H52" s="122"/>
      <c r="I52" s="122"/>
      <c r="J52" s="122"/>
      <c r="K52" s="1819" t="s">
        <v>3384</v>
      </c>
      <c r="L52" s="122"/>
      <c r="M52" s="122"/>
      <c r="N52" s="122"/>
      <c r="O52" s="1819" t="s">
        <v>3382</v>
      </c>
      <c r="P52" s="122"/>
      <c r="Q52" s="51"/>
      <c r="R52" s="51"/>
      <c r="S52" s="51"/>
      <c r="T52" s="122"/>
      <c r="U52" s="120"/>
      <c r="V52" s="122"/>
      <c r="W52" s="122"/>
      <c r="X52" s="122"/>
      <c r="Y52" s="122"/>
      <c r="Z52" s="51"/>
      <c r="AA52" s="51"/>
      <c r="AB52" s="51"/>
      <c r="AC52" s="51"/>
      <c r="AD52" s="51"/>
      <c r="AE52" s="51"/>
      <c r="AF52" s="51"/>
      <c r="AG52" s="51"/>
      <c r="AH52" s="51"/>
      <c r="AI52" s="51"/>
      <c r="AJ52" s="51"/>
      <c r="AK52" s="51"/>
      <c r="AL52" s="51"/>
      <c r="AM52" s="51"/>
      <c r="AN52" s="51"/>
    </row>
    <row r="53" spans="1:40">
      <c r="A53" s="50"/>
      <c r="B53" s="50"/>
      <c r="C53" s="50"/>
      <c r="D53" s="50"/>
      <c r="E53" s="50"/>
      <c r="F53" s="50"/>
      <c r="G53" s="118"/>
      <c r="H53" s="118"/>
      <c r="I53" s="118"/>
      <c r="J53" s="143"/>
      <c r="K53" s="143"/>
      <c r="L53" s="143"/>
      <c r="M53" s="143"/>
      <c r="N53" s="143"/>
      <c r="O53" s="143"/>
      <c r="P53" s="143"/>
      <c r="Q53" s="51"/>
      <c r="R53" s="51"/>
      <c r="S53" s="51"/>
      <c r="T53" s="143"/>
      <c r="U53" s="143"/>
      <c r="V53" s="143"/>
      <c r="W53" s="143"/>
      <c r="X53" s="118"/>
      <c r="Y53" s="122"/>
      <c r="Z53" s="51"/>
      <c r="AA53" s="51"/>
      <c r="AB53" s="51"/>
      <c r="AC53" s="51"/>
      <c r="AD53" s="51"/>
      <c r="AE53" s="51"/>
      <c r="AF53" s="51"/>
      <c r="AG53" s="51"/>
      <c r="AH53" s="51"/>
      <c r="AI53" s="51"/>
      <c r="AJ53" s="51"/>
      <c r="AK53" s="51"/>
      <c r="AL53" s="51"/>
      <c r="AM53" s="51"/>
      <c r="AN53" s="51"/>
    </row>
    <row r="54" spans="1:40">
      <c r="A54" s="50"/>
      <c r="B54" s="50"/>
      <c r="C54" s="50"/>
      <c r="D54" s="50"/>
      <c r="E54" s="50"/>
      <c r="F54" s="50"/>
      <c r="G54" s="118"/>
      <c r="H54" s="118"/>
      <c r="I54" s="118"/>
      <c r="J54" s="118"/>
      <c r="K54" s="118"/>
      <c r="L54" s="118"/>
      <c r="M54" s="118"/>
      <c r="N54" s="118"/>
      <c r="O54" s="118"/>
      <c r="P54" s="118"/>
      <c r="Q54" s="51"/>
      <c r="R54" s="119"/>
      <c r="S54" s="51"/>
      <c r="T54" s="118"/>
      <c r="U54" s="118"/>
      <c r="V54" s="118"/>
      <c r="W54" s="118"/>
      <c r="X54" s="118"/>
      <c r="Y54" s="51"/>
      <c r="Z54" s="51"/>
      <c r="AA54" s="119"/>
      <c r="AB54" s="51"/>
      <c r="AC54" s="51"/>
      <c r="AD54" s="51"/>
      <c r="AE54" s="51"/>
      <c r="AF54" s="51"/>
      <c r="AG54" s="51"/>
      <c r="AH54" s="51"/>
      <c r="AI54" s="51"/>
      <c r="AJ54" s="51"/>
      <c r="AK54" s="51"/>
      <c r="AL54" s="51"/>
      <c r="AM54" s="51"/>
      <c r="AN54" s="51"/>
    </row>
    <row r="55" spans="1:40">
      <c r="A55" s="50"/>
      <c r="B55" s="50"/>
      <c r="C55" s="50"/>
      <c r="D55" s="50"/>
      <c r="E55" s="50"/>
      <c r="F55" s="50"/>
      <c r="G55" s="51"/>
      <c r="H55" s="121"/>
      <c r="I55" s="121"/>
      <c r="J55" s="121"/>
      <c r="K55" s="121"/>
      <c r="L55" s="121"/>
      <c r="M55" s="121"/>
      <c r="N55" s="121"/>
      <c r="O55" s="121"/>
      <c r="P55" s="121"/>
      <c r="Q55" s="51"/>
      <c r="R55" s="1772"/>
      <c r="S55" s="51"/>
      <c r="T55" s="121"/>
      <c r="U55" s="123"/>
      <c r="V55" s="121"/>
      <c r="W55" s="121"/>
      <c r="X55" s="121"/>
      <c r="Y55" s="121"/>
      <c r="Z55" s="51"/>
      <c r="AA55" s="1772"/>
      <c r="AB55" s="51"/>
      <c r="AC55" s="51"/>
      <c r="AD55" s="51"/>
      <c r="AE55" s="51"/>
      <c r="AF55" s="51"/>
      <c r="AG55" s="51"/>
      <c r="AH55" s="51"/>
      <c r="AI55" s="51"/>
      <c r="AJ55" s="51"/>
      <c r="AK55" s="51"/>
      <c r="AL55" s="51"/>
      <c r="AM55" s="51"/>
      <c r="AN55" s="51"/>
    </row>
    <row r="56" spans="1:40">
      <c r="A56" s="50"/>
      <c r="B56" s="50"/>
      <c r="C56" s="50"/>
      <c r="D56" s="50"/>
      <c r="E56" s="50"/>
      <c r="F56" s="50"/>
      <c r="G56" s="51"/>
      <c r="H56" s="121"/>
      <c r="I56" s="121"/>
      <c r="J56" s="121"/>
      <c r="K56" s="121"/>
      <c r="L56" s="121"/>
      <c r="M56" s="121"/>
      <c r="N56" s="121"/>
      <c r="O56" s="121"/>
      <c r="P56" s="121"/>
      <c r="Q56" s="51"/>
      <c r="R56" s="51"/>
      <c r="S56" s="51"/>
      <c r="T56" s="121"/>
      <c r="U56" s="120"/>
      <c r="V56" s="121"/>
      <c r="W56" s="121"/>
      <c r="X56" s="121"/>
      <c r="Y56" s="121"/>
      <c r="Z56" s="51"/>
      <c r="AA56" s="51"/>
      <c r="AB56" s="51"/>
      <c r="AC56" s="51"/>
      <c r="AD56" s="51"/>
      <c r="AE56" s="51"/>
      <c r="AF56" s="51"/>
      <c r="AG56" s="51"/>
      <c r="AH56" s="51"/>
      <c r="AI56" s="51"/>
      <c r="AJ56" s="51"/>
      <c r="AK56" s="51"/>
      <c r="AL56" s="51"/>
      <c r="AM56" s="51"/>
      <c r="AN56" s="51"/>
    </row>
    <row r="57" spans="1:40">
      <c r="A57" s="50"/>
      <c r="B57" s="50"/>
      <c r="C57" s="1804" t="s">
        <v>3364</v>
      </c>
      <c r="D57" s="1807"/>
      <c r="E57" s="1807"/>
      <c r="F57" s="1807"/>
      <c r="G57" s="51"/>
      <c r="H57" s="51"/>
      <c r="I57" s="51"/>
      <c r="J57" s="51"/>
      <c r="K57" s="51"/>
      <c r="L57" s="51"/>
      <c r="M57" s="51"/>
      <c r="N57" s="51"/>
      <c r="O57" s="51"/>
      <c r="P57" s="51"/>
      <c r="Q57" s="51"/>
      <c r="R57" s="51"/>
      <c r="S57" s="51"/>
      <c r="T57" s="51"/>
      <c r="U57" s="120"/>
      <c r="V57" s="51"/>
      <c r="W57" s="51"/>
      <c r="X57" s="51"/>
      <c r="Y57" s="51"/>
      <c r="Z57" s="51"/>
      <c r="AA57" s="51"/>
      <c r="AB57" s="51"/>
      <c r="AC57" s="51"/>
      <c r="AD57" s="51"/>
      <c r="AE57" s="51"/>
      <c r="AF57" s="51"/>
      <c r="AG57" s="51"/>
      <c r="AH57" s="51"/>
      <c r="AI57" s="51"/>
      <c r="AJ57" s="51"/>
      <c r="AK57" s="51"/>
      <c r="AL57" s="51"/>
      <c r="AM57" s="51"/>
      <c r="AN57" s="51"/>
    </row>
    <row r="58" spans="1:40">
      <c r="A58" s="50"/>
      <c r="B58" s="50"/>
      <c r="C58" s="1805" t="s">
        <v>3366</v>
      </c>
      <c r="D58" s="1805"/>
      <c r="E58" s="1805"/>
      <c r="F58" s="1805"/>
      <c r="G58" s="51"/>
      <c r="H58" s="51"/>
      <c r="I58" s="51"/>
      <c r="J58" s="51"/>
      <c r="K58" s="51"/>
      <c r="L58" s="51"/>
      <c r="M58" s="51"/>
      <c r="N58" s="51"/>
      <c r="O58" s="51"/>
      <c r="P58" s="51"/>
      <c r="Q58" s="51"/>
      <c r="R58" s="51"/>
      <c r="S58" s="51"/>
      <c r="T58" s="51"/>
      <c r="U58" s="120"/>
      <c r="V58" s="51"/>
      <c r="W58" s="51"/>
      <c r="X58" s="51"/>
      <c r="Y58" s="51"/>
      <c r="Z58" s="51"/>
      <c r="AA58" s="51"/>
      <c r="AB58" s="51"/>
      <c r="AC58" s="51"/>
      <c r="AD58" s="51"/>
      <c r="AE58" s="51"/>
      <c r="AF58" s="51"/>
      <c r="AG58" s="51"/>
      <c r="AH58" s="51"/>
      <c r="AI58" s="51"/>
      <c r="AJ58" s="51"/>
      <c r="AK58" s="51"/>
      <c r="AL58" s="51"/>
      <c r="AM58" s="51"/>
      <c r="AN58" s="51"/>
    </row>
    <row r="59" spans="1:40">
      <c r="A59" s="50"/>
      <c r="B59" s="50"/>
      <c r="C59" s="1805" t="s">
        <v>3365</v>
      </c>
      <c r="D59" s="1805"/>
      <c r="E59" s="1805"/>
      <c r="F59" s="1805"/>
      <c r="G59" s="51"/>
      <c r="H59" s="51"/>
      <c r="I59" s="51"/>
      <c r="J59" s="51"/>
      <c r="K59" s="51"/>
      <c r="L59" s="51"/>
      <c r="M59" s="51"/>
      <c r="N59" s="51"/>
      <c r="O59" s="51"/>
      <c r="P59" s="51"/>
      <c r="Q59" s="51"/>
      <c r="R59" s="51"/>
      <c r="S59" s="51"/>
      <c r="T59" s="51"/>
      <c r="U59" s="120"/>
      <c r="V59" s="51"/>
      <c r="W59" s="51"/>
      <c r="X59" s="51"/>
      <c r="Y59" s="51"/>
      <c r="Z59" s="51"/>
      <c r="AA59" s="51"/>
      <c r="AB59" s="51"/>
      <c r="AC59" s="51"/>
      <c r="AD59" s="51"/>
      <c r="AE59" s="51"/>
      <c r="AF59" s="51"/>
      <c r="AG59" s="51"/>
      <c r="AH59" s="51"/>
      <c r="AI59" s="51"/>
      <c r="AJ59" s="51"/>
      <c r="AK59" s="51"/>
      <c r="AL59" s="51"/>
      <c r="AM59" s="51"/>
      <c r="AN59" s="51"/>
    </row>
    <row r="60" spans="1:40">
      <c r="C60" s="1806" t="s">
        <v>3367</v>
      </c>
      <c r="D60" s="1806"/>
      <c r="E60" s="1806"/>
      <c r="F60" s="1806"/>
    </row>
    <row r="61" spans="1:40">
      <c r="C61" s="1806" t="s">
        <v>3368</v>
      </c>
      <c r="D61" s="1806"/>
      <c r="E61" s="1806"/>
      <c r="F61" s="1806"/>
      <c r="H61" s="3" t="s">
        <v>3395</v>
      </c>
      <c r="I61" s="3" t="s">
        <v>3396</v>
      </c>
    </row>
    <row r="62" spans="1:40">
      <c r="C62" s="1806" t="s">
        <v>3369</v>
      </c>
      <c r="D62" s="1806"/>
      <c r="E62" s="1806"/>
      <c r="F62" s="1806"/>
    </row>
    <row r="63" spans="1:40">
      <c r="C63" s="1806" t="s">
        <v>3370</v>
      </c>
      <c r="D63" s="1806"/>
      <c r="E63" s="1806"/>
      <c r="F63" s="1806"/>
      <c r="H63" s="3" t="s">
        <v>3397</v>
      </c>
    </row>
    <row r="64" spans="1:40">
      <c r="C64" s="1806"/>
      <c r="D64" s="1806"/>
      <c r="E64" s="1806"/>
      <c r="F64" s="1806"/>
    </row>
    <row r="65" spans="3:3">
      <c r="C65" s="3" t="s">
        <v>3360</v>
      </c>
    </row>
  </sheetData>
  <mergeCells count="3">
    <mergeCell ref="B1:AA1"/>
    <mergeCell ref="B2:AA2"/>
    <mergeCell ref="B3:AA3"/>
  </mergeCells>
  <phoneticPr fontId="141" type="noConversion"/>
  <printOptions horizontalCentered="1"/>
  <pageMargins left="0" right="0" top="0.5" bottom="0.5" header="0.3" footer="0.3"/>
  <pageSetup paperSize="5" scale="76" orientation="landscape" r:id="rId1"/>
  <headerFooter scaleWithDoc="0" alignWithMargins="0">
    <oddHeader>&amp;RDocket No. UG-200568
Exhibit _____ (MCP-10)
Page 1 of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pageSetUpPr fitToPage="1"/>
  </sheetPr>
  <dimension ref="A1:AK225"/>
  <sheetViews>
    <sheetView zoomScale="80" zoomScaleNormal="80" workbookViewId="0">
      <pane xSplit="2" ySplit="7" topLeftCell="I8" activePane="bottomRight" state="frozen"/>
      <selection activeCell="F27" sqref="F27"/>
      <selection pane="topRight" activeCell="F27" sqref="F27"/>
      <selection pane="bottomLeft" activeCell="F27" sqref="F27"/>
      <selection pane="bottomRight" activeCell="T30" sqref="T30"/>
    </sheetView>
  </sheetViews>
  <sheetFormatPr defaultColWidth="9.109375" defaultRowHeight="15.6"/>
  <cols>
    <col min="1" max="1" width="6.33203125" style="15" customWidth="1"/>
    <col min="2" max="2" width="14.109375" style="14" bestFit="1" customWidth="1"/>
    <col min="3" max="3" width="60.109375" style="14" bestFit="1" customWidth="1"/>
    <col min="4" max="4" width="17.33203125" style="14" bestFit="1" customWidth="1"/>
    <col min="5" max="5" width="18.88671875" style="14" bestFit="1" customWidth="1"/>
    <col min="6" max="6" width="9.88671875" style="14" bestFit="1" customWidth="1"/>
    <col min="7" max="7" width="22.109375" style="14" bestFit="1" customWidth="1"/>
    <col min="8" max="8" width="18" style="14" customWidth="1"/>
    <col min="9" max="9" width="12.33203125" style="14" bestFit="1" customWidth="1"/>
    <col min="10" max="10" width="16" style="344" bestFit="1" customWidth="1"/>
    <col min="11" max="11" width="16.5546875" style="14" bestFit="1" customWidth="1"/>
    <col min="12" max="12" width="11.33203125" style="14" bestFit="1" customWidth="1"/>
    <col min="13" max="13" width="15" style="14" bestFit="1" customWidth="1"/>
    <col min="14" max="14" width="15" style="14" customWidth="1"/>
    <col min="15" max="15" width="9.109375" style="14"/>
    <col min="16" max="16" width="13.33203125" style="14" customWidth="1"/>
    <col min="17" max="18" width="16.109375" style="14" customWidth="1"/>
    <col min="19" max="19" width="9.109375" style="14"/>
    <col min="20" max="20" width="10.88671875" style="14" customWidth="1"/>
    <col min="21" max="21" width="9.109375" style="14"/>
    <col min="22" max="22" width="15.33203125" style="14" customWidth="1"/>
    <col min="23" max="23" width="14.6640625" style="14" customWidth="1"/>
    <col min="24" max="24" width="9.109375" style="14" customWidth="1"/>
    <col min="25" max="25" width="9.109375" style="14"/>
    <col min="26" max="26" width="13.5546875" style="14" customWidth="1"/>
    <col min="27" max="27" width="15.109375" style="14" customWidth="1"/>
    <col min="28" max="28" width="11.33203125" style="14" bestFit="1" customWidth="1"/>
    <col min="29" max="30" width="9.109375" style="14"/>
    <col min="31" max="31" width="15.6640625" style="14" customWidth="1"/>
    <col min="32" max="32" width="16.88671875" style="14" bestFit="1" customWidth="1"/>
    <col min="33" max="34" width="9.109375" style="14"/>
    <col min="35" max="35" width="9.6640625" style="14" bestFit="1" customWidth="1"/>
    <col min="36" max="16384" width="9.109375" style="14"/>
  </cols>
  <sheetData>
    <row r="1" spans="1:37">
      <c r="C1" s="1906" t="s">
        <v>770</v>
      </c>
      <c r="D1" s="1906"/>
      <c r="E1" s="1906"/>
      <c r="F1" s="1906"/>
      <c r="G1" s="1906"/>
      <c r="H1" s="1906"/>
      <c r="I1" s="1906"/>
    </row>
    <row r="2" spans="1:37">
      <c r="C2" s="1906" t="s">
        <v>1793</v>
      </c>
      <c r="D2" s="1906"/>
      <c r="E2" s="1906"/>
      <c r="F2" s="1906"/>
      <c r="G2" s="1906"/>
      <c r="H2" s="1906"/>
      <c r="I2" s="1906"/>
    </row>
    <row r="3" spans="1:37">
      <c r="C3" s="1906" t="s">
        <v>1942</v>
      </c>
      <c r="D3" s="1906"/>
      <c r="E3" s="1906"/>
      <c r="F3" s="1906"/>
      <c r="G3" s="1906"/>
      <c r="H3" s="1906"/>
      <c r="I3" s="1906"/>
    </row>
    <row r="4" spans="1:37">
      <c r="C4" s="1907"/>
      <c r="D4" s="1907"/>
      <c r="E4" s="1907"/>
      <c r="F4" s="1907"/>
      <c r="G4" s="1907"/>
      <c r="H4" s="1907"/>
      <c r="I4" s="1907"/>
    </row>
    <row r="6" spans="1:37" s="15" customFormat="1">
      <c r="B6" s="15" t="s">
        <v>1798</v>
      </c>
      <c r="C6" s="15" t="s">
        <v>1799</v>
      </c>
      <c r="D6" s="15" t="s">
        <v>1800</v>
      </c>
      <c r="E6" s="15" t="s">
        <v>1801</v>
      </c>
      <c r="F6" s="608" t="s">
        <v>1802</v>
      </c>
      <c r="G6" s="15" t="s">
        <v>1803</v>
      </c>
      <c r="H6" s="15" t="s">
        <v>1804</v>
      </c>
      <c r="I6" s="15" t="s">
        <v>1805</v>
      </c>
      <c r="J6" s="771" t="s">
        <v>1806</v>
      </c>
    </row>
    <row r="7" spans="1:37" ht="31.2">
      <c r="A7" s="1586" t="s">
        <v>649</v>
      </c>
      <c r="B7" s="1587" t="s">
        <v>1794</v>
      </c>
      <c r="C7" s="1587" t="s">
        <v>1795</v>
      </c>
      <c r="D7" s="1588" t="s">
        <v>1796</v>
      </c>
      <c r="E7" s="1589" t="s">
        <v>3138</v>
      </c>
      <c r="F7" s="1587" t="s">
        <v>748</v>
      </c>
      <c r="G7" s="1587" t="s">
        <v>1797</v>
      </c>
      <c r="H7" s="1587" t="s">
        <v>749</v>
      </c>
      <c r="I7" s="1587" t="s">
        <v>750</v>
      </c>
      <c r="J7" s="1590" t="s">
        <v>1429</v>
      </c>
      <c r="M7" s="14" t="s">
        <v>3324</v>
      </c>
      <c r="N7" s="14" t="s">
        <v>3191</v>
      </c>
      <c r="Q7" s="14" t="s">
        <v>2433</v>
      </c>
      <c r="R7" s="14" t="s">
        <v>3157</v>
      </c>
      <c r="T7" s="1592" t="s">
        <v>3212</v>
      </c>
      <c r="V7" s="14" t="s">
        <v>2433</v>
      </c>
      <c r="W7" s="14" t="s">
        <v>3157</v>
      </c>
      <c r="Z7" s="14" t="s">
        <v>3324</v>
      </c>
      <c r="AA7" s="14" t="s">
        <v>3191</v>
      </c>
    </row>
    <row r="8" spans="1:37">
      <c r="A8" s="15">
        <v>1</v>
      </c>
      <c r="B8" s="126" t="s">
        <v>751</v>
      </c>
      <c r="C8" s="126" t="s">
        <v>1944</v>
      </c>
      <c r="D8" s="124">
        <v>303</v>
      </c>
      <c r="E8" s="128">
        <v>205921.33</v>
      </c>
      <c r="F8" s="345"/>
      <c r="G8" s="125">
        <f>IF($T$8=$Q$7, Q8, R8)</f>
        <v>205921.33</v>
      </c>
      <c r="H8" s="125"/>
      <c r="I8" s="282"/>
      <c r="J8" s="1579">
        <v>44196</v>
      </c>
      <c r="K8" s="240"/>
      <c r="L8" s="344" t="str">
        <f>IFERROR(VLOOKUP(P8, $Z$8:$AB$33, 3, FALSE), "")</f>
        <v/>
      </c>
      <c r="M8" s="1619" t="s">
        <v>3139</v>
      </c>
      <c r="N8" s="125">
        <v>0</v>
      </c>
      <c r="O8" s="14" t="str">
        <f>VLOOKUP(M8, $P$32:$S$145, 4, FALSE)</f>
        <v>Reg</v>
      </c>
      <c r="P8" s="14" t="str">
        <f>LEFT(C8, 9)</f>
        <v>FP-101480</v>
      </c>
      <c r="Q8" s="240">
        <v>205921.33</v>
      </c>
      <c r="R8" s="240">
        <f>IFERROR(VLOOKUP(P8,$M$8:$N$27,2,FALSE), Q8)</f>
        <v>205921.33</v>
      </c>
      <c r="T8" s="1591" t="s">
        <v>3157</v>
      </c>
      <c r="V8" s="240">
        <v>0</v>
      </c>
      <c r="W8" s="240">
        <f>IFERROR(VLOOKUP(P8,$Z$8:$AA$33,2,FALSE), V8)</f>
        <v>0</v>
      </c>
      <c r="X8" s="240"/>
      <c r="Z8" s="14" t="s">
        <v>3165</v>
      </c>
      <c r="AA8" s="240">
        <f>'Exhibit PCD-4'!U7</f>
        <v>4131574.32</v>
      </c>
      <c r="AB8" s="344">
        <f>'Exhibit PCD-4'!V7</f>
        <v>43857</v>
      </c>
      <c r="AE8" s="240"/>
      <c r="AF8" s="344"/>
      <c r="AK8" s="1619"/>
    </row>
    <row r="9" spans="1:37">
      <c r="A9" s="15">
        <v>2</v>
      </c>
      <c r="B9" s="126" t="s">
        <v>751</v>
      </c>
      <c r="C9" s="126" t="s">
        <v>2255</v>
      </c>
      <c r="D9" s="124">
        <v>303</v>
      </c>
      <c r="E9" s="128">
        <v>87032.79</v>
      </c>
      <c r="F9" s="345">
        <f>+'State Allocation Formulas'!C21</f>
        <v>0.75170000000000003</v>
      </c>
      <c r="G9" s="125">
        <f>IF($T$8=$Q$7, Q9, R9)</f>
        <v>65422.548242999997</v>
      </c>
      <c r="H9" s="125"/>
      <c r="I9" s="282"/>
      <c r="J9" s="1579">
        <v>44166</v>
      </c>
      <c r="K9" s="240"/>
      <c r="L9" s="344" t="str">
        <f t="shared" ref="L9:L72" si="0">IFERROR(VLOOKUP(P9, $Z$8:$AB$33, 3, FALSE), "")</f>
        <v/>
      </c>
      <c r="M9" s="1619" t="s">
        <v>3140</v>
      </c>
      <c r="N9" s="125">
        <v>0</v>
      </c>
      <c r="O9" s="14" t="str">
        <f t="shared" ref="O9:O26" si="1">VLOOKUP(M9, $P$32:$S$145, 4, FALSE)</f>
        <v>Meters</v>
      </c>
      <c r="P9" s="14" t="str">
        <f t="shared" ref="P9:P29" si="2">LEFT(C9, 9)</f>
        <v>FP-200663</v>
      </c>
      <c r="Q9" s="240">
        <v>65422.548242999997</v>
      </c>
      <c r="R9" s="240">
        <f t="shared" ref="R9:R29" si="3">IFERROR(VLOOKUP(P9,$M$8:$N$27,2,FALSE), Q9)</f>
        <v>65422.548242999997</v>
      </c>
      <c r="V9" s="240">
        <v>0</v>
      </c>
      <c r="W9" s="240">
        <f t="shared" ref="W9:W72" si="4">IFERROR(VLOOKUP(P9,$Z$8:$AA$33,2,FALSE), V9)</f>
        <v>0</v>
      </c>
      <c r="X9" s="240"/>
      <c r="Z9" s="14" t="s">
        <v>3184</v>
      </c>
      <c r="AA9" s="240">
        <f>'Exhibit PCD-4'!U8</f>
        <v>0</v>
      </c>
      <c r="AB9" s="344">
        <f>'Exhibit PCD-4'!V8</f>
        <v>44194</v>
      </c>
      <c r="AE9" s="240"/>
      <c r="AF9" s="344"/>
      <c r="AK9" s="1619"/>
    </row>
    <row r="10" spans="1:37">
      <c r="A10" s="15">
        <v>3</v>
      </c>
      <c r="B10" s="126" t="s">
        <v>751</v>
      </c>
      <c r="C10" s="126" t="s">
        <v>1945</v>
      </c>
      <c r="D10" s="124">
        <v>303</v>
      </c>
      <c r="E10" s="128">
        <v>5648475</v>
      </c>
      <c r="F10" s="345"/>
      <c r="G10" s="125">
        <f>IF($T$8=$Q$7, Q10, R10)</f>
        <v>5648475</v>
      </c>
      <c r="H10" s="125">
        <f>IF($T$12=$V$7, V10, W10)</f>
        <v>0</v>
      </c>
      <c r="I10" s="282">
        <v>2</v>
      </c>
      <c r="J10" s="1580">
        <v>44188</v>
      </c>
      <c r="K10" s="125">
        <f>G10</f>
        <v>5648475</v>
      </c>
      <c r="L10" s="344">
        <f t="shared" si="0"/>
        <v>44194</v>
      </c>
      <c r="M10" s="1619" t="s">
        <v>3163</v>
      </c>
      <c r="N10" s="125">
        <v>0</v>
      </c>
      <c r="O10" s="14" t="str">
        <f t="shared" si="1"/>
        <v>Main</v>
      </c>
      <c r="P10" s="1617" t="str">
        <f t="shared" si="2"/>
        <v>FP-302596</v>
      </c>
      <c r="Q10" s="240">
        <v>5648475</v>
      </c>
      <c r="R10" s="240">
        <f>IFERROR(VLOOKUP(P10,$M$8:$N$27,2,FALSE), Q10)</f>
        <v>5648475</v>
      </c>
      <c r="V10" s="240">
        <v>5648475</v>
      </c>
      <c r="W10" s="240">
        <f>IFERROR(VLOOKUP(P10,$Z$8:$AA$33,2,FALSE), V10)</f>
        <v>0</v>
      </c>
      <c r="X10" s="240"/>
      <c r="Z10" s="14" t="s">
        <v>3175</v>
      </c>
      <c r="AA10" s="240">
        <f>'Exhibit PCD-4'!U9</f>
        <v>0</v>
      </c>
      <c r="AB10" s="344">
        <f>'Exhibit PCD-4'!V9</f>
        <v>44175</v>
      </c>
      <c r="AE10" s="240"/>
      <c r="AF10" s="344"/>
      <c r="AK10" s="1619"/>
    </row>
    <row r="11" spans="1:37">
      <c r="A11" s="15">
        <v>4</v>
      </c>
      <c r="B11" s="126" t="s">
        <v>751</v>
      </c>
      <c r="C11" s="126" t="s">
        <v>1946</v>
      </c>
      <c r="D11" s="124">
        <v>303</v>
      </c>
      <c r="E11" s="128">
        <v>50930.429999999993</v>
      </c>
      <c r="F11" s="345">
        <f>+'State Allocation Formulas'!$C$21</f>
        <v>0.75170000000000003</v>
      </c>
      <c r="G11" s="125">
        <f t="shared" ref="G11:G29" si="5">IF($T$8=$Q$7, Q11, R11)</f>
        <v>38284.404230999993</v>
      </c>
      <c r="H11" s="125"/>
      <c r="I11" s="282"/>
      <c r="J11" s="1581">
        <v>44196</v>
      </c>
      <c r="K11" s="240"/>
      <c r="L11" s="344" t="str">
        <f t="shared" si="0"/>
        <v/>
      </c>
      <c r="M11" s="1619" t="s">
        <v>3141</v>
      </c>
      <c r="N11" s="125">
        <v>0</v>
      </c>
      <c r="O11" s="14" t="str">
        <f t="shared" si="1"/>
        <v>Serv</v>
      </c>
      <c r="P11" s="14" t="str">
        <f t="shared" si="2"/>
        <v>FP-302621</v>
      </c>
      <c r="Q11" s="240">
        <v>38284.404230999993</v>
      </c>
      <c r="R11" s="240">
        <f t="shared" si="3"/>
        <v>38284.404230999993</v>
      </c>
      <c r="T11" s="1592" t="s">
        <v>3211</v>
      </c>
      <c r="V11" s="240">
        <v>0</v>
      </c>
      <c r="W11" s="240">
        <f t="shared" si="4"/>
        <v>0</v>
      </c>
      <c r="X11" s="240"/>
      <c r="Z11" s="14" t="s">
        <v>3174</v>
      </c>
      <c r="AA11" s="240">
        <f>'Exhibit PCD-4'!U10</f>
        <v>0</v>
      </c>
      <c r="AB11" s="344">
        <f>'Exhibit PCD-4'!V10</f>
        <v>44175</v>
      </c>
      <c r="AE11" s="240"/>
      <c r="AF11" s="344"/>
      <c r="AK11" s="1619"/>
    </row>
    <row r="12" spans="1:37">
      <c r="A12" s="15">
        <v>5</v>
      </c>
      <c r="B12" s="126" t="s">
        <v>751</v>
      </c>
      <c r="C12" s="126" t="s">
        <v>1947</v>
      </c>
      <c r="D12" s="124">
        <v>303</v>
      </c>
      <c r="E12" s="128">
        <v>746233</v>
      </c>
      <c r="F12" s="345"/>
      <c r="G12" s="125">
        <f t="shared" si="5"/>
        <v>746233</v>
      </c>
      <c r="H12" s="125">
        <f>IF($T$12=$V$7, V12, W12)</f>
        <v>0</v>
      </c>
      <c r="I12" s="282">
        <v>4</v>
      </c>
      <c r="J12" s="1580">
        <v>44175</v>
      </c>
      <c r="K12" s="125">
        <f>G12</f>
        <v>746233</v>
      </c>
      <c r="L12" s="344">
        <f t="shared" si="0"/>
        <v>44175</v>
      </c>
      <c r="M12" s="1619" t="s">
        <v>3142</v>
      </c>
      <c r="N12" s="125">
        <v>0</v>
      </c>
      <c r="O12" s="14" t="str">
        <f t="shared" si="1"/>
        <v>Main</v>
      </c>
      <c r="P12" s="1617" t="str">
        <f t="shared" si="2"/>
        <v>FP-306998</v>
      </c>
      <c r="Q12" s="240">
        <v>746233</v>
      </c>
      <c r="R12" s="240">
        <f t="shared" si="3"/>
        <v>746233</v>
      </c>
      <c r="T12" s="1591" t="s">
        <v>3157</v>
      </c>
      <c r="V12" s="240">
        <v>746233</v>
      </c>
      <c r="W12" s="240">
        <f t="shared" si="4"/>
        <v>0</v>
      </c>
      <c r="X12" s="240"/>
      <c r="Z12" s="1619" t="s">
        <v>3168</v>
      </c>
      <c r="AA12" s="1703">
        <f>'Exhibit PCD-4'!U11</f>
        <v>0</v>
      </c>
      <c r="AB12" s="1680" t="str">
        <f>'Exhibit PCD-4'!V11</f>
        <v>N/A</v>
      </c>
      <c r="AC12" s="1619"/>
      <c r="AE12" s="240"/>
      <c r="AF12" s="344"/>
      <c r="AK12" s="1619"/>
    </row>
    <row r="13" spans="1:37">
      <c r="A13" s="15">
        <v>6</v>
      </c>
      <c r="B13" s="126" t="s">
        <v>751</v>
      </c>
      <c r="C13" s="126" t="s">
        <v>1948</v>
      </c>
      <c r="D13" s="124">
        <v>303</v>
      </c>
      <c r="E13" s="128">
        <v>346857.72</v>
      </c>
      <c r="F13" s="345">
        <f>+'State Allocation Formulas'!$C$21</f>
        <v>0.75170000000000003</v>
      </c>
      <c r="G13" s="125">
        <f t="shared" si="5"/>
        <v>260732.94812399999</v>
      </c>
      <c r="H13" s="125"/>
      <c r="I13" s="282"/>
      <c r="J13" s="1581">
        <v>44926</v>
      </c>
      <c r="K13" s="240"/>
      <c r="L13" s="344" t="str">
        <f t="shared" si="0"/>
        <v/>
      </c>
      <c r="M13" s="1619" t="s">
        <v>3143</v>
      </c>
      <c r="N13" s="125">
        <v>0</v>
      </c>
      <c r="O13" s="14" t="str">
        <f t="shared" si="1"/>
        <v>Serv</v>
      </c>
      <c r="P13" s="14" t="str">
        <f t="shared" si="2"/>
        <v>FP-316019</v>
      </c>
      <c r="Q13" s="240">
        <v>260732.94812399999</v>
      </c>
      <c r="R13" s="240">
        <f t="shared" si="3"/>
        <v>260732.94812399999</v>
      </c>
      <c r="V13" s="240">
        <v>0</v>
      </c>
      <c r="W13" s="240">
        <f t="shared" si="4"/>
        <v>0</v>
      </c>
      <c r="X13" s="240"/>
      <c r="Z13" s="14" t="s">
        <v>3166</v>
      </c>
      <c r="AA13" s="240">
        <f>'Exhibit PCD-4'!U12</f>
        <v>1043390.01</v>
      </c>
      <c r="AB13" s="344">
        <f>'Exhibit PCD-4'!V12</f>
        <v>44043</v>
      </c>
      <c r="AE13" s="240"/>
      <c r="AF13" s="344"/>
      <c r="AK13" s="1619"/>
    </row>
    <row r="14" spans="1:37">
      <c r="A14" s="15">
        <v>7</v>
      </c>
      <c r="B14" s="126" t="s">
        <v>751</v>
      </c>
      <c r="C14" s="126" t="s">
        <v>1949</v>
      </c>
      <c r="D14" s="124">
        <v>303</v>
      </c>
      <c r="E14" s="128">
        <v>35994.870000000003</v>
      </c>
      <c r="F14" s="345">
        <f>+'State Allocation Formulas'!$C$21</f>
        <v>0.75170000000000003</v>
      </c>
      <c r="G14" s="125">
        <f t="shared" si="5"/>
        <v>27057.343779000003</v>
      </c>
      <c r="H14" s="125"/>
      <c r="I14" s="282"/>
      <c r="J14" s="1581">
        <v>43876</v>
      </c>
      <c r="K14" s="240"/>
      <c r="L14" s="344" t="str">
        <f t="shared" si="0"/>
        <v/>
      </c>
      <c r="M14" s="1619" t="s">
        <v>3144</v>
      </c>
      <c r="N14" s="125">
        <v>0</v>
      </c>
      <c r="O14" s="14" t="str">
        <f t="shared" si="1"/>
        <v>Main</v>
      </c>
      <c r="P14" s="14" t="str">
        <f t="shared" si="2"/>
        <v>FP-316047</v>
      </c>
      <c r="Q14" s="240">
        <v>27057.343779000003</v>
      </c>
      <c r="R14" s="240">
        <f t="shared" si="3"/>
        <v>27057.343779000003</v>
      </c>
      <c r="V14" s="240">
        <v>0</v>
      </c>
      <c r="W14" s="240">
        <f t="shared" si="4"/>
        <v>0</v>
      </c>
      <c r="X14" s="240"/>
      <c r="Z14" s="14" t="s">
        <v>3185</v>
      </c>
      <c r="AA14" s="240">
        <f>'Exhibit PCD-4'!U13</f>
        <v>0</v>
      </c>
      <c r="AB14" s="344">
        <f>'Exhibit PCD-4'!V13</f>
        <v>44194</v>
      </c>
      <c r="AE14" s="240"/>
      <c r="AF14" s="344"/>
      <c r="AK14" s="1619"/>
    </row>
    <row r="15" spans="1:37">
      <c r="A15" s="15">
        <v>8</v>
      </c>
      <c r="B15" s="126" t="s">
        <v>751</v>
      </c>
      <c r="C15" s="126" t="s">
        <v>2257</v>
      </c>
      <c r="D15" s="124">
        <v>303</v>
      </c>
      <c r="E15" s="128">
        <v>158747.54</v>
      </c>
      <c r="F15" s="345">
        <f>+'State Allocation Formulas'!C21</f>
        <v>0.75170000000000003</v>
      </c>
      <c r="G15" s="125">
        <f t="shared" si="5"/>
        <v>119330.52581800001</v>
      </c>
      <c r="H15" s="125"/>
      <c r="I15" s="282"/>
      <c r="J15" s="1581">
        <v>44012</v>
      </c>
      <c r="K15" s="240"/>
      <c r="L15" s="344" t="str">
        <f t="shared" si="0"/>
        <v/>
      </c>
      <c r="M15" s="1619" t="s">
        <v>3145</v>
      </c>
      <c r="N15" s="125">
        <v>0</v>
      </c>
      <c r="O15" s="14" t="str">
        <f t="shared" si="1"/>
        <v>Serv</v>
      </c>
      <c r="P15" s="14" t="str">
        <f t="shared" si="2"/>
        <v>FP-316102</v>
      </c>
      <c r="Q15" s="240">
        <v>119330.52581800001</v>
      </c>
      <c r="R15" s="240">
        <f t="shared" si="3"/>
        <v>119330.52581800001</v>
      </c>
      <c r="V15" s="240">
        <v>0</v>
      </c>
      <c r="W15" s="240">
        <f t="shared" si="4"/>
        <v>0</v>
      </c>
      <c r="X15" s="240"/>
      <c r="Z15" s="14" t="s">
        <v>3176</v>
      </c>
      <c r="AA15" s="240">
        <f>'Exhibit PCD-4'!U14</f>
        <v>0</v>
      </c>
      <c r="AB15" s="344">
        <f>'Exhibit PCD-4'!V14</f>
        <v>44175</v>
      </c>
      <c r="AE15" s="240"/>
      <c r="AF15" s="344"/>
      <c r="AK15" s="1619"/>
    </row>
    <row r="16" spans="1:37">
      <c r="A16" s="15">
        <v>9</v>
      </c>
      <c r="B16" s="126" t="s">
        <v>751</v>
      </c>
      <c r="C16" s="126" t="s">
        <v>1950</v>
      </c>
      <c r="D16" s="124">
        <v>303</v>
      </c>
      <c r="E16" s="128">
        <v>670450.44000000006</v>
      </c>
      <c r="F16" s="345">
        <f>+'State Allocation Formulas'!$C$21</f>
        <v>0.75170000000000003</v>
      </c>
      <c r="G16" s="125">
        <f t="shared" si="5"/>
        <v>503977.59574800008</v>
      </c>
      <c r="H16" s="125"/>
      <c r="I16" s="282"/>
      <c r="J16" s="1581">
        <v>43496</v>
      </c>
      <c r="K16" s="240"/>
      <c r="L16" s="344" t="str">
        <f t="shared" si="0"/>
        <v/>
      </c>
      <c r="M16" s="1619" t="s">
        <v>3146</v>
      </c>
      <c r="N16" s="125">
        <v>0</v>
      </c>
      <c r="O16" s="14" t="str">
        <f t="shared" si="1"/>
        <v>Main</v>
      </c>
      <c r="P16" s="14" t="str">
        <f t="shared" si="2"/>
        <v>FP-316182</v>
      </c>
      <c r="Q16" s="240">
        <v>503977.59574800008</v>
      </c>
      <c r="R16" s="240">
        <f t="shared" si="3"/>
        <v>503977.59574800008</v>
      </c>
      <c r="V16" s="240">
        <v>0</v>
      </c>
      <c r="W16" s="240">
        <f t="shared" si="4"/>
        <v>0</v>
      </c>
      <c r="X16" s="240"/>
      <c r="Z16" s="14" t="s">
        <v>3187</v>
      </c>
      <c r="AA16" s="240">
        <f>'Exhibit PCD-4'!U15</f>
        <v>0</v>
      </c>
      <c r="AB16" s="1702">
        <f>'Exhibit PCD-4'!V15</f>
        <v>44194</v>
      </c>
      <c r="AE16" s="240"/>
      <c r="AF16" s="1680"/>
      <c r="AK16" s="1619"/>
    </row>
    <row r="17" spans="1:37">
      <c r="A17" s="15">
        <v>10</v>
      </c>
      <c r="B17" s="126" t="s">
        <v>751</v>
      </c>
      <c r="C17" s="126" t="s">
        <v>1951</v>
      </c>
      <c r="D17" s="124">
        <v>303</v>
      </c>
      <c r="E17" s="128">
        <v>21082.9</v>
      </c>
      <c r="F17" s="345"/>
      <c r="G17" s="125">
        <f t="shared" si="5"/>
        <v>21082.9</v>
      </c>
      <c r="H17" s="125"/>
      <c r="I17" s="282"/>
      <c r="J17" s="1581">
        <v>44073</v>
      </c>
      <c r="K17" s="240"/>
      <c r="L17" s="344" t="str">
        <f t="shared" si="0"/>
        <v/>
      </c>
      <c r="M17" s="1619" t="s">
        <v>3147</v>
      </c>
      <c r="N17" s="125">
        <v>0</v>
      </c>
      <c r="O17" s="14" t="str">
        <f t="shared" si="1"/>
        <v>Serv</v>
      </c>
      <c r="P17" s="14" t="str">
        <f t="shared" si="2"/>
        <v>FP-316269</v>
      </c>
      <c r="Q17" s="240">
        <v>21082.9</v>
      </c>
      <c r="R17" s="240">
        <f t="shared" si="3"/>
        <v>21082.9</v>
      </c>
      <c r="V17" s="240">
        <v>0</v>
      </c>
      <c r="W17" s="240">
        <f t="shared" si="4"/>
        <v>0</v>
      </c>
      <c r="X17" s="240"/>
      <c r="Z17" s="14" t="s">
        <v>3181</v>
      </c>
      <c r="AA17" s="240">
        <f>'Exhibit PCD-4'!U16</f>
        <v>1584349.9</v>
      </c>
      <c r="AB17" s="1702">
        <f>'Exhibit PCD-4'!V16</f>
        <v>43853</v>
      </c>
      <c r="AE17" s="240"/>
      <c r="AF17" s="344"/>
      <c r="AK17" s="1619"/>
    </row>
    <row r="18" spans="1:37">
      <c r="A18" s="15">
        <v>11</v>
      </c>
      <c r="B18" s="126" t="s">
        <v>751</v>
      </c>
      <c r="C18" s="126" t="s">
        <v>2256</v>
      </c>
      <c r="D18" s="124">
        <v>303</v>
      </c>
      <c r="E18" s="128">
        <v>155972.76</v>
      </c>
      <c r="F18" s="345">
        <f>+'State Allocation Formulas'!C21</f>
        <v>0.75170000000000003</v>
      </c>
      <c r="G18" s="125">
        <f t="shared" si="5"/>
        <v>117244.72369200001</v>
      </c>
      <c r="H18" s="125"/>
      <c r="I18" s="282"/>
      <c r="J18" s="1581">
        <v>44196</v>
      </c>
      <c r="K18" s="240"/>
      <c r="L18" s="344" t="str">
        <f t="shared" si="0"/>
        <v/>
      </c>
      <c r="M18" s="1619" t="s">
        <v>3148</v>
      </c>
      <c r="N18" s="125">
        <v>0</v>
      </c>
      <c r="O18" s="14" t="str">
        <f t="shared" si="1"/>
        <v>Main</v>
      </c>
      <c r="P18" s="14" t="str">
        <f t="shared" si="2"/>
        <v>FP-316284</v>
      </c>
      <c r="Q18" s="240">
        <v>117244.72369200001</v>
      </c>
      <c r="R18" s="240">
        <f t="shared" si="3"/>
        <v>117244.72369200001</v>
      </c>
      <c r="V18" s="240">
        <v>0</v>
      </c>
      <c r="W18" s="240">
        <f t="shared" si="4"/>
        <v>0</v>
      </c>
      <c r="X18" s="240"/>
      <c r="Z18" s="14" t="s">
        <v>3167</v>
      </c>
      <c r="AA18" s="240">
        <f>'Exhibit PCD-4'!U17</f>
        <v>892536.09</v>
      </c>
      <c r="AB18" s="1702">
        <f>'Exhibit PCD-4'!V17</f>
        <v>44077</v>
      </c>
      <c r="AE18" s="240"/>
      <c r="AF18" s="344"/>
      <c r="AK18" s="1619"/>
    </row>
    <row r="19" spans="1:37">
      <c r="A19" s="15">
        <v>12</v>
      </c>
      <c r="B19" s="126" t="s">
        <v>751</v>
      </c>
      <c r="C19" s="126" t="s">
        <v>1952</v>
      </c>
      <c r="D19" s="124">
        <v>303</v>
      </c>
      <c r="E19" s="128">
        <v>-450.01</v>
      </c>
      <c r="F19" s="345"/>
      <c r="G19" s="125">
        <f t="shared" si="5"/>
        <v>-450.01</v>
      </c>
      <c r="H19" s="125"/>
      <c r="I19" s="282"/>
      <c r="J19" s="1581">
        <v>43951</v>
      </c>
      <c r="K19" s="240"/>
      <c r="L19" s="344" t="str">
        <f t="shared" si="0"/>
        <v/>
      </c>
      <c r="M19" s="1619" t="s">
        <v>3149</v>
      </c>
      <c r="N19" s="125">
        <v>0</v>
      </c>
      <c r="O19" s="14" t="str">
        <f t="shared" si="1"/>
        <v>Serv</v>
      </c>
      <c r="P19" s="14" t="str">
        <f t="shared" si="2"/>
        <v>FP-316289</v>
      </c>
      <c r="Q19" s="240">
        <v>-450.01</v>
      </c>
      <c r="R19" s="240">
        <f t="shared" si="3"/>
        <v>-450.01</v>
      </c>
      <c r="V19" s="240">
        <v>0</v>
      </c>
      <c r="W19" s="240">
        <f t="shared" si="4"/>
        <v>0</v>
      </c>
      <c r="X19" s="240"/>
      <c r="Z19" s="14" t="s">
        <v>3186</v>
      </c>
      <c r="AA19" s="240">
        <f>'Exhibit PCD-4'!U18</f>
        <v>0</v>
      </c>
      <c r="AB19" s="1702" t="str">
        <f>'Exhibit PCD-4'!V18</f>
        <v>N/A</v>
      </c>
      <c r="AE19" s="240"/>
      <c r="AF19" s="344"/>
      <c r="AK19" s="1619"/>
    </row>
    <row r="20" spans="1:37">
      <c r="A20" s="15">
        <v>13</v>
      </c>
      <c r="B20" s="126" t="s">
        <v>751</v>
      </c>
      <c r="C20" s="126" t="s">
        <v>1953</v>
      </c>
      <c r="D20" s="124">
        <v>303</v>
      </c>
      <c r="E20" s="128">
        <v>69223.05</v>
      </c>
      <c r="F20" s="345">
        <f>+'State Allocation Formulas'!$C$21</f>
        <v>0.75170000000000003</v>
      </c>
      <c r="G20" s="125">
        <f t="shared" si="5"/>
        <v>52034.966685000007</v>
      </c>
      <c r="H20" s="125"/>
      <c r="I20" s="282"/>
      <c r="J20" s="1581">
        <v>45291</v>
      </c>
      <c r="K20" s="240"/>
      <c r="L20" s="344" t="str">
        <f t="shared" si="0"/>
        <v/>
      </c>
      <c r="M20" s="1619" t="s">
        <v>3150</v>
      </c>
      <c r="N20" s="125">
        <v>0</v>
      </c>
      <c r="O20" s="14" t="str">
        <f t="shared" si="1"/>
        <v>Main</v>
      </c>
      <c r="P20" s="14" t="str">
        <f t="shared" si="2"/>
        <v>FP-316361</v>
      </c>
      <c r="Q20" s="240">
        <v>52034.966685000007</v>
      </c>
      <c r="R20" s="240">
        <f t="shared" si="3"/>
        <v>52034.966685000007</v>
      </c>
      <c r="V20" s="240">
        <v>0</v>
      </c>
      <c r="W20" s="240">
        <f t="shared" si="4"/>
        <v>0</v>
      </c>
      <c r="X20" s="240"/>
      <c r="Z20" s="14" t="s">
        <v>3172</v>
      </c>
      <c r="AA20" s="240">
        <f>'Exhibit PCD-4'!U19</f>
        <v>0</v>
      </c>
      <c r="AB20" s="1702">
        <f>'Exhibit PCD-4'!V19</f>
        <v>44186</v>
      </c>
      <c r="AE20" s="240"/>
      <c r="AF20" s="344"/>
      <c r="AK20" s="1619"/>
    </row>
    <row r="21" spans="1:37">
      <c r="A21" s="15">
        <v>14</v>
      </c>
      <c r="B21" s="126" t="s">
        <v>751</v>
      </c>
      <c r="C21" s="126" t="s">
        <v>1954</v>
      </c>
      <c r="D21" s="124">
        <v>303</v>
      </c>
      <c r="E21" s="128">
        <v>15422.61</v>
      </c>
      <c r="F21" s="345"/>
      <c r="G21" s="125">
        <f t="shared" si="5"/>
        <v>15422.61</v>
      </c>
      <c r="H21" s="125"/>
      <c r="I21" s="282"/>
      <c r="J21" s="1581">
        <v>43951</v>
      </c>
      <c r="K21" s="240"/>
      <c r="L21" s="344" t="str">
        <f t="shared" si="0"/>
        <v/>
      </c>
      <c r="M21" s="1619" t="s">
        <v>3151</v>
      </c>
      <c r="N21" s="125">
        <v>0</v>
      </c>
      <c r="O21" s="14" t="str">
        <f t="shared" si="1"/>
        <v>Serv</v>
      </c>
      <c r="P21" s="14" t="str">
        <f t="shared" si="2"/>
        <v>FP-316451</v>
      </c>
      <c r="Q21" s="240">
        <v>15422.61</v>
      </c>
      <c r="R21" s="240">
        <f t="shared" si="3"/>
        <v>15422.61</v>
      </c>
      <c r="V21" s="240">
        <v>0</v>
      </c>
      <c r="W21" s="240">
        <f t="shared" si="4"/>
        <v>0</v>
      </c>
      <c r="X21" s="240"/>
      <c r="Z21" s="14" t="s">
        <v>3180</v>
      </c>
      <c r="AA21" s="240">
        <f>'Exhibit PCD-4'!U20</f>
        <v>213957.59</v>
      </c>
      <c r="AB21" s="1702">
        <f>'Exhibit PCD-4'!V20</f>
        <v>43944</v>
      </c>
      <c r="AE21" s="240"/>
      <c r="AF21" s="344"/>
      <c r="AK21" s="1619"/>
    </row>
    <row r="22" spans="1:37">
      <c r="A22" s="15">
        <v>15</v>
      </c>
      <c r="B22" s="126" t="s">
        <v>751</v>
      </c>
      <c r="C22" s="126" t="s">
        <v>2258</v>
      </c>
      <c r="D22" s="124">
        <v>303</v>
      </c>
      <c r="E22" s="128">
        <v>63738.720000000001</v>
      </c>
      <c r="F22" s="345">
        <f>+'State Allocation Formulas'!C21</f>
        <v>0.75170000000000003</v>
      </c>
      <c r="G22" s="125">
        <f t="shared" si="5"/>
        <v>47912.395824000007</v>
      </c>
      <c r="H22" s="125"/>
      <c r="I22" s="282"/>
      <c r="J22" s="1581">
        <v>44104</v>
      </c>
      <c r="K22" s="240"/>
      <c r="L22" s="344" t="str">
        <f t="shared" si="0"/>
        <v/>
      </c>
      <c r="M22" s="1619" t="s">
        <v>3152</v>
      </c>
      <c r="N22" s="125">
        <v>0</v>
      </c>
      <c r="O22" s="14" t="str">
        <f t="shared" si="1"/>
        <v>Main</v>
      </c>
      <c r="P22" s="14" t="str">
        <f t="shared" si="2"/>
        <v>FP-317101</v>
      </c>
      <c r="Q22" s="240">
        <v>47912.395824000007</v>
      </c>
      <c r="R22" s="240">
        <f t="shared" si="3"/>
        <v>47912.395824000007</v>
      </c>
      <c r="V22" s="240">
        <v>0</v>
      </c>
      <c r="W22" s="240">
        <f t="shared" si="4"/>
        <v>0</v>
      </c>
      <c r="X22" s="240"/>
      <c r="Z22" s="14" t="s">
        <v>3179</v>
      </c>
      <c r="AA22" s="240">
        <f>'Exhibit PCD-4'!U21</f>
        <v>0</v>
      </c>
      <c r="AB22" s="1702">
        <f>'Exhibit PCD-4'!V21</f>
        <v>44147</v>
      </c>
      <c r="AE22" s="240"/>
      <c r="AF22" s="344"/>
      <c r="AK22" s="1619"/>
    </row>
    <row r="23" spans="1:37">
      <c r="A23" s="15">
        <v>16</v>
      </c>
      <c r="B23" s="126" t="s">
        <v>751</v>
      </c>
      <c r="C23" s="126" t="s">
        <v>1955</v>
      </c>
      <c r="D23" s="124">
        <v>303</v>
      </c>
      <c r="E23" s="128">
        <v>882417.45</v>
      </c>
      <c r="F23" s="345"/>
      <c r="G23" s="125">
        <f t="shared" si="5"/>
        <v>882417.45</v>
      </c>
      <c r="H23" s="125">
        <f>IF($T$12=$V$7, V23, W23)</f>
        <v>892536.09</v>
      </c>
      <c r="I23" s="282">
        <v>11</v>
      </c>
      <c r="J23" s="1580">
        <v>44077</v>
      </c>
      <c r="K23" s="125">
        <f>G23</f>
        <v>882417.45</v>
      </c>
      <c r="L23" s="344">
        <f t="shared" si="0"/>
        <v>44077</v>
      </c>
      <c r="M23" s="1619" t="s">
        <v>3153</v>
      </c>
      <c r="N23" s="125">
        <v>0</v>
      </c>
      <c r="O23" s="14" t="str">
        <f t="shared" si="1"/>
        <v>Serv</v>
      </c>
      <c r="P23" s="1617" t="str">
        <f t="shared" si="2"/>
        <v>FP-317322</v>
      </c>
      <c r="Q23" s="240">
        <v>882417.45</v>
      </c>
      <c r="R23" s="240">
        <f t="shared" si="3"/>
        <v>882417.45</v>
      </c>
      <c r="V23" s="240">
        <v>882417.45</v>
      </c>
      <c r="W23" s="240">
        <f>IFERROR(VLOOKUP(P23,$Z$8:$AA$33,2,FALSE), V23)</f>
        <v>892536.09</v>
      </c>
      <c r="X23" s="240"/>
      <c r="Z23" s="1619" t="s">
        <v>3183</v>
      </c>
      <c r="AA23" s="1703">
        <f>'Exhibit PCD-4'!U22</f>
        <v>0</v>
      </c>
      <c r="AB23" s="1680">
        <f>'Exhibit PCD-4'!V22</f>
        <v>44196</v>
      </c>
      <c r="AC23" s="1619"/>
      <c r="AE23" s="240"/>
      <c r="AF23" s="344"/>
      <c r="AK23" s="1619"/>
    </row>
    <row r="24" spans="1:37">
      <c r="A24" s="15">
        <v>17</v>
      </c>
      <c r="B24" s="126" t="s">
        <v>751</v>
      </c>
      <c r="C24" s="126" t="s">
        <v>1956</v>
      </c>
      <c r="D24" s="124">
        <v>303</v>
      </c>
      <c r="E24" s="128">
        <v>8476.31</v>
      </c>
      <c r="F24" s="345">
        <f>+'State Allocation Formulas'!$C$21</f>
        <v>0.75170000000000003</v>
      </c>
      <c r="G24" s="125">
        <f t="shared" si="5"/>
        <v>6371.6422270000003</v>
      </c>
      <c r="H24" s="125"/>
      <c r="I24" s="282"/>
      <c r="J24" s="1581">
        <v>43842</v>
      </c>
      <c r="K24" s="240"/>
      <c r="L24" s="344" t="str">
        <f t="shared" si="0"/>
        <v/>
      </c>
      <c r="M24" s="1619" t="s">
        <v>3154</v>
      </c>
      <c r="N24" s="125">
        <v>0</v>
      </c>
      <c r="O24" s="14" t="str">
        <f t="shared" si="1"/>
        <v>Main</v>
      </c>
      <c r="P24" s="14" t="str">
        <f t="shared" si="2"/>
        <v>FP-317617</v>
      </c>
      <c r="Q24" s="240">
        <v>6371.6422270000003</v>
      </c>
      <c r="R24" s="240">
        <f t="shared" si="3"/>
        <v>6371.6422270000003</v>
      </c>
      <c r="V24" s="240">
        <v>0</v>
      </c>
      <c r="W24" s="240">
        <f t="shared" si="4"/>
        <v>0</v>
      </c>
      <c r="X24" s="240"/>
      <c r="Z24" s="14" t="s">
        <v>3173</v>
      </c>
      <c r="AA24" s="240">
        <f>'Exhibit PCD-4'!U23</f>
        <v>402968.57</v>
      </c>
      <c r="AB24" s="1702">
        <f>'Exhibit PCD-4'!V23</f>
        <v>44130</v>
      </c>
      <c r="AE24" s="240"/>
      <c r="AF24" s="344"/>
      <c r="AK24" s="1619"/>
    </row>
    <row r="25" spans="1:37">
      <c r="A25" s="15">
        <v>18</v>
      </c>
      <c r="B25" s="126" t="s">
        <v>751</v>
      </c>
      <c r="C25" s="126" t="s">
        <v>1957</v>
      </c>
      <c r="D25" s="124">
        <v>303</v>
      </c>
      <c r="E25" s="128">
        <v>858122</v>
      </c>
      <c r="F25" s="345"/>
      <c r="G25" s="125">
        <f t="shared" si="5"/>
        <v>858122</v>
      </c>
      <c r="H25" s="125">
        <f>IF($T$12=$V$7, V25, W25)</f>
        <v>1392314.26</v>
      </c>
      <c r="I25" s="282">
        <v>21</v>
      </c>
      <c r="J25" s="1580">
        <v>44102</v>
      </c>
      <c r="K25" s="125">
        <f>G25</f>
        <v>858122</v>
      </c>
      <c r="L25" s="344">
        <f t="shared" si="0"/>
        <v>44102</v>
      </c>
      <c r="M25" s="1619" t="s">
        <v>3164</v>
      </c>
      <c r="N25" s="125">
        <v>0</v>
      </c>
      <c r="O25" s="14" t="str">
        <f t="shared" si="1"/>
        <v>Serv</v>
      </c>
      <c r="P25" s="1617" t="str">
        <f t="shared" si="2"/>
        <v>FP-318808</v>
      </c>
      <c r="Q25" s="240">
        <v>858122</v>
      </c>
      <c r="R25" s="240">
        <f t="shared" si="3"/>
        <v>858122</v>
      </c>
      <c r="V25" s="240">
        <v>858122</v>
      </c>
      <c r="W25" s="240">
        <f t="shared" si="4"/>
        <v>1392314.26</v>
      </c>
      <c r="X25" s="240"/>
      <c r="Z25" s="1619" t="s">
        <v>3182</v>
      </c>
      <c r="AA25" s="1703">
        <f>'Exhibit PCD-4'!U24</f>
        <v>0</v>
      </c>
      <c r="AB25" s="1680" t="str">
        <f>'Exhibit PCD-4'!V24</f>
        <v>N/A</v>
      </c>
      <c r="AC25" s="1619"/>
      <c r="AE25" s="240"/>
      <c r="AF25" s="1680"/>
      <c r="AK25" s="1619"/>
    </row>
    <row r="26" spans="1:37">
      <c r="A26" s="15">
        <v>19</v>
      </c>
      <c r="B26" s="126" t="s">
        <v>751</v>
      </c>
      <c r="C26" s="126" t="s">
        <v>1958</v>
      </c>
      <c r="D26" s="124">
        <v>303</v>
      </c>
      <c r="E26" s="128">
        <v>136867.86000000002</v>
      </c>
      <c r="F26" s="345"/>
      <c r="G26" s="125">
        <f t="shared" si="5"/>
        <v>136867.86000000002</v>
      </c>
      <c r="H26" s="125"/>
      <c r="I26" s="282"/>
      <c r="J26" s="1581">
        <v>43982</v>
      </c>
      <c r="K26" s="240"/>
      <c r="L26" s="344" t="str">
        <f t="shared" si="0"/>
        <v/>
      </c>
      <c r="M26" s="1619" t="s">
        <v>3155</v>
      </c>
      <c r="N26" s="125">
        <v>0</v>
      </c>
      <c r="O26" s="14" t="str">
        <f t="shared" si="1"/>
        <v>Main</v>
      </c>
      <c r="P26" s="14" t="str">
        <f t="shared" si="2"/>
        <v>FP-318822</v>
      </c>
      <c r="Q26" s="240">
        <v>136867.86000000002</v>
      </c>
      <c r="R26" s="240">
        <f t="shared" si="3"/>
        <v>136867.86000000002</v>
      </c>
      <c r="V26" s="240">
        <v>0</v>
      </c>
      <c r="W26" s="240">
        <f t="shared" si="4"/>
        <v>0</v>
      </c>
      <c r="X26" s="240"/>
      <c r="Z26" s="14" t="s">
        <v>3177</v>
      </c>
      <c r="AA26" s="240">
        <f>'Exhibit PCD-4'!U25</f>
        <v>0</v>
      </c>
      <c r="AB26" s="1702">
        <f>'Exhibit PCD-4'!V25</f>
        <v>44175</v>
      </c>
      <c r="AE26" s="240"/>
      <c r="AF26" s="1680"/>
      <c r="AK26" s="1619"/>
    </row>
    <row r="27" spans="1:37">
      <c r="A27" s="15">
        <v>20</v>
      </c>
      <c r="B27" s="126" t="s">
        <v>751</v>
      </c>
      <c r="C27" s="126" t="s">
        <v>2259</v>
      </c>
      <c r="D27" s="124">
        <v>303</v>
      </c>
      <c r="E27" s="128">
        <v>26509.599999999999</v>
      </c>
      <c r="F27" s="345">
        <f>+'State Allocation Formulas'!C21</f>
        <v>0.75170000000000003</v>
      </c>
      <c r="G27" s="125">
        <f t="shared" si="5"/>
        <v>19927.266319999999</v>
      </c>
      <c r="H27" s="125"/>
      <c r="I27" s="282"/>
      <c r="J27" s="1581">
        <v>43952</v>
      </c>
      <c r="K27" s="240"/>
      <c r="L27" s="344" t="str">
        <f t="shared" si="0"/>
        <v/>
      </c>
      <c r="M27" s="1619" t="s">
        <v>3156</v>
      </c>
      <c r="N27" s="125">
        <v>0</v>
      </c>
      <c r="O27" s="14" t="str">
        <f>VLOOKUP(M27, $P$32:$S$145, 4, FALSE)</f>
        <v>Serv</v>
      </c>
      <c r="P27" s="14" t="str">
        <f t="shared" si="2"/>
        <v>FP-318846</v>
      </c>
      <c r="Q27" s="240">
        <v>19927.266319999999</v>
      </c>
      <c r="R27" s="240">
        <f t="shared" si="3"/>
        <v>19927.266319999999</v>
      </c>
      <c r="V27" s="240">
        <v>0</v>
      </c>
      <c r="W27" s="240">
        <f t="shared" si="4"/>
        <v>0</v>
      </c>
      <c r="X27" s="240"/>
      <c r="Z27" s="14" t="s">
        <v>3178</v>
      </c>
      <c r="AA27" s="240">
        <f>'Exhibit PCD-4'!U26</f>
        <v>0</v>
      </c>
      <c r="AB27" s="1702">
        <f>'Exhibit PCD-4'!V26</f>
        <v>44175</v>
      </c>
      <c r="AE27" s="240"/>
      <c r="AF27" s="1688"/>
      <c r="AH27" s="1689"/>
      <c r="AK27" s="1619"/>
    </row>
    <row r="28" spans="1:37">
      <c r="A28" s="15">
        <v>21</v>
      </c>
      <c r="B28" s="126" t="s">
        <v>751</v>
      </c>
      <c r="C28" s="126" t="s">
        <v>2260</v>
      </c>
      <c r="D28" s="124">
        <v>303</v>
      </c>
      <c r="E28" s="128">
        <v>27529.200000000001</v>
      </c>
      <c r="F28" s="345">
        <f>+'State Allocation Formulas'!C21</f>
        <v>0.75170000000000003</v>
      </c>
      <c r="G28" s="125">
        <f t="shared" si="5"/>
        <v>20693.699640000003</v>
      </c>
      <c r="H28" s="125"/>
      <c r="I28" s="282"/>
      <c r="J28" s="1581">
        <v>44119</v>
      </c>
      <c r="K28" s="240"/>
      <c r="L28" s="344" t="str">
        <f t="shared" si="0"/>
        <v/>
      </c>
      <c r="P28" s="14" t="str">
        <f t="shared" si="2"/>
        <v>FP-318893</v>
      </c>
      <c r="Q28" s="240">
        <v>20693.699640000003</v>
      </c>
      <c r="R28" s="240">
        <f t="shared" si="3"/>
        <v>20693.699640000003</v>
      </c>
      <c r="V28" s="240">
        <v>0</v>
      </c>
      <c r="W28" s="240">
        <f t="shared" si="4"/>
        <v>0</v>
      </c>
      <c r="X28" s="240"/>
      <c r="Z28" s="14" t="s">
        <v>3170</v>
      </c>
      <c r="AA28" s="240">
        <f>'Exhibit PCD-4'!U27</f>
        <v>1392314.26</v>
      </c>
      <c r="AB28" s="1702">
        <f>'Exhibit PCD-4'!V27</f>
        <v>44102</v>
      </c>
      <c r="AE28" s="240"/>
      <c r="AF28" s="344"/>
    </row>
    <row r="29" spans="1:37">
      <c r="A29" s="15">
        <v>22</v>
      </c>
      <c r="B29" s="126" t="s">
        <v>751</v>
      </c>
      <c r="C29" s="126" t="s">
        <v>1959</v>
      </c>
      <c r="D29" s="124">
        <v>303</v>
      </c>
      <c r="E29" s="128">
        <v>4731395</v>
      </c>
      <c r="F29" s="345"/>
      <c r="G29" s="125">
        <f t="shared" si="5"/>
        <v>4731395</v>
      </c>
      <c r="H29" s="125">
        <f>IF($T$12=$V$7, V29, W29)</f>
        <v>3416936.97</v>
      </c>
      <c r="I29" s="282">
        <v>23</v>
      </c>
      <c r="J29" s="1580">
        <v>44071</v>
      </c>
      <c r="K29" s="125">
        <f>G29</f>
        <v>4731395</v>
      </c>
      <c r="L29" s="344">
        <f t="shared" si="0"/>
        <v>44102</v>
      </c>
      <c r="N29" s="240">
        <f>SUM(N8:N28)</f>
        <v>0</v>
      </c>
      <c r="P29" s="1617" t="str">
        <f t="shared" si="2"/>
        <v>FP-318987</v>
      </c>
      <c r="Q29" s="240">
        <v>4731395</v>
      </c>
      <c r="R29" s="240">
        <f t="shared" si="3"/>
        <v>4731395</v>
      </c>
      <c r="V29" s="240">
        <v>4731395</v>
      </c>
      <c r="W29" s="240">
        <f t="shared" si="4"/>
        <v>3416936.97</v>
      </c>
      <c r="X29" s="240"/>
      <c r="Z29" s="14" t="s">
        <v>3171</v>
      </c>
      <c r="AA29" s="240">
        <f>'Exhibit PCD-4'!U28</f>
        <v>508798.83</v>
      </c>
      <c r="AB29" s="1702">
        <f>'Exhibit PCD-4'!V28</f>
        <v>44102</v>
      </c>
      <c r="AE29" s="240"/>
      <c r="AF29" s="344"/>
    </row>
    <row r="30" spans="1:37">
      <c r="A30" s="15">
        <v>23</v>
      </c>
      <c r="B30" s="346"/>
      <c r="C30" s="347" t="s">
        <v>752</v>
      </c>
      <c r="D30" s="129"/>
      <c r="E30" s="348">
        <f>SUM(E8:E29)</f>
        <v>14946950.569999998</v>
      </c>
      <c r="F30" s="346"/>
      <c r="G30" s="349">
        <f>SUM(G8:G29)</f>
        <v>14524477.200330999</v>
      </c>
      <c r="H30" s="349">
        <f>SUM(H8:H29)</f>
        <v>5701787.3200000003</v>
      </c>
      <c r="I30" s="350"/>
      <c r="J30" s="1582"/>
      <c r="K30" s="240"/>
      <c r="L30" s="344" t="str">
        <f t="shared" si="0"/>
        <v/>
      </c>
      <c r="Q30" s="240"/>
      <c r="R30" s="240"/>
      <c r="V30" s="240"/>
      <c r="W30" s="240"/>
      <c r="X30" s="240"/>
      <c r="Z30" s="14" t="s">
        <v>3169</v>
      </c>
      <c r="AA30" s="240">
        <f>'Exhibit PCD-4'!U29</f>
        <v>3416936.97</v>
      </c>
      <c r="AB30" s="1702">
        <f>'Exhibit PCD-4'!V29</f>
        <v>44102</v>
      </c>
      <c r="AE30" s="240"/>
      <c r="AF30" s="344"/>
    </row>
    <row r="31" spans="1:37">
      <c r="A31" s="15">
        <v>24</v>
      </c>
      <c r="B31" s="346" t="s">
        <v>772</v>
      </c>
      <c r="C31" s="346"/>
      <c r="D31" s="127"/>
      <c r="E31" s="128"/>
      <c r="F31" s="346"/>
      <c r="G31" s="351"/>
      <c r="H31" s="346"/>
      <c r="I31" s="350"/>
      <c r="J31" s="1583"/>
      <c r="K31" s="240"/>
      <c r="L31" s="344" t="str">
        <f t="shared" si="0"/>
        <v/>
      </c>
      <c r="Q31" s="240"/>
      <c r="R31" s="240"/>
      <c r="V31" s="240"/>
      <c r="W31" s="240"/>
      <c r="X31" s="240"/>
      <c r="Z31" s="1619" t="s">
        <v>3190</v>
      </c>
      <c r="AA31" s="1703">
        <f>'Exhibit PCD-4'!U30</f>
        <v>0</v>
      </c>
      <c r="AB31" s="1680" t="str">
        <f>'Exhibit PCD-4'!V30</f>
        <v>N/A</v>
      </c>
      <c r="AC31" s="1619"/>
      <c r="AE31" s="240"/>
      <c r="AF31" s="344"/>
    </row>
    <row r="32" spans="1:37">
      <c r="A32" s="15">
        <v>25</v>
      </c>
      <c r="B32" s="126" t="s">
        <v>753</v>
      </c>
      <c r="C32" s="346" t="s">
        <v>2386</v>
      </c>
      <c r="D32" s="127">
        <v>396.2</v>
      </c>
      <c r="E32" s="128">
        <v>481087.24</v>
      </c>
      <c r="F32" s="772">
        <f>+'State Allocation Formulas'!C21</f>
        <v>0.75170000000000003</v>
      </c>
      <c r="G32" s="125">
        <f t="shared" ref="G32:G95" si="6">IF($T$8=$Q$7, Q32, R32)</f>
        <v>361633.27830800001</v>
      </c>
      <c r="H32" s="346"/>
      <c r="I32" s="350"/>
      <c r="J32" s="1583">
        <v>44196</v>
      </c>
      <c r="K32" s="240"/>
      <c r="L32" s="344" t="str">
        <f t="shared" si="0"/>
        <v/>
      </c>
      <c r="P32" s="14" t="str">
        <f t="shared" ref="P32:P95" si="7">LEFT(C32, 9)</f>
        <v>FP-101163</v>
      </c>
      <c r="Q32" s="240">
        <v>361633.27830800001</v>
      </c>
      <c r="R32" s="240">
        <f t="shared" ref="R32:R63" si="8">IFERROR(VLOOKUP(P32,$M$8:$N$27,2,FALSE), Q32)</f>
        <v>361633.27830800001</v>
      </c>
      <c r="V32" s="240">
        <v>0</v>
      </c>
      <c r="W32" s="240">
        <f t="shared" si="4"/>
        <v>0</v>
      </c>
      <c r="X32" s="240"/>
      <c r="Z32" s="14" t="s">
        <v>3189</v>
      </c>
      <c r="AA32" s="240">
        <f>'Exhibit PCD-4'!U31</f>
        <v>0</v>
      </c>
      <c r="AB32" s="1702">
        <f>'Exhibit PCD-4'!V31</f>
        <v>44155</v>
      </c>
      <c r="AE32" s="240"/>
      <c r="AF32" s="1680"/>
    </row>
    <row r="33" spans="1:33">
      <c r="A33" s="15">
        <v>26</v>
      </c>
      <c r="B33" s="126" t="s">
        <v>753</v>
      </c>
      <c r="C33" s="346" t="s">
        <v>2387</v>
      </c>
      <c r="D33" s="127">
        <v>397.2</v>
      </c>
      <c r="E33" s="128">
        <v>290586.03999999998</v>
      </c>
      <c r="F33" s="772">
        <f>+'State Allocation Formulas'!C21</f>
        <v>0.75170000000000003</v>
      </c>
      <c r="G33" s="125">
        <f t="shared" si="6"/>
        <v>218433.52626799999</v>
      </c>
      <c r="H33" s="346"/>
      <c r="I33" s="350"/>
      <c r="J33" s="1583">
        <v>44196</v>
      </c>
      <c r="K33" s="240"/>
      <c r="L33" s="344" t="str">
        <f t="shared" si="0"/>
        <v/>
      </c>
      <c r="M33" s="1619"/>
      <c r="N33" s="125"/>
      <c r="P33" s="14" t="str">
        <f t="shared" si="7"/>
        <v>FP-101164</v>
      </c>
      <c r="Q33" s="240">
        <v>218433.52626799999</v>
      </c>
      <c r="R33" s="240">
        <f t="shared" si="8"/>
        <v>218433.52626799999</v>
      </c>
      <c r="V33" s="240">
        <v>0</v>
      </c>
      <c r="W33" s="240">
        <f t="shared" si="4"/>
        <v>0</v>
      </c>
      <c r="X33" s="240"/>
      <c r="Z33" s="1619" t="s">
        <v>3188</v>
      </c>
      <c r="AA33" s="1703">
        <f>'Exhibit PCD-4'!U32</f>
        <v>0</v>
      </c>
      <c r="AB33" s="1680" t="str">
        <f>'Exhibit PCD-4'!V32</f>
        <v>N/A</v>
      </c>
      <c r="AC33" s="1619"/>
      <c r="AE33" s="240"/>
      <c r="AF33" s="344"/>
    </row>
    <row r="34" spans="1:33">
      <c r="A34" s="15">
        <v>27</v>
      </c>
      <c r="B34" s="126" t="s">
        <v>753</v>
      </c>
      <c r="C34" s="126" t="s">
        <v>2344</v>
      </c>
      <c r="D34" s="124">
        <v>376.2</v>
      </c>
      <c r="E34" s="128">
        <v>36096.400000000001</v>
      </c>
      <c r="F34" s="126"/>
      <c r="G34" s="125">
        <f t="shared" si="6"/>
        <v>36096.400000000001</v>
      </c>
      <c r="H34" s="125"/>
      <c r="I34" s="282"/>
      <c r="J34" s="1584">
        <v>43946</v>
      </c>
      <c r="K34" s="240"/>
      <c r="L34" s="344" t="str">
        <f t="shared" si="0"/>
        <v/>
      </c>
      <c r="M34" s="1619"/>
      <c r="N34" s="125"/>
      <c r="P34" s="14" t="str">
        <f t="shared" si="7"/>
        <v>FP-101191</v>
      </c>
      <c r="Q34" s="240">
        <v>36096.400000000001</v>
      </c>
      <c r="R34" s="240">
        <f t="shared" si="8"/>
        <v>36096.400000000001</v>
      </c>
      <c r="V34" s="240">
        <v>0</v>
      </c>
      <c r="W34" s="240">
        <f t="shared" si="4"/>
        <v>0</v>
      </c>
      <c r="X34" s="240"/>
    </row>
    <row r="35" spans="1:33">
      <c r="A35" s="15">
        <v>28</v>
      </c>
      <c r="B35" s="126" t="s">
        <v>753</v>
      </c>
      <c r="C35" s="126" t="s">
        <v>754</v>
      </c>
      <c r="D35" s="124">
        <v>376</v>
      </c>
      <c r="E35" s="128">
        <v>55032.54</v>
      </c>
      <c r="F35" s="126"/>
      <c r="G35" s="125">
        <f t="shared" si="6"/>
        <v>55032.54</v>
      </c>
      <c r="H35" s="125"/>
      <c r="I35" s="282"/>
      <c r="J35" s="1584">
        <v>44075</v>
      </c>
      <c r="K35" s="240"/>
      <c r="L35" s="344" t="str">
        <f t="shared" si="0"/>
        <v/>
      </c>
      <c r="M35" s="1619"/>
      <c r="N35" s="125"/>
      <c r="P35" s="14" t="str">
        <f t="shared" si="7"/>
        <v>FP-101192</v>
      </c>
      <c r="Q35" s="240">
        <v>55032.54</v>
      </c>
      <c r="R35" s="240">
        <f t="shared" si="8"/>
        <v>55032.54</v>
      </c>
      <c r="V35" s="240">
        <v>0</v>
      </c>
      <c r="W35" s="240">
        <f t="shared" si="4"/>
        <v>0</v>
      </c>
      <c r="X35" s="240"/>
      <c r="AA35" s="240">
        <f>SUM(AA8:AA34)</f>
        <v>13586826.540000001</v>
      </c>
      <c r="AC35" s="1689"/>
      <c r="AE35" s="240"/>
      <c r="AG35" s="1689"/>
    </row>
    <row r="36" spans="1:33">
      <c r="A36" s="15">
        <v>29</v>
      </c>
      <c r="B36" s="126" t="s">
        <v>753</v>
      </c>
      <c r="C36" s="126" t="s">
        <v>2345</v>
      </c>
      <c r="D36" s="124">
        <v>378</v>
      </c>
      <c r="E36" s="128">
        <v>611717</v>
      </c>
      <c r="F36" s="126"/>
      <c r="G36" s="125">
        <f t="shared" si="6"/>
        <v>0</v>
      </c>
      <c r="H36" s="125">
        <f>IF($T$8=$Q$7, Q36, R36)</f>
        <v>0</v>
      </c>
      <c r="I36" s="282">
        <v>27</v>
      </c>
      <c r="J36" s="1621">
        <v>44196</v>
      </c>
      <c r="K36" s="240" t="s">
        <v>3266</v>
      </c>
      <c r="L36" s="344" t="str">
        <f t="shared" si="0"/>
        <v/>
      </c>
      <c r="M36" s="1619"/>
      <c r="N36" s="125"/>
      <c r="P36" s="14" t="str">
        <f t="shared" si="7"/>
        <v>FP-101194</v>
      </c>
      <c r="Q36" s="240">
        <v>611717</v>
      </c>
      <c r="R36" s="240">
        <f t="shared" si="8"/>
        <v>0</v>
      </c>
      <c r="S36" s="240" t="str">
        <f>K36</f>
        <v>Reg</v>
      </c>
      <c r="V36" s="240">
        <v>611717</v>
      </c>
      <c r="W36" s="240">
        <f t="shared" si="4"/>
        <v>611717</v>
      </c>
      <c r="X36" s="240"/>
      <c r="AE36" s="240"/>
      <c r="AG36" s="1689"/>
    </row>
    <row r="37" spans="1:33">
      <c r="A37" s="15">
        <v>30</v>
      </c>
      <c r="B37" s="126" t="s">
        <v>753</v>
      </c>
      <c r="C37" s="126" t="s">
        <v>755</v>
      </c>
      <c r="D37" s="124">
        <v>378</v>
      </c>
      <c r="E37" s="128">
        <v>650533.54</v>
      </c>
      <c r="F37" s="126"/>
      <c r="G37" s="125">
        <f t="shared" si="6"/>
        <v>650533.54</v>
      </c>
      <c r="H37" s="125"/>
      <c r="I37" s="282"/>
      <c r="J37" s="1584">
        <v>44119</v>
      </c>
      <c r="K37" s="240"/>
      <c r="L37" s="344" t="str">
        <f t="shared" si="0"/>
        <v/>
      </c>
      <c r="M37" s="1619"/>
      <c r="N37" s="125"/>
      <c r="P37" s="14" t="str">
        <f t="shared" si="7"/>
        <v>FP-101196</v>
      </c>
      <c r="Q37" s="240">
        <v>650533.54</v>
      </c>
      <c r="R37" s="240">
        <f t="shared" si="8"/>
        <v>650533.54</v>
      </c>
      <c r="V37" s="240">
        <v>0</v>
      </c>
      <c r="W37" s="240">
        <f t="shared" si="4"/>
        <v>0</v>
      </c>
      <c r="X37" s="240"/>
    </row>
    <row r="38" spans="1:33">
      <c r="A38" s="15">
        <v>31</v>
      </c>
      <c r="B38" s="126" t="s">
        <v>753</v>
      </c>
      <c r="C38" s="126" t="s">
        <v>756</v>
      </c>
      <c r="D38" s="124">
        <v>380</v>
      </c>
      <c r="E38" s="128">
        <v>62.76</v>
      </c>
      <c r="F38" s="126"/>
      <c r="G38" s="125">
        <f t="shared" si="6"/>
        <v>62.76</v>
      </c>
      <c r="H38" s="125"/>
      <c r="I38" s="282"/>
      <c r="J38" s="1584">
        <v>44136</v>
      </c>
      <c r="K38" s="240"/>
      <c r="L38" s="344" t="str">
        <f t="shared" si="0"/>
        <v/>
      </c>
      <c r="M38" s="1619"/>
      <c r="N38" s="125"/>
      <c r="P38" s="14" t="str">
        <f t="shared" si="7"/>
        <v>FP-101197</v>
      </c>
      <c r="Q38" s="240">
        <v>62.76</v>
      </c>
      <c r="R38" s="240">
        <f t="shared" si="8"/>
        <v>62.76</v>
      </c>
      <c r="V38" s="240">
        <v>0</v>
      </c>
      <c r="W38" s="240">
        <f t="shared" si="4"/>
        <v>0</v>
      </c>
      <c r="X38" s="240"/>
    </row>
    <row r="39" spans="1:33">
      <c r="A39" s="15">
        <v>32</v>
      </c>
      <c r="B39" s="126" t="s">
        <v>753</v>
      </c>
      <c r="C39" s="126" t="s">
        <v>757</v>
      </c>
      <c r="D39" s="127">
        <v>385</v>
      </c>
      <c r="E39" s="128">
        <v>40010.83</v>
      </c>
      <c r="F39" s="126"/>
      <c r="G39" s="125">
        <f t="shared" si="6"/>
        <v>40010.83</v>
      </c>
      <c r="H39" s="529"/>
      <c r="I39" s="282"/>
      <c r="J39" s="1584">
        <v>44181</v>
      </c>
      <c r="K39" s="240"/>
      <c r="L39" s="344" t="str">
        <f t="shared" si="0"/>
        <v/>
      </c>
      <c r="M39" s="1619"/>
      <c r="N39" s="125"/>
      <c r="P39" s="14" t="str">
        <f t="shared" si="7"/>
        <v>FP-101200</v>
      </c>
      <c r="Q39" s="240">
        <v>40010.83</v>
      </c>
      <c r="R39" s="240">
        <f t="shared" si="8"/>
        <v>40010.83</v>
      </c>
      <c r="V39" s="240">
        <v>0</v>
      </c>
      <c r="W39" s="240">
        <f t="shared" si="4"/>
        <v>0</v>
      </c>
      <c r="X39" s="240"/>
      <c r="AA39" s="240"/>
    </row>
    <row r="40" spans="1:33">
      <c r="A40" s="15">
        <v>33</v>
      </c>
      <c r="B40" s="126" t="s">
        <v>753</v>
      </c>
      <c r="C40" s="126" t="s">
        <v>758</v>
      </c>
      <c r="D40" s="124">
        <v>385</v>
      </c>
      <c r="E40" s="128">
        <v>21467.7</v>
      </c>
      <c r="F40" s="126"/>
      <c r="G40" s="125">
        <f t="shared" si="6"/>
        <v>21467.7</v>
      </c>
      <c r="H40" s="125"/>
      <c r="I40" s="282"/>
      <c r="J40" s="1584">
        <v>43981</v>
      </c>
      <c r="K40" s="240"/>
      <c r="L40" s="344" t="str">
        <f t="shared" si="0"/>
        <v/>
      </c>
      <c r="M40" s="1619"/>
      <c r="N40" s="125"/>
      <c r="P40" s="14" t="str">
        <f t="shared" si="7"/>
        <v>FP-101201</v>
      </c>
      <c r="Q40" s="240">
        <v>21467.7</v>
      </c>
      <c r="R40" s="240">
        <f t="shared" si="8"/>
        <v>21467.7</v>
      </c>
      <c r="V40" s="240">
        <v>0</v>
      </c>
      <c r="W40" s="240">
        <f t="shared" si="4"/>
        <v>0</v>
      </c>
      <c r="X40" s="240"/>
      <c r="AA40" s="240"/>
    </row>
    <row r="41" spans="1:33">
      <c r="A41" s="15">
        <v>34</v>
      </c>
      <c r="B41" s="126" t="s">
        <v>753</v>
      </c>
      <c r="C41" s="126" t="s">
        <v>2388</v>
      </c>
      <c r="D41" s="774">
        <v>381</v>
      </c>
      <c r="E41" s="128">
        <v>3919185.28</v>
      </c>
      <c r="F41" s="345">
        <f>+'State Allocation Formulas'!C21</f>
        <v>0.75170000000000003</v>
      </c>
      <c r="G41" s="125">
        <f t="shared" si="6"/>
        <v>0</v>
      </c>
      <c r="H41" s="125">
        <f>IF($T$8=$Q$7, Q41, R41)</f>
        <v>0</v>
      </c>
      <c r="I41" s="282">
        <v>28</v>
      </c>
      <c r="J41" s="1621">
        <v>44196</v>
      </c>
      <c r="K41" s="240" t="s">
        <v>3120</v>
      </c>
      <c r="L41" s="344" t="str">
        <f t="shared" si="0"/>
        <v/>
      </c>
      <c r="M41" s="1619"/>
      <c r="N41" s="125"/>
      <c r="P41" s="14" t="str">
        <f t="shared" si="7"/>
        <v>FP-101210</v>
      </c>
      <c r="Q41" s="240">
        <v>2946051.574976</v>
      </c>
      <c r="R41" s="240">
        <f t="shared" si="8"/>
        <v>0</v>
      </c>
      <c r="S41" s="240" t="str">
        <f>K41</f>
        <v>Meters</v>
      </c>
      <c r="V41" s="240">
        <v>2946051.574976</v>
      </c>
      <c r="W41" s="240">
        <f t="shared" si="4"/>
        <v>2946051.574976</v>
      </c>
      <c r="X41" s="240"/>
      <c r="AA41" s="240"/>
    </row>
    <row r="42" spans="1:33">
      <c r="A42" s="15">
        <v>35</v>
      </c>
      <c r="B42" s="126" t="s">
        <v>753</v>
      </c>
      <c r="C42" s="126" t="s">
        <v>2389</v>
      </c>
      <c r="D42" s="774">
        <v>392.2</v>
      </c>
      <c r="E42" s="128">
        <v>2180374.04</v>
      </c>
      <c r="F42" s="345">
        <f>+'State Allocation Formulas'!C21</f>
        <v>0.75170000000000003</v>
      </c>
      <c r="G42" s="125">
        <f t="shared" si="6"/>
        <v>1638987.1658680001</v>
      </c>
      <c r="H42" s="125"/>
      <c r="I42" s="282"/>
      <c r="J42" s="1584">
        <v>44196</v>
      </c>
      <c r="K42" s="240"/>
      <c r="L42" s="344" t="str">
        <f t="shared" si="0"/>
        <v/>
      </c>
      <c r="M42" s="1619"/>
      <c r="N42" s="125"/>
      <c r="P42" s="14" t="str">
        <f t="shared" si="7"/>
        <v>FP-101215</v>
      </c>
      <c r="Q42" s="240">
        <v>1638987.1658680001</v>
      </c>
      <c r="R42" s="240">
        <f t="shared" si="8"/>
        <v>1638987.1658680001</v>
      </c>
      <c r="V42" s="240">
        <v>0</v>
      </c>
      <c r="W42" s="240">
        <f t="shared" si="4"/>
        <v>0</v>
      </c>
      <c r="X42" s="240"/>
      <c r="AA42" s="240"/>
    </row>
    <row r="43" spans="1:33">
      <c r="A43" s="15">
        <v>36</v>
      </c>
      <c r="B43" s="126" t="s">
        <v>753</v>
      </c>
      <c r="C43" s="126" t="s">
        <v>2390</v>
      </c>
      <c r="D43" s="774">
        <v>383</v>
      </c>
      <c r="E43" s="128">
        <v>1320143.48</v>
      </c>
      <c r="F43" s="345">
        <f>+'State Allocation Formulas'!C21</f>
        <v>0.75170000000000003</v>
      </c>
      <c r="G43" s="125">
        <f t="shared" si="6"/>
        <v>992351.85391599999</v>
      </c>
      <c r="H43" s="125"/>
      <c r="I43" s="282"/>
      <c r="J43" s="1584">
        <v>44196</v>
      </c>
      <c r="K43" s="240"/>
      <c r="L43" s="344" t="str">
        <f t="shared" si="0"/>
        <v/>
      </c>
      <c r="M43" s="1619"/>
      <c r="N43" s="125"/>
      <c r="P43" s="14" t="str">
        <f t="shared" si="7"/>
        <v>FP-101259</v>
      </c>
      <c r="Q43" s="240">
        <v>992351.85391599999</v>
      </c>
      <c r="R43" s="240">
        <f t="shared" si="8"/>
        <v>992351.85391599999</v>
      </c>
      <c r="V43" s="240">
        <v>0</v>
      </c>
      <c r="W43" s="240">
        <f t="shared" si="4"/>
        <v>0</v>
      </c>
      <c r="X43" s="240"/>
      <c r="AA43" s="240"/>
    </row>
    <row r="44" spans="1:33">
      <c r="A44" s="15">
        <v>37</v>
      </c>
      <c r="B44" s="126" t="s">
        <v>753</v>
      </c>
      <c r="C44" s="126" t="s">
        <v>759</v>
      </c>
      <c r="D44" s="124">
        <v>380</v>
      </c>
      <c r="E44" s="128">
        <v>31924.36</v>
      </c>
      <c r="F44" s="126"/>
      <c r="G44" s="125">
        <f t="shared" si="6"/>
        <v>31924.36</v>
      </c>
      <c r="H44" s="125"/>
      <c r="I44" s="282"/>
      <c r="J44" s="1584">
        <v>44136</v>
      </c>
      <c r="K44" s="240"/>
      <c r="L44" s="344" t="str">
        <f t="shared" si="0"/>
        <v/>
      </c>
      <c r="M44" s="1619"/>
      <c r="N44" s="125"/>
      <c r="P44" s="14" t="str">
        <f t="shared" si="7"/>
        <v>FP-101275</v>
      </c>
      <c r="Q44" s="240">
        <v>31924.36</v>
      </c>
      <c r="R44" s="240">
        <f t="shared" si="8"/>
        <v>31924.36</v>
      </c>
      <c r="V44" s="240">
        <v>0</v>
      </c>
      <c r="W44" s="240">
        <f t="shared" si="4"/>
        <v>0</v>
      </c>
      <c r="X44" s="240"/>
      <c r="AA44" s="240"/>
    </row>
    <row r="45" spans="1:33">
      <c r="A45" s="15">
        <v>38</v>
      </c>
      <c r="B45" s="126" t="s">
        <v>753</v>
      </c>
      <c r="C45" s="126" t="s">
        <v>3161</v>
      </c>
      <c r="D45" s="124">
        <v>375.1</v>
      </c>
      <c r="E45" s="128">
        <v>124289.24</v>
      </c>
      <c r="F45" s="126"/>
      <c r="G45" s="125">
        <f t="shared" si="6"/>
        <v>124289.24</v>
      </c>
      <c r="H45" s="125"/>
      <c r="I45" s="282"/>
      <c r="J45" s="1584">
        <v>44196</v>
      </c>
      <c r="K45" s="240"/>
      <c r="L45" s="344" t="str">
        <f t="shared" si="0"/>
        <v/>
      </c>
      <c r="M45" s="1619"/>
      <c r="N45" s="125"/>
      <c r="P45" s="14" t="str">
        <f t="shared" si="7"/>
        <v>FP-101413</v>
      </c>
      <c r="Q45" s="240">
        <v>124289.24</v>
      </c>
      <c r="R45" s="240">
        <f t="shared" si="8"/>
        <v>124289.24</v>
      </c>
      <c r="V45" s="240">
        <v>0</v>
      </c>
      <c r="W45" s="240">
        <f t="shared" si="4"/>
        <v>0</v>
      </c>
      <c r="X45" s="240"/>
      <c r="AA45" s="240"/>
    </row>
    <row r="46" spans="1:33">
      <c r="A46" s="15">
        <v>39</v>
      </c>
      <c r="B46" s="126" t="s">
        <v>753</v>
      </c>
      <c r="C46" s="126" t="s">
        <v>3162</v>
      </c>
      <c r="D46" s="124">
        <v>394.1</v>
      </c>
      <c r="E46" s="128">
        <v>4282.32</v>
      </c>
      <c r="F46" s="126"/>
      <c r="G46" s="125">
        <f t="shared" si="6"/>
        <v>4282.32</v>
      </c>
      <c r="H46" s="125"/>
      <c r="I46" s="282"/>
      <c r="J46" s="1584">
        <v>44196</v>
      </c>
      <c r="K46" s="240"/>
      <c r="L46" s="344" t="str">
        <f t="shared" si="0"/>
        <v/>
      </c>
      <c r="M46" s="1619"/>
      <c r="N46" s="125"/>
      <c r="P46" s="14" t="str">
        <f t="shared" si="7"/>
        <v>FP-101416</v>
      </c>
      <c r="Q46" s="240">
        <v>4282.32</v>
      </c>
      <c r="R46" s="240">
        <f t="shared" si="8"/>
        <v>4282.32</v>
      </c>
      <c r="V46" s="240">
        <v>0</v>
      </c>
      <c r="W46" s="240">
        <f t="shared" si="4"/>
        <v>0</v>
      </c>
      <c r="X46" s="240"/>
      <c r="AA46" s="240"/>
    </row>
    <row r="47" spans="1:33">
      <c r="A47" s="15">
        <v>40</v>
      </c>
      <c r="B47" s="126" t="s">
        <v>753</v>
      </c>
      <c r="C47" s="126" t="s">
        <v>1970</v>
      </c>
      <c r="D47" s="124">
        <v>367.1</v>
      </c>
      <c r="E47" s="128">
        <v>7616.94</v>
      </c>
      <c r="F47" s="126"/>
      <c r="G47" s="125">
        <f t="shared" si="6"/>
        <v>7616.94</v>
      </c>
      <c r="H47" s="126"/>
      <c r="I47" s="282"/>
      <c r="J47" s="1584">
        <v>44196</v>
      </c>
      <c r="K47" s="240"/>
      <c r="L47" s="344" t="str">
        <f t="shared" si="0"/>
        <v/>
      </c>
      <c r="M47" s="1619"/>
      <c r="N47" s="125"/>
      <c r="P47" s="14" t="str">
        <f t="shared" si="7"/>
        <v>FP-200043</v>
      </c>
      <c r="Q47" s="240">
        <v>7616.94</v>
      </c>
      <c r="R47" s="240">
        <f t="shared" si="8"/>
        <v>7616.94</v>
      </c>
      <c r="V47" s="240">
        <v>0</v>
      </c>
      <c r="W47" s="240">
        <f t="shared" si="4"/>
        <v>0</v>
      </c>
      <c r="X47" s="240"/>
      <c r="AA47" s="240"/>
    </row>
    <row r="48" spans="1:33">
      <c r="A48" s="15">
        <v>41</v>
      </c>
      <c r="B48" s="126" t="s">
        <v>753</v>
      </c>
      <c r="C48" s="126" t="s">
        <v>2391</v>
      </c>
      <c r="D48" s="124">
        <v>391.3</v>
      </c>
      <c r="E48" s="128">
        <v>54854.48</v>
      </c>
      <c r="F48" s="345">
        <f>+'State Allocation Formulas'!C21</f>
        <v>0.75170000000000003</v>
      </c>
      <c r="G48" s="125">
        <f t="shared" si="6"/>
        <v>41234.112616000006</v>
      </c>
      <c r="H48" s="126"/>
      <c r="I48" s="282"/>
      <c r="J48" s="1584">
        <v>44196</v>
      </c>
      <c r="K48" s="240"/>
      <c r="L48" s="344" t="str">
        <f t="shared" si="0"/>
        <v/>
      </c>
      <c r="M48" s="1619"/>
      <c r="N48" s="125"/>
      <c r="P48" s="14" t="str">
        <f t="shared" si="7"/>
        <v>FP-200662</v>
      </c>
      <c r="Q48" s="240">
        <v>41234.112616000006</v>
      </c>
      <c r="R48" s="240">
        <f t="shared" si="8"/>
        <v>41234.112616000006</v>
      </c>
      <c r="V48" s="240">
        <v>0</v>
      </c>
      <c r="W48" s="240">
        <f t="shared" si="4"/>
        <v>0</v>
      </c>
      <c r="X48" s="240"/>
      <c r="AA48" s="240"/>
    </row>
    <row r="49" spans="1:27">
      <c r="A49" s="15">
        <v>42</v>
      </c>
      <c r="B49" s="126" t="s">
        <v>753</v>
      </c>
      <c r="C49" s="126" t="s">
        <v>1262</v>
      </c>
      <c r="D49" s="124">
        <v>376.2</v>
      </c>
      <c r="E49" s="128">
        <v>2757265.26</v>
      </c>
      <c r="F49" s="126"/>
      <c r="G49" s="125">
        <f t="shared" si="6"/>
        <v>2757265.26</v>
      </c>
      <c r="H49" s="125">
        <f>IF($T$12=$V$7, V49, W49)</f>
        <v>4131574.32</v>
      </c>
      <c r="I49" s="282">
        <v>1</v>
      </c>
      <c r="J49" s="1585">
        <v>43857</v>
      </c>
      <c r="K49" s="125">
        <f>G49</f>
        <v>2757265.26</v>
      </c>
      <c r="L49" s="344">
        <f t="shared" si="0"/>
        <v>43857</v>
      </c>
      <c r="M49" s="1619"/>
      <c r="N49" s="125"/>
      <c r="P49" s="1617" t="str">
        <f t="shared" si="7"/>
        <v>FP-300233</v>
      </c>
      <c r="Q49" s="240">
        <v>2757265.26</v>
      </c>
      <c r="R49" s="240">
        <f t="shared" si="8"/>
        <v>2757265.26</v>
      </c>
      <c r="V49" s="240">
        <v>2757265.26</v>
      </c>
      <c r="W49" s="240">
        <f t="shared" si="4"/>
        <v>4131574.32</v>
      </c>
      <c r="X49" s="240"/>
      <c r="AA49" s="240"/>
    </row>
    <row r="50" spans="1:27">
      <c r="A50" s="15">
        <v>43</v>
      </c>
      <c r="B50" s="126" t="s">
        <v>753</v>
      </c>
      <c r="C50" s="126" t="s">
        <v>760</v>
      </c>
      <c r="D50" s="124">
        <v>376.1</v>
      </c>
      <c r="E50" s="128">
        <v>747641.35000000009</v>
      </c>
      <c r="F50" s="126"/>
      <c r="G50" s="125">
        <f t="shared" si="6"/>
        <v>747641.35000000009</v>
      </c>
      <c r="H50" s="125"/>
      <c r="I50" s="282"/>
      <c r="J50" s="1584">
        <v>43891</v>
      </c>
      <c r="K50" s="240"/>
      <c r="L50" s="344" t="str">
        <f t="shared" si="0"/>
        <v/>
      </c>
      <c r="M50" s="1619"/>
      <c r="N50" s="125"/>
      <c r="P50" s="14" t="str">
        <f t="shared" si="7"/>
        <v>FP-302369</v>
      </c>
      <c r="Q50" s="240">
        <v>747641.35000000009</v>
      </c>
      <c r="R50" s="240">
        <f t="shared" si="8"/>
        <v>747641.35000000009</v>
      </c>
      <c r="V50" s="240">
        <v>0</v>
      </c>
      <c r="W50" s="240">
        <f t="shared" si="4"/>
        <v>0</v>
      </c>
      <c r="X50" s="240"/>
      <c r="AA50" s="240"/>
    </row>
    <row r="51" spans="1:27">
      <c r="A51" s="15">
        <v>45</v>
      </c>
      <c r="B51" s="126" t="s">
        <v>753</v>
      </c>
      <c r="C51" s="126" t="s">
        <v>2284</v>
      </c>
      <c r="D51" s="124">
        <v>381</v>
      </c>
      <c r="E51" s="128">
        <v>363466.8</v>
      </c>
      <c r="F51" s="345">
        <f>+'State Allocation Formulas'!C21</f>
        <v>0.75170000000000003</v>
      </c>
      <c r="G51" s="125">
        <f t="shared" si="6"/>
        <v>273217.99356000003</v>
      </c>
      <c r="H51" s="125"/>
      <c r="I51" s="282"/>
      <c r="J51" s="1581">
        <v>44196</v>
      </c>
      <c r="K51" s="240"/>
      <c r="L51" s="344" t="str">
        <f t="shared" si="0"/>
        <v/>
      </c>
      <c r="M51" s="1619"/>
      <c r="N51" s="125"/>
      <c r="P51" s="14" t="str">
        <f t="shared" si="7"/>
        <v>FP-306980</v>
      </c>
      <c r="Q51" s="240">
        <v>273217.99356000003</v>
      </c>
      <c r="R51" s="240">
        <f t="shared" si="8"/>
        <v>273217.99356000003</v>
      </c>
      <c r="V51" s="240">
        <v>0</v>
      </c>
      <c r="W51" s="240">
        <f t="shared" si="4"/>
        <v>0</v>
      </c>
      <c r="X51" s="240"/>
      <c r="AA51" s="240"/>
    </row>
    <row r="52" spans="1:27">
      <c r="A52" s="15">
        <v>46</v>
      </c>
      <c r="B52" s="126" t="s">
        <v>753</v>
      </c>
      <c r="C52" s="126" t="s">
        <v>2341</v>
      </c>
      <c r="D52" s="124">
        <v>376.2</v>
      </c>
      <c r="E52" s="128">
        <v>3360413</v>
      </c>
      <c r="F52" s="126"/>
      <c r="G52" s="125">
        <f t="shared" si="6"/>
        <v>3360413</v>
      </c>
      <c r="H52" s="125">
        <f>IF($T$12=$V$7, V52, W52)</f>
        <v>0</v>
      </c>
      <c r="I52" s="282">
        <v>3</v>
      </c>
      <c r="J52" s="1585">
        <v>44175</v>
      </c>
      <c r="K52" s="125">
        <f>G52</f>
        <v>3360413</v>
      </c>
      <c r="L52" s="344">
        <f t="shared" si="0"/>
        <v>44175</v>
      </c>
      <c r="M52" s="1619"/>
      <c r="N52" s="125"/>
      <c r="P52" s="1617" t="str">
        <f t="shared" si="7"/>
        <v>FP-306988</v>
      </c>
      <c r="Q52" s="240">
        <v>3360413</v>
      </c>
      <c r="R52" s="240">
        <f t="shared" si="8"/>
        <v>3360413</v>
      </c>
      <c r="V52" s="240">
        <v>3360413</v>
      </c>
      <c r="W52" s="240">
        <f t="shared" si="4"/>
        <v>0</v>
      </c>
      <c r="X52" s="240"/>
      <c r="AA52" s="240"/>
    </row>
    <row r="53" spans="1:27">
      <c r="A53" s="15">
        <v>47</v>
      </c>
      <c r="B53" s="126" t="s">
        <v>753</v>
      </c>
      <c r="C53" s="14" t="s">
        <v>1971</v>
      </c>
      <c r="D53" s="124">
        <v>367.1</v>
      </c>
      <c r="E53" s="128">
        <v>2363557.25</v>
      </c>
      <c r="F53" s="126"/>
      <c r="G53" s="125">
        <f t="shared" si="6"/>
        <v>2363557.25</v>
      </c>
      <c r="H53" s="125"/>
      <c r="I53" s="282"/>
      <c r="J53" s="1584">
        <v>44895</v>
      </c>
      <c r="K53" s="240"/>
      <c r="L53" s="344" t="str">
        <f t="shared" si="0"/>
        <v/>
      </c>
      <c r="P53" s="14" t="str">
        <f t="shared" si="7"/>
        <v>FP-309960</v>
      </c>
      <c r="Q53" s="240">
        <v>2363557.25</v>
      </c>
      <c r="R53" s="240">
        <f t="shared" si="8"/>
        <v>2363557.25</v>
      </c>
      <c r="V53" s="240">
        <v>0</v>
      </c>
      <c r="W53" s="240">
        <f t="shared" si="4"/>
        <v>0</v>
      </c>
      <c r="X53" s="240"/>
      <c r="AA53" s="240"/>
    </row>
    <row r="54" spans="1:27">
      <c r="A54" s="15">
        <v>48</v>
      </c>
      <c r="B54" s="126" t="s">
        <v>753</v>
      </c>
      <c r="C54" s="126" t="s">
        <v>1960</v>
      </c>
      <c r="D54" s="124">
        <v>378</v>
      </c>
      <c r="E54" s="128">
        <v>20008.89</v>
      </c>
      <c r="F54" s="126"/>
      <c r="G54" s="125">
        <f t="shared" si="6"/>
        <v>20008.89</v>
      </c>
      <c r="H54" s="125"/>
      <c r="I54" s="282"/>
      <c r="J54" s="1584">
        <v>43861</v>
      </c>
      <c r="K54" s="240"/>
      <c r="L54" s="344" t="str">
        <f t="shared" si="0"/>
        <v/>
      </c>
      <c r="N54" s="240"/>
      <c r="P54" s="14" t="str">
        <f t="shared" si="7"/>
        <v>FP-312009</v>
      </c>
      <c r="Q54" s="240">
        <v>20008.89</v>
      </c>
      <c r="R54" s="240">
        <f t="shared" si="8"/>
        <v>20008.89</v>
      </c>
      <c r="V54" s="240">
        <v>0</v>
      </c>
      <c r="W54" s="240">
        <f t="shared" si="4"/>
        <v>0</v>
      </c>
      <c r="X54" s="240"/>
      <c r="AA54" s="240"/>
    </row>
    <row r="55" spans="1:27">
      <c r="A55" s="15">
        <v>49</v>
      </c>
      <c r="B55" s="126" t="s">
        <v>753</v>
      </c>
      <c r="C55" s="126" t="s">
        <v>2285</v>
      </c>
      <c r="D55" s="124">
        <v>376.2</v>
      </c>
      <c r="E55" s="128">
        <v>179168.59</v>
      </c>
      <c r="F55" s="126"/>
      <c r="G55" s="125">
        <f t="shared" si="6"/>
        <v>179168.59</v>
      </c>
      <c r="H55" s="125"/>
      <c r="I55" s="282" t="s">
        <v>777</v>
      </c>
      <c r="J55" s="1584">
        <v>44196</v>
      </c>
      <c r="K55" s="240"/>
      <c r="L55" s="344" t="str">
        <f t="shared" si="0"/>
        <v/>
      </c>
      <c r="P55" s="14" t="str">
        <f t="shared" si="7"/>
        <v>FP-316027</v>
      </c>
      <c r="Q55" s="240">
        <v>179168.59</v>
      </c>
      <c r="R55" s="240">
        <f t="shared" si="8"/>
        <v>179168.59</v>
      </c>
      <c r="V55" s="240">
        <v>0</v>
      </c>
      <c r="W55" s="240">
        <f t="shared" si="4"/>
        <v>0</v>
      </c>
      <c r="X55" s="240"/>
      <c r="AA55" s="240"/>
    </row>
    <row r="56" spans="1:27">
      <c r="A56" s="15">
        <v>50</v>
      </c>
      <c r="B56" s="126" t="s">
        <v>753</v>
      </c>
      <c r="C56" s="126" t="s">
        <v>2286</v>
      </c>
      <c r="D56" s="124">
        <v>376.2</v>
      </c>
      <c r="E56" s="128">
        <v>239545.87</v>
      </c>
      <c r="F56" s="126"/>
      <c r="G56" s="125">
        <f t="shared" si="6"/>
        <v>239545.87</v>
      </c>
      <c r="H56" s="125"/>
      <c r="I56" s="282" t="s">
        <v>777</v>
      </c>
      <c r="J56" s="1584">
        <v>44196</v>
      </c>
      <c r="K56" s="240"/>
      <c r="L56" s="344" t="str">
        <f t="shared" si="0"/>
        <v/>
      </c>
      <c r="P56" s="14" t="str">
        <f t="shared" si="7"/>
        <v>FP-316033</v>
      </c>
      <c r="Q56" s="240">
        <v>239545.87</v>
      </c>
      <c r="R56" s="240">
        <f t="shared" si="8"/>
        <v>239545.87</v>
      </c>
      <c r="V56" s="240">
        <v>0</v>
      </c>
      <c r="W56" s="240">
        <f t="shared" si="4"/>
        <v>0</v>
      </c>
      <c r="X56" s="240"/>
      <c r="AA56" s="240"/>
    </row>
    <row r="57" spans="1:27">
      <c r="A57" s="15">
        <v>51</v>
      </c>
      <c r="B57" s="126" t="s">
        <v>753</v>
      </c>
      <c r="C57" s="126" t="s">
        <v>1961</v>
      </c>
      <c r="D57" s="124">
        <v>376.2</v>
      </c>
      <c r="E57" s="128">
        <v>112657.85</v>
      </c>
      <c r="F57" s="126"/>
      <c r="G57" s="125">
        <f t="shared" si="6"/>
        <v>112657.85</v>
      </c>
      <c r="H57" s="125"/>
      <c r="I57" s="282"/>
      <c r="J57" s="1584">
        <v>44165</v>
      </c>
      <c r="K57" s="240"/>
      <c r="L57" s="344" t="str">
        <f t="shared" si="0"/>
        <v/>
      </c>
      <c r="P57" s="14" t="str">
        <f t="shared" si="7"/>
        <v>FP-316034</v>
      </c>
      <c r="Q57" s="240">
        <v>112657.85</v>
      </c>
      <c r="R57" s="240">
        <f t="shared" si="8"/>
        <v>112657.85</v>
      </c>
      <c r="V57" s="240">
        <v>0</v>
      </c>
      <c r="W57" s="240">
        <f t="shared" si="4"/>
        <v>0</v>
      </c>
      <c r="X57" s="240"/>
      <c r="AA57" s="240"/>
    </row>
    <row r="58" spans="1:27">
      <c r="A58" s="15">
        <v>52</v>
      </c>
      <c r="B58" s="126" t="s">
        <v>753</v>
      </c>
      <c r="C58" s="126" t="s">
        <v>2287</v>
      </c>
      <c r="D58" s="124">
        <v>376.2</v>
      </c>
      <c r="E58" s="128">
        <v>1321132.3500000001</v>
      </c>
      <c r="F58" s="126"/>
      <c r="G58" s="125">
        <f t="shared" si="6"/>
        <v>1321132.3500000001</v>
      </c>
      <c r="H58" s="125"/>
      <c r="I58" s="282" t="s">
        <v>777</v>
      </c>
      <c r="J58" s="1584">
        <v>44196</v>
      </c>
      <c r="K58" s="240"/>
      <c r="L58" s="344" t="str">
        <f t="shared" si="0"/>
        <v/>
      </c>
      <c r="P58" s="14" t="str">
        <f t="shared" si="7"/>
        <v>FP-316035</v>
      </c>
      <c r="Q58" s="240">
        <v>1321132.3500000001</v>
      </c>
      <c r="R58" s="240">
        <f t="shared" si="8"/>
        <v>1321132.3500000001</v>
      </c>
      <c r="V58" s="240">
        <v>0</v>
      </c>
      <c r="W58" s="240">
        <f t="shared" si="4"/>
        <v>0</v>
      </c>
      <c r="X58" s="240"/>
      <c r="AA58" s="240"/>
    </row>
    <row r="59" spans="1:27">
      <c r="A59" s="15">
        <v>53</v>
      </c>
      <c r="B59" s="126" t="s">
        <v>753</v>
      </c>
      <c r="C59" s="126" t="s">
        <v>2288</v>
      </c>
      <c r="D59" s="124">
        <v>376.2</v>
      </c>
      <c r="E59" s="128">
        <v>588710.21</v>
      </c>
      <c r="F59" s="126"/>
      <c r="G59" s="125">
        <f t="shared" si="6"/>
        <v>588710.21</v>
      </c>
      <c r="H59" s="125"/>
      <c r="I59" s="282"/>
      <c r="J59" s="1584">
        <v>44166</v>
      </c>
      <c r="K59" s="240"/>
      <c r="L59" s="344" t="str">
        <f t="shared" si="0"/>
        <v/>
      </c>
      <c r="P59" s="14" t="str">
        <f t="shared" si="7"/>
        <v>FP-316043</v>
      </c>
      <c r="Q59" s="240">
        <v>588710.21</v>
      </c>
      <c r="R59" s="240">
        <f t="shared" si="8"/>
        <v>588710.21</v>
      </c>
      <c r="V59" s="240">
        <v>0</v>
      </c>
      <c r="W59" s="240">
        <f t="shared" si="4"/>
        <v>0</v>
      </c>
      <c r="X59" s="240"/>
      <c r="AA59" s="240"/>
    </row>
    <row r="60" spans="1:27">
      <c r="A60" s="15">
        <v>54</v>
      </c>
      <c r="B60" s="126" t="s">
        <v>753</v>
      </c>
      <c r="C60" s="126" t="s">
        <v>2289</v>
      </c>
      <c r="D60" s="124">
        <v>376.2</v>
      </c>
      <c r="E60" s="128">
        <v>1714110.95</v>
      </c>
      <c r="F60" s="126"/>
      <c r="G60" s="125">
        <f t="shared" si="6"/>
        <v>1714110.95</v>
      </c>
      <c r="H60" s="125"/>
      <c r="I60" s="282" t="s">
        <v>777</v>
      </c>
      <c r="J60" s="1584">
        <v>44196</v>
      </c>
      <c r="K60" s="240"/>
      <c r="L60" s="344" t="str">
        <f t="shared" si="0"/>
        <v/>
      </c>
      <c r="P60" s="14" t="str">
        <f t="shared" si="7"/>
        <v>FP-316044</v>
      </c>
      <c r="Q60" s="240">
        <v>1714110.95</v>
      </c>
      <c r="R60" s="240">
        <f t="shared" si="8"/>
        <v>1714110.95</v>
      </c>
      <c r="V60" s="240">
        <v>0</v>
      </c>
      <c r="W60" s="240">
        <f t="shared" si="4"/>
        <v>0</v>
      </c>
      <c r="X60" s="240"/>
      <c r="AA60" s="240"/>
    </row>
    <row r="61" spans="1:27">
      <c r="A61" s="15">
        <v>55</v>
      </c>
      <c r="B61" s="126" t="s">
        <v>753</v>
      </c>
      <c r="C61" s="126" t="s">
        <v>1962</v>
      </c>
      <c r="D61" s="124">
        <v>376.2</v>
      </c>
      <c r="E61" s="128">
        <v>490462.48</v>
      </c>
      <c r="F61" s="126"/>
      <c r="G61" s="125">
        <f t="shared" si="6"/>
        <v>490462.48</v>
      </c>
      <c r="H61" s="125"/>
      <c r="I61" s="282"/>
      <c r="J61" s="1584">
        <v>44042</v>
      </c>
      <c r="K61" s="240"/>
      <c r="L61" s="344" t="str">
        <f t="shared" si="0"/>
        <v/>
      </c>
      <c r="P61" s="14" t="str">
        <f t="shared" si="7"/>
        <v>FP-316046</v>
      </c>
      <c r="Q61" s="240">
        <v>490462.48</v>
      </c>
      <c r="R61" s="240">
        <f t="shared" si="8"/>
        <v>490462.48</v>
      </c>
      <c r="V61" s="240">
        <v>0</v>
      </c>
      <c r="W61" s="240">
        <f t="shared" si="4"/>
        <v>0</v>
      </c>
      <c r="X61" s="240"/>
      <c r="AA61" s="240"/>
    </row>
    <row r="62" spans="1:27">
      <c r="A62" s="15">
        <v>56</v>
      </c>
      <c r="B62" s="126" t="s">
        <v>753</v>
      </c>
      <c r="C62" s="126" t="s">
        <v>1972</v>
      </c>
      <c r="D62" s="124">
        <v>378</v>
      </c>
      <c r="E62" s="128">
        <v>17894.23</v>
      </c>
      <c r="F62" s="345"/>
      <c r="G62" s="125">
        <f t="shared" si="6"/>
        <v>17894.23</v>
      </c>
      <c r="H62" s="125"/>
      <c r="I62" s="282"/>
      <c r="J62" s="1584">
        <v>43951</v>
      </c>
      <c r="K62" s="240"/>
      <c r="L62" s="344" t="str">
        <f t="shared" si="0"/>
        <v/>
      </c>
      <c r="P62" s="14" t="str">
        <f t="shared" si="7"/>
        <v>FP-316146</v>
      </c>
      <c r="Q62" s="240">
        <v>17894.23</v>
      </c>
      <c r="R62" s="240">
        <f t="shared" si="8"/>
        <v>17894.23</v>
      </c>
      <c r="V62" s="240">
        <v>0</v>
      </c>
      <c r="W62" s="240">
        <f t="shared" si="4"/>
        <v>0</v>
      </c>
      <c r="X62" s="240"/>
      <c r="AA62" s="240"/>
    </row>
    <row r="63" spans="1:27">
      <c r="A63" s="15">
        <v>57</v>
      </c>
      <c r="B63" s="126" t="s">
        <v>753</v>
      </c>
      <c r="C63" s="126" t="s">
        <v>2290</v>
      </c>
      <c r="D63" s="124">
        <v>376.1</v>
      </c>
      <c r="E63" s="128">
        <v>517249.44</v>
      </c>
      <c r="F63" s="345"/>
      <c r="G63" s="125">
        <f t="shared" si="6"/>
        <v>517249.44</v>
      </c>
      <c r="H63" s="125"/>
      <c r="I63" s="282" t="s">
        <v>777</v>
      </c>
      <c r="J63" s="1584">
        <v>44166</v>
      </c>
      <c r="K63" s="240"/>
      <c r="L63" s="344" t="str">
        <f t="shared" si="0"/>
        <v/>
      </c>
      <c r="P63" s="14" t="str">
        <f t="shared" si="7"/>
        <v>FP-316403</v>
      </c>
      <c r="Q63" s="240">
        <v>517249.44</v>
      </c>
      <c r="R63" s="240">
        <f t="shared" si="8"/>
        <v>517249.44</v>
      </c>
      <c r="V63" s="240">
        <v>0</v>
      </c>
      <c r="W63" s="240">
        <f t="shared" si="4"/>
        <v>0</v>
      </c>
      <c r="X63" s="240"/>
      <c r="AA63" s="240"/>
    </row>
    <row r="64" spans="1:27">
      <c r="A64" s="15">
        <v>58</v>
      </c>
      <c r="B64" s="126" t="s">
        <v>753</v>
      </c>
      <c r="C64" s="126" t="s">
        <v>1263</v>
      </c>
      <c r="D64" s="124">
        <v>376.2</v>
      </c>
      <c r="E64" s="128">
        <v>4257740</v>
      </c>
      <c r="F64" s="126"/>
      <c r="G64" s="125">
        <f t="shared" si="6"/>
        <v>4257740</v>
      </c>
      <c r="H64" s="125">
        <f>IF($T$12=$V$7, V64, W64)</f>
        <v>0</v>
      </c>
      <c r="I64" s="282">
        <v>5</v>
      </c>
      <c r="J64" s="1580">
        <v>44439</v>
      </c>
      <c r="K64" s="125">
        <f>G64</f>
        <v>4257740</v>
      </c>
      <c r="L64" s="344" t="str">
        <f t="shared" si="0"/>
        <v>N/A</v>
      </c>
      <c r="P64" s="1617" t="str">
        <f t="shared" si="7"/>
        <v>FP-316429</v>
      </c>
      <c r="Q64" s="240">
        <v>4257740</v>
      </c>
      <c r="R64" s="240">
        <f t="shared" ref="R64:R95" si="9">IFERROR(VLOOKUP(P64,$M$8:$N$27,2,FALSE), Q64)</f>
        <v>4257740</v>
      </c>
      <c r="V64" s="240">
        <v>4257740</v>
      </c>
      <c r="W64" s="240">
        <f t="shared" si="4"/>
        <v>0</v>
      </c>
      <c r="X64" s="240"/>
      <c r="AA64" s="240"/>
    </row>
    <row r="65" spans="1:27">
      <c r="A65" s="15">
        <v>59</v>
      </c>
      <c r="B65" s="126" t="s">
        <v>753</v>
      </c>
      <c r="C65" s="126" t="s">
        <v>2291</v>
      </c>
      <c r="D65" s="124">
        <v>376.2</v>
      </c>
      <c r="E65" s="128">
        <v>3462856.75</v>
      </c>
      <c r="F65" s="126"/>
      <c r="G65" s="125">
        <f t="shared" si="6"/>
        <v>3462856.75</v>
      </c>
      <c r="H65" s="125"/>
      <c r="I65" s="282" t="s">
        <v>777</v>
      </c>
      <c r="J65" s="1581">
        <v>44165</v>
      </c>
      <c r="K65" s="240"/>
      <c r="L65" s="344" t="str">
        <f t="shared" si="0"/>
        <v/>
      </c>
      <c r="P65" s="14" t="str">
        <f t="shared" si="7"/>
        <v>FP-316570</v>
      </c>
      <c r="Q65" s="240">
        <v>3462856.75</v>
      </c>
      <c r="R65" s="240">
        <f t="shared" si="9"/>
        <v>3462856.75</v>
      </c>
      <c r="V65" s="240">
        <v>0</v>
      </c>
      <c r="W65" s="240">
        <f t="shared" si="4"/>
        <v>0</v>
      </c>
      <c r="X65" s="240"/>
    </row>
    <row r="66" spans="1:27">
      <c r="A66" s="15">
        <v>60</v>
      </c>
      <c r="B66" s="126" t="s">
        <v>753</v>
      </c>
      <c r="C66" s="126" t="s">
        <v>2292</v>
      </c>
      <c r="D66" s="124">
        <v>376.2</v>
      </c>
      <c r="E66" s="128">
        <v>1079817.45</v>
      </c>
      <c r="F66" s="126"/>
      <c r="G66" s="125">
        <f t="shared" si="6"/>
        <v>1079817.45</v>
      </c>
      <c r="H66" s="125"/>
      <c r="I66" s="282" t="s">
        <v>777</v>
      </c>
      <c r="J66" s="1581">
        <v>44196</v>
      </c>
      <c r="K66" s="240"/>
      <c r="L66" s="344" t="str">
        <f t="shared" si="0"/>
        <v/>
      </c>
      <c r="P66" s="14" t="str">
        <f t="shared" si="7"/>
        <v>FP-316580</v>
      </c>
      <c r="Q66" s="240">
        <v>1079817.45</v>
      </c>
      <c r="R66" s="240">
        <f t="shared" si="9"/>
        <v>1079817.45</v>
      </c>
      <c r="V66" s="240">
        <v>0</v>
      </c>
      <c r="W66" s="240">
        <f t="shared" si="4"/>
        <v>0</v>
      </c>
      <c r="X66" s="240"/>
      <c r="AA66" s="240"/>
    </row>
    <row r="67" spans="1:27">
      <c r="A67" s="15">
        <v>61</v>
      </c>
      <c r="B67" s="126" t="s">
        <v>753</v>
      </c>
      <c r="C67" s="126" t="s">
        <v>1967</v>
      </c>
      <c r="D67" s="124">
        <v>378</v>
      </c>
      <c r="E67" s="128">
        <v>1015615.47</v>
      </c>
      <c r="F67" s="126"/>
      <c r="G67" s="125">
        <f t="shared" si="6"/>
        <v>1015615.47</v>
      </c>
      <c r="H67" s="125">
        <f>IF($T$12=$V$7, V67, W67)</f>
        <v>1043390.01</v>
      </c>
      <c r="I67" s="282">
        <v>6</v>
      </c>
      <c r="J67" s="1580">
        <v>44043</v>
      </c>
      <c r="K67" s="125">
        <f>G67</f>
        <v>1015615.47</v>
      </c>
      <c r="L67" s="344">
        <f t="shared" si="0"/>
        <v>44043</v>
      </c>
      <c r="P67" s="1617" t="str">
        <f t="shared" si="7"/>
        <v>FP-316586</v>
      </c>
      <c r="Q67" s="240">
        <v>1015615.47</v>
      </c>
      <c r="R67" s="240">
        <f t="shared" si="9"/>
        <v>1015615.47</v>
      </c>
      <c r="V67" s="240">
        <v>1015615.47</v>
      </c>
      <c r="W67" s="240">
        <f t="shared" si="4"/>
        <v>1043390.01</v>
      </c>
      <c r="X67" s="240"/>
    </row>
    <row r="68" spans="1:27">
      <c r="A68" s="15">
        <v>62</v>
      </c>
      <c r="B68" s="126" t="s">
        <v>753</v>
      </c>
      <c r="C68" s="126" t="s">
        <v>1966</v>
      </c>
      <c r="D68" s="124">
        <v>378</v>
      </c>
      <c r="E68" s="128">
        <v>1308260.44</v>
      </c>
      <c r="F68" s="126"/>
      <c r="G68" s="125">
        <f t="shared" si="6"/>
        <v>1308260.44</v>
      </c>
      <c r="H68" s="125">
        <f>IF($T$12=$V$7, V68, W68)</f>
        <v>0</v>
      </c>
      <c r="I68" s="282">
        <v>7</v>
      </c>
      <c r="J68" s="1580">
        <v>44188</v>
      </c>
      <c r="K68" s="125">
        <f>G68</f>
        <v>1308260.44</v>
      </c>
      <c r="L68" s="344">
        <f t="shared" si="0"/>
        <v>44194</v>
      </c>
      <c r="N68" s="240"/>
      <c r="P68" s="1617" t="str">
        <f t="shared" si="7"/>
        <v>FP-316587</v>
      </c>
      <c r="Q68" s="240">
        <v>1308260.44</v>
      </c>
      <c r="R68" s="240">
        <f t="shared" si="9"/>
        <v>1308260.44</v>
      </c>
      <c r="V68" s="240">
        <v>1308260.44</v>
      </c>
      <c r="W68" s="240">
        <f t="shared" si="4"/>
        <v>0</v>
      </c>
      <c r="X68" s="240"/>
    </row>
    <row r="69" spans="1:27">
      <c r="A69" s="15">
        <v>63</v>
      </c>
      <c r="B69" s="126" t="s">
        <v>753</v>
      </c>
      <c r="C69" s="126" t="s">
        <v>1973</v>
      </c>
      <c r="D69" s="124">
        <v>378</v>
      </c>
      <c r="E69" s="128">
        <v>1160244.8899999999</v>
      </c>
      <c r="F69" s="126"/>
      <c r="G69" s="125">
        <f t="shared" si="6"/>
        <v>1160244.8899999999</v>
      </c>
      <c r="H69" s="125">
        <f>IF($T$12=$V$7, V69, W69)</f>
        <v>0</v>
      </c>
      <c r="I69" s="282">
        <v>8</v>
      </c>
      <c r="J69" s="1585">
        <v>44175</v>
      </c>
      <c r="K69" s="125">
        <f>G69</f>
        <v>1160244.8899999999</v>
      </c>
      <c r="L69" s="344">
        <f t="shared" si="0"/>
        <v>44175</v>
      </c>
      <c r="M69" s="240"/>
      <c r="P69" s="1617" t="str">
        <f t="shared" si="7"/>
        <v>FP-316589</v>
      </c>
      <c r="Q69" s="240">
        <v>1160244.8899999999</v>
      </c>
      <c r="R69" s="240">
        <f t="shared" si="9"/>
        <v>1160244.8899999999</v>
      </c>
      <c r="V69" s="240">
        <v>1160244.8899999999</v>
      </c>
      <c r="W69" s="240">
        <f t="shared" si="4"/>
        <v>0</v>
      </c>
      <c r="X69" s="240"/>
    </row>
    <row r="70" spans="1:27">
      <c r="A70" s="15">
        <v>64</v>
      </c>
      <c r="B70" s="126" t="s">
        <v>753</v>
      </c>
      <c r="C70" s="126" t="s">
        <v>1264</v>
      </c>
      <c r="D70" s="124">
        <v>376.2</v>
      </c>
      <c r="E70" s="128">
        <v>9795152</v>
      </c>
      <c r="F70" s="126"/>
      <c r="G70" s="125">
        <f t="shared" si="6"/>
        <v>9795152</v>
      </c>
      <c r="H70" s="125">
        <f>IF($T$12=$V$7, V70, W70)</f>
        <v>0</v>
      </c>
      <c r="I70" s="282">
        <v>9</v>
      </c>
      <c r="J70" s="1580">
        <v>44188</v>
      </c>
      <c r="K70" s="125">
        <f>G70</f>
        <v>9795152</v>
      </c>
      <c r="L70" s="344">
        <f t="shared" si="0"/>
        <v>44194</v>
      </c>
      <c r="P70" s="1617" t="str">
        <f t="shared" si="7"/>
        <v>FP-316670</v>
      </c>
      <c r="Q70" s="240">
        <v>9795152</v>
      </c>
      <c r="R70" s="240">
        <f t="shared" si="9"/>
        <v>9795152</v>
      </c>
      <c r="V70" s="240">
        <v>9795152</v>
      </c>
      <c r="W70" s="240">
        <f t="shared" si="4"/>
        <v>0</v>
      </c>
      <c r="X70" s="240"/>
    </row>
    <row r="71" spans="1:27">
      <c r="A71" s="15">
        <v>65</v>
      </c>
      <c r="B71" s="126" t="s">
        <v>753</v>
      </c>
      <c r="C71" s="126" t="s">
        <v>1965</v>
      </c>
      <c r="D71" s="124">
        <v>378</v>
      </c>
      <c r="E71" s="128">
        <v>77932.33</v>
      </c>
      <c r="F71" s="126"/>
      <c r="G71" s="125">
        <f t="shared" si="6"/>
        <v>77932.33</v>
      </c>
      <c r="H71" s="125"/>
      <c r="I71" s="282"/>
      <c r="J71" s="1584">
        <v>43860</v>
      </c>
      <c r="K71" s="240"/>
      <c r="L71" s="344" t="str">
        <f t="shared" si="0"/>
        <v/>
      </c>
      <c r="M71" s="240"/>
      <c r="P71" s="14" t="str">
        <f t="shared" si="7"/>
        <v>FP-316822</v>
      </c>
      <c r="Q71" s="240">
        <v>77932.33</v>
      </c>
      <c r="R71" s="240">
        <f t="shared" si="9"/>
        <v>77932.33</v>
      </c>
      <c r="V71" s="240">
        <v>0</v>
      </c>
      <c r="W71" s="240">
        <f t="shared" si="4"/>
        <v>0</v>
      </c>
      <c r="X71" s="240"/>
    </row>
    <row r="72" spans="1:27">
      <c r="A72" s="15">
        <v>66</v>
      </c>
      <c r="B72" s="126" t="s">
        <v>753</v>
      </c>
      <c r="C72" s="126" t="s">
        <v>1964</v>
      </c>
      <c r="D72" s="124">
        <v>378</v>
      </c>
      <c r="E72" s="128">
        <v>77959.740000000005</v>
      </c>
      <c r="F72" s="126"/>
      <c r="G72" s="125">
        <f t="shared" si="6"/>
        <v>77959.740000000005</v>
      </c>
      <c r="H72" s="125"/>
      <c r="I72" s="282"/>
      <c r="J72" s="1584">
        <v>43860</v>
      </c>
      <c r="K72" s="240"/>
      <c r="L72" s="344" t="str">
        <f t="shared" si="0"/>
        <v/>
      </c>
      <c r="P72" s="14" t="str">
        <f t="shared" si="7"/>
        <v>FP-316823</v>
      </c>
      <c r="Q72" s="240">
        <v>77959.740000000005</v>
      </c>
      <c r="R72" s="240">
        <f t="shared" si="9"/>
        <v>77959.740000000005</v>
      </c>
      <c r="V72" s="240">
        <v>0</v>
      </c>
      <c r="W72" s="240">
        <f t="shared" si="4"/>
        <v>0</v>
      </c>
      <c r="X72" s="240"/>
    </row>
    <row r="73" spans="1:27">
      <c r="A73" s="15">
        <v>67</v>
      </c>
      <c r="B73" s="126" t="s">
        <v>753</v>
      </c>
      <c r="C73" s="14" t="s">
        <v>2340</v>
      </c>
      <c r="D73" s="124">
        <v>367.1</v>
      </c>
      <c r="E73" s="128">
        <v>2438636.9300000002</v>
      </c>
      <c r="F73" s="126"/>
      <c r="G73" s="125">
        <f t="shared" si="6"/>
        <v>2438636.9300000002</v>
      </c>
      <c r="H73" s="125"/>
      <c r="I73" s="282" t="s">
        <v>777</v>
      </c>
      <c r="J73" s="1584">
        <v>44165</v>
      </c>
      <c r="K73" s="240"/>
      <c r="L73" s="344" t="str">
        <f t="shared" ref="L73:L136" si="10">IFERROR(VLOOKUP(P73, $Z$8:$AB$33, 3, FALSE), "")</f>
        <v/>
      </c>
      <c r="P73" s="14" t="str">
        <f t="shared" si="7"/>
        <v>FP-316923</v>
      </c>
      <c r="Q73" s="240">
        <v>2438636.9300000002</v>
      </c>
      <c r="R73" s="240">
        <f t="shared" si="9"/>
        <v>2438636.9300000002</v>
      </c>
      <c r="V73" s="240">
        <v>0</v>
      </c>
      <c r="W73" s="240">
        <f t="shared" ref="W73:W136" si="11">IFERROR(VLOOKUP(P73,$Z$8:$AA$33,2,FALSE), V73)</f>
        <v>0</v>
      </c>
      <c r="X73" s="240"/>
    </row>
    <row r="74" spans="1:27">
      <c r="A74" s="15">
        <v>68</v>
      </c>
      <c r="B74" s="126" t="s">
        <v>753</v>
      </c>
      <c r="C74" s="14" t="s">
        <v>1963</v>
      </c>
      <c r="D74" s="124">
        <v>376.2</v>
      </c>
      <c r="E74" s="128">
        <v>1526471.05</v>
      </c>
      <c r="F74" s="126"/>
      <c r="G74" s="125">
        <f t="shared" si="6"/>
        <v>1526471.05</v>
      </c>
      <c r="H74" s="125">
        <f>IF($T$12=$V$7, V74, W74)</f>
        <v>1584349.9</v>
      </c>
      <c r="I74" s="282">
        <v>10</v>
      </c>
      <c r="J74" s="1580">
        <v>43853</v>
      </c>
      <c r="K74" s="125">
        <f>G74</f>
        <v>1526471.05</v>
      </c>
      <c r="L74" s="344">
        <f t="shared" si="10"/>
        <v>43853</v>
      </c>
      <c r="P74" s="1617" t="str">
        <f t="shared" si="7"/>
        <v>FP-317060</v>
      </c>
      <c r="Q74" s="240">
        <v>1526471.05</v>
      </c>
      <c r="R74" s="240">
        <f t="shared" si="9"/>
        <v>1526471.05</v>
      </c>
      <c r="V74" s="240">
        <v>1526471.05</v>
      </c>
      <c r="W74" s="240">
        <f t="shared" si="11"/>
        <v>1584349.9</v>
      </c>
      <c r="X74" s="240"/>
    </row>
    <row r="75" spans="1:27">
      <c r="A75" s="15">
        <v>69</v>
      </c>
      <c r="B75" s="126" t="s">
        <v>753</v>
      </c>
      <c r="C75" s="14" t="s">
        <v>1974</v>
      </c>
      <c r="D75" s="124">
        <v>376.3</v>
      </c>
      <c r="E75" s="128">
        <v>441993.69</v>
      </c>
      <c r="F75" s="126"/>
      <c r="G75" s="125">
        <f t="shared" si="6"/>
        <v>441993.69</v>
      </c>
      <c r="H75" s="125"/>
      <c r="I75" s="282" t="s">
        <v>777</v>
      </c>
      <c r="J75" s="1581">
        <v>43920</v>
      </c>
      <c r="K75" s="240"/>
      <c r="L75" s="344" t="str">
        <f t="shared" si="10"/>
        <v/>
      </c>
      <c r="P75" s="14" t="str">
        <f t="shared" si="7"/>
        <v>FP-317519</v>
      </c>
      <c r="Q75" s="240">
        <v>441993.69</v>
      </c>
      <c r="R75" s="240">
        <f t="shared" si="9"/>
        <v>441993.69</v>
      </c>
      <c r="V75" s="240">
        <v>0</v>
      </c>
      <c r="W75" s="240">
        <f t="shared" si="11"/>
        <v>0</v>
      </c>
      <c r="X75" s="240"/>
    </row>
    <row r="76" spans="1:27">
      <c r="A76" s="15">
        <v>70</v>
      </c>
      <c r="B76" s="126" t="s">
        <v>753</v>
      </c>
      <c r="C76" s="14" t="s">
        <v>1975</v>
      </c>
      <c r="D76" s="124">
        <v>380.3</v>
      </c>
      <c r="E76" s="128">
        <v>100949.38</v>
      </c>
      <c r="F76" s="126"/>
      <c r="G76" s="125">
        <f t="shared" si="6"/>
        <v>100949.38</v>
      </c>
      <c r="H76" s="125"/>
      <c r="I76" s="282" t="s">
        <v>777</v>
      </c>
      <c r="J76" s="1581">
        <v>43920</v>
      </c>
      <c r="K76" s="240"/>
      <c r="L76" s="344" t="str">
        <f t="shared" si="10"/>
        <v/>
      </c>
      <c r="P76" s="14" t="str">
        <f t="shared" si="7"/>
        <v>FP-317528</v>
      </c>
      <c r="Q76" s="240">
        <v>100949.38</v>
      </c>
      <c r="R76" s="240">
        <f t="shared" si="9"/>
        <v>100949.38</v>
      </c>
      <c r="V76" s="240">
        <v>0</v>
      </c>
      <c r="W76" s="240">
        <f t="shared" si="11"/>
        <v>0</v>
      </c>
      <c r="X76" s="240"/>
    </row>
    <row r="77" spans="1:27">
      <c r="A77" s="15">
        <v>71</v>
      </c>
      <c r="B77" s="126" t="s">
        <v>753</v>
      </c>
      <c r="C77" s="14" t="s">
        <v>1976</v>
      </c>
      <c r="D77" s="124">
        <v>378</v>
      </c>
      <c r="E77" s="128">
        <v>136928</v>
      </c>
      <c r="F77" s="126"/>
      <c r="G77" s="125">
        <f t="shared" si="6"/>
        <v>136928</v>
      </c>
      <c r="H77" s="125">
        <f>IF($T$12=$V$7, V77, W77)</f>
        <v>0</v>
      </c>
      <c r="I77" s="282">
        <v>12</v>
      </c>
      <c r="J77" s="1580">
        <v>44188</v>
      </c>
      <c r="K77" s="125">
        <f>G77</f>
        <v>136928</v>
      </c>
      <c r="L77" s="344" t="str">
        <f t="shared" si="10"/>
        <v>N/A</v>
      </c>
      <c r="P77" s="1617" t="str">
        <f t="shared" si="7"/>
        <v>FP-317535</v>
      </c>
      <c r="Q77" s="240">
        <v>136928</v>
      </c>
      <c r="R77" s="240">
        <f t="shared" si="9"/>
        <v>136928</v>
      </c>
      <c r="V77" s="240">
        <v>136928</v>
      </c>
      <c r="W77" s="240">
        <f t="shared" si="11"/>
        <v>0</v>
      </c>
      <c r="X77" s="240"/>
    </row>
    <row r="78" spans="1:27">
      <c r="A78" s="15">
        <v>72</v>
      </c>
      <c r="B78" s="126" t="s">
        <v>753</v>
      </c>
      <c r="C78" s="14" t="s">
        <v>1977</v>
      </c>
      <c r="D78" s="124">
        <v>378</v>
      </c>
      <c r="E78" s="128">
        <v>324.69</v>
      </c>
      <c r="F78" s="126"/>
      <c r="G78" s="125">
        <f t="shared" si="6"/>
        <v>324.69</v>
      </c>
      <c r="H78" s="125"/>
      <c r="I78" s="282"/>
      <c r="J78" s="1581">
        <v>44012</v>
      </c>
      <c r="K78" s="240"/>
      <c r="L78" s="344" t="str">
        <f t="shared" si="10"/>
        <v/>
      </c>
      <c r="P78" s="14" t="str">
        <f t="shared" si="7"/>
        <v>FP-317609</v>
      </c>
      <c r="Q78" s="240">
        <v>324.69</v>
      </c>
      <c r="R78" s="240">
        <f t="shared" si="9"/>
        <v>324.69</v>
      </c>
      <c r="V78" s="240">
        <v>0</v>
      </c>
      <c r="W78" s="240">
        <f t="shared" si="11"/>
        <v>0</v>
      </c>
      <c r="X78" s="240"/>
    </row>
    <row r="79" spans="1:27">
      <c r="A79" s="15">
        <v>73</v>
      </c>
      <c r="B79" s="126" t="s">
        <v>753</v>
      </c>
      <c r="C79" s="14" t="s">
        <v>2346</v>
      </c>
      <c r="D79" s="124">
        <v>376.3</v>
      </c>
      <c r="E79" s="128">
        <v>639913.04</v>
      </c>
      <c r="F79" s="126"/>
      <c r="G79" s="125">
        <f t="shared" si="6"/>
        <v>0</v>
      </c>
      <c r="H79" s="125">
        <f>IF($T$8=$Q$7, Q79, R79)</f>
        <v>0</v>
      </c>
      <c r="I79" s="282">
        <v>27</v>
      </c>
      <c r="J79" s="1620">
        <v>44196</v>
      </c>
      <c r="K79" s="240" t="s">
        <v>3264</v>
      </c>
      <c r="L79" s="344" t="str">
        <f t="shared" si="10"/>
        <v/>
      </c>
      <c r="P79" s="1619" t="str">
        <f t="shared" si="7"/>
        <v>FP-317628</v>
      </c>
      <c r="Q79" s="240">
        <v>639913.04</v>
      </c>
      <c r="R79" s="240">
        <f t="shared" si="9"/>
        <v>0</v>
      </c>
      <c r="S79" s="240" t="str">
        <f t="shared" ref="S79:S114" si="12">K79</f>
        <v>Main</v>
      </c>
      <c r="V79" s="240">
        <v>639913.04</v>
      </c>
      <c r="W79" s="240">
        <f t="shared" si="11"/>
        <v>639913.04</v>
      </c>
      <c r="X79" s="240"/>
    </row>
    <row r="80" spans="1:27">
      <c r="A80" s="15">
        <v>74</v>
      </c>
      <c r="B80" s="126" t="s">
        <v>753</v>
      </c>
      <c r="C80" s="14" t="s">
        <v>2347</v>
      </c>
      <c r="D80" s="124">
        <v>376</v>
      </c>
      <c r="E80" s="128">
        <v>122698.76</v>
      </c>
      <c r="F80" s="126"/>
      <c r="G80" s="125">
        <f t="shared" si="6"/>
        <v>122698.76</v>
      </c>
      <c r="H80" s="125"/>
      <c r="I80" s="282"/>
      <c r="J80" s="1581">
        <v>44196</v>
      </c>
      <c r="K80" s="240"/>
      <c r="L80" s="344" t="str">
        <f t="shared" si="10"/>
        <v/>
      </c>
      <c r="P80" s="14" t="str">
        <f t="shared" si="7"/>
        <v>FP-317629</v>
      </c>
      <c r="Q80" s="240">
        <v>122698.76</v>
      </c>
      <c r="R80" s="240">
        <f t="shared" si="9"/>
        <v>122698.76</v>
      </c>
      <c r="S80" s="240"/>
      <c r="V80" s="240">
        <v>0</v>
      </c>
      <c r="W80" s="240">
        <f t="shared" si="11"/>
        <v>0</v>
      </c>
      <c r="X80" s="240"/>
    </row>
    <row r="81" spans="1:24">
      <c r="A81" s="15">
        <v>75</v>
      </c>
      <c r="B81" s="126" t="s">
        <v>753</v>
      </c>
      <c r="C81" s="14" t="s">
        <v>2348</v>
      </c>
      <c r="D81" s="124">
        <v>380.3</v>
      </c>
      <c r="E81" s="128">
        <v>951862.52</v>
      </c>
      <c r="F81" s="126"/>
      <c r="G81" s="125">
        <f t="shared" si="6"/>
        <v>0</v>
      </c>
      <c r="H81" s="125">
        <f>IF($T$8=$Q$7, Q81, R81)</f>
        <v>0</v>
      </c>
      <c r="I81" s="282">
        <v>27</v>
      </c>
      <c r="J81" s="1620">
        <v>44196</v>
      </c>
      <c r="K81" s="240" t="s">
        <v>3265</v>
      </c>
      <c r="L81" s="344" t="str">
        <f t="shared" si="10"/>
        <v/>
      </c>
      <c r="P81" s="1619" t="str">
        <f t="shared" si="7"/>
        <v>FP-317630</v>
      </c>
      <c r="Q81" s="240">
        <v>951862.52</v>
      </c>
      <c r="R81" s="240">
        <f t="shared" si="9"/>
        <v>0</v>
      </c>
      <c r="S81" s="240" t="str">
        <f t="shared" si="12"/>
        <v>Serv</v>
      </c>
      <c r="V81" s="240">
        <v>951862.52</v>
      </c>
      <c r="W81" s="240">
        <f t="shared" si="11"/>
        <v>951862.52</v>
      </c>
      <c r="X81" s="240"/>
    </row>
    <row r="82" spans="1:24">
      <c r="A82" s="15">
        <v>76</v>
      </c>
      <c r="B82" s="126" t="s">
        <v>753</v>
      </c>
      <c r="C82" s="14" t="s">
        <v>2349</v>
      </c>
      <c r="D82" s="124">
        <v>380</v>
      </c>
      <c r="E82" s="128">
        <v>72198.240000000005</v>
      </c>
      <c r="F82" s="126"/>
      <c r="G82" s="125">
        <f t="shared" si="6"/>
        <v>72198.240000000005</v>
      </c>
      <c r="H82" s="125"/>
      <c r="I82" s="282"/>
      <c r="J82" s="1581">
        <v>44196</v>
      </c>
      <c r="K82" s="240"/>
      <c r="L82" s="344" t="str">
        <f t="shared" si="10"/>
        <v/>
      </c>
      <c r="P82" s="14" t="str">
        <f t="shared" si="7"/>
        <v>FP-317631</v>
      </c>
      <c r="Q82" s="240">
        <v>72198.240000000005</v>
      </c>
      <c r="R82" s="240">
        <f t="shared" si="9"/>
        <v>72198.240000000005</v>
      </c>
      <c r="S82" s="240"/>
      <c r="V82" s="240">
        <v>0</v>
      </c>
      <c r="W82" s="240">
        <f t="shared" si="11"/>
        <v>0</v>
      </c>
      <c r="X82" s="240"/>
    </row>
    <row r="83" spans="1:24">
      <c r="A83" s="15">
        <v>77</v>
      </c>
      <c r="B83" s="126" t="s">
        <v>753</v>
      </c>
      <c r="C83" s="14" t="s">
        <v>2350</v>
      </c>
      <c r="D83" s="124">
        <v>376.3</v>
      </c>
      <c r="E83" s="128">
        <v>79311</v>
      </c>
      <c r="F83" s="126"/>
      <c r="G83" s="125">
        <f t="shared" si="6"/>
        <v>0</v>
      </c>
      <c r="H83" s="125">
        <f>IF($T$8=$Q$7, Q83, R83)</f>
        <v>0</v>
      </c>
      <c r="I83" s="282">
        <v>27</v>
      </c>
      <c r="J83" s="1620">
        <v>44196</v>
      </c>
      <c r="K83" s="240" t="s">
        <v>3264</v>
      </c>
      <c r="L83" s="344" t="str">
        <f t="shared" si="10"/>
        <v/>
      </c>
      <c r="P83" s="1619" t="str">
        <f t="shared" si="7"/>
        <v>FP-317632</v>
      </c>
      <c r="Q83" s="240">
        <v>79311</v>
      </c>
      <c r="R83" s="240">
        <f t="shared" si="9"/>
        <v>0</v>
      </c>
      <c r="S83" s="240" t="str">
        <f t="shared" si="12"/>
        <v>Main</v>
      </c>
      <c r="V83" s="240">
        <v>79311</v>
      </c>
      <c r="W83" s="240">
        <f t="shared" si="11"/>
        <v>79311</v>
      </c>
      <c r="X83" s="240"/>
    </row>
    <row r="84" spans="1:24">
      <c r="A84" s="15">
        <v>78</v>
      </c>
      <c r="B84" s="126" t="s">
        <v>753</v>
      </c>
      <c r="C84" s="14" t="s">
        <v>2351</v>
      </c>
      <c r="D84" s="124">
        <v>376</v>
      </c>
      <c r="E84" s="128">
        <v>35499.24</v>
      </c>
      <c r="F84" s="126"/>
      <c r="G84" s="125">
        <f t="shared" si="6"/>
        <v>35499.24</v>
      </c>
      <c r="H84" s="125"/>
      <c r="I84" s="282"/>
      <c r="J84" s="1581">
        <v>44196</v>
      </c>
      <c r="K84" s="240"/>
      <c r="L84" s="344" t="str">
        <f t="shared" si="10"/>
        <v/>
      </c>
      <c r="P84" s="14" t="str">
        <f t="shared" si="7"/>
        <v>FP-317633</v>
      </c>
      <c r="Q84" s="240">
        <v>35499.24</v>
      </c>
      <c r="R84" s="240">
        <f t="shared" si="9"/>
        <v>35499.24</v>
      </c>
      <c r="S84" s="240"/>
      <c r="V84" s="240">
        <v>0</v>
      </c>
      <c r="W84" s="240">
        <f t="shared" si="11"/>
        <v>0</v>
      </c>
      <c r="X84" s="240"/>
    </row>
    <row r="85" spans="1:24">
      <c r="A85" s="15">
        <v>79</v>
      </c>
      <c r="B85" s="126" t="s">
        <v>753</v>
      </c>
      <c r="C85" s="14" t="s">
        <v>2352</v>
      </c>
      <c r="D85" s="124">
        <v>380.3</v>
      </c>
      <c r="E85" s="128">
        <v>133027.99</v>
      </c>
      <c r="F85" s="126"/>
      <c r="G85" s="125">
        <f t="shared" si="6"/>
        <v>0</v>
      </c>
      <c r="H85" s="125">
        <f>IF($T$8=$Q$7, Q85, R85)</f>
        <v>0</v>
      </c>
      <c r="I85" s="282">
        <v>27</v>
      </c>
      <c r="J85" s="1620">
        <v>44196</v>
      </c>
      <c r="K85" s="240" t="s">
        <v>3265</v>
      </c>
      <c r="L85" s="344" t="str">
        <f t="shared" si="10"/>
        <v/>
      </c>
      <c r="P85" s="1619" t="str">
        <f t="shared" si="7"/>
        <v>FP-317634</v>
      </c>
      <c r="Q85" s="240">
        <v>133027.99</v>
      </c>
      <c r="R85" s="240">
        <f t="shared" si="9"/>
        <v>0</v>
      </c>
      <c r="S85" s="240" t="str">
        <f t="shared" si="12"/>
        <v>Serv</v>
      </c>
      <c r="V85" s="240">
        <v>133027.99</v>
      </c>
      <c r="W85" s="240">
        <f t="shared" si="11"/>
        <v>133027.99</v>
      </c>
      <c r="X85" s="240"/>
    </row>
    <row r="86" spans="1:24">
      <c r="A86" s="15">
        <v>80</v>
      </c>
      <c r="B86" s="126" t="s">
        <v>753</v>
      </c>
      <c r="C86" s="14" t="s">
        <v>2353</v>
      </c>
      <c r="D86" s="124">
        <v>380</v>
      </c>
      <c r="E86" s="128">
        <v>75135.570000000007</v>
      </c>
      <c r="F86" s="126"/>
      <c r="G86" s="125">
        <f t="shared" si="6"/>
        <v>75135.570000000007</v>
      </c>
      <c r="H86" s="125"/>
      <c r="I86" s="282"/>
      <c r="J86" s="1581">
        <v>44196</v>
      </c>
      <c r="K86" s="240"/>
      <c r="L86" s="344" t="str">
        <f t="shared" si="10"/>
        <v/>
      </c>
      <c r="P86" s="14" t="str">
        <f t="shared" si="7"/>
        <v>FP-317635</v>
      </c>
      <c r="Q86" s="240">
        <v>75135.570000000007</v>
      </c>
      <c r="R86" s="240">
        <f t="shared" si="9"/>
        <v>75135.570000000007</v>
      </c>
      <c r="S86" s="240"/>
      <c r="V86" s="240">
        <v>0</v>
      </c>
      <c r="W86" s="240">
        <f t="shared" si="11"/>
        <v>0</v>
      </c>
      <c r="X86" s="240"/>
    </row>
    <row r="87" spans="1:24">
      <c r="A87" s="15">
        <v>81</v>
      </c>
      <c r="B87" s="126" t="s">
        <v>753</v>
      </c>
      <c r="C87" s="14" t="s">
        <v>2354</v>
      </c>
      <c r="D87" s="124">
        <v>376.3</v>
      </c>
      <c r="E87" s="128">
        <v>800173.4</v>
      </c>
      <c r="F87" s="126"/>
      <c r="G87" s="125">
        <f t="shared" si="6"/>
        <v>0</v>
      </c>
      <c r="H87" s="125">
        <f>IF($T$8=$Q$7, Q87, R87)</f>
        <v>0</v>
      </c>
      <c r="I87" s="282">
        <v>27</v>
      </c>
      <c r="J87" s="1620">
        <v>44196</v>
      </c>
      <c r="K87" s="240" t="s">
        <v>3264</v>
      </c>
      <c r="L87" s="344" t="str">
        <f t="shared" si="10"/>
        <v/>
      </c>
      <c r="P87" s="1619" t="str">
        <f t="shared" si="7"/>
        <v>FP-317636</v>
      </c>
      <c r="Q87" s="240">
        <v>800173.4</v>
      </c>
      <c r="R87" s="240">
        <f t="shared" si="9"/>
        <v>0</v>
      </c>
      <c r="S87" s="240" t="str">
        <f t="shared" si="12"/>
        <v>Main</v>
      </c>
      <c r="V87" s="240">
        <v>800173.4</v>
      </c>
      <c r="W87" s="240">
        <f t="shared" si="11"/>
        <v>800173.4</v>
      </c>
      <c r="X87" s="240"/>
    </row>
    <row r="88" spans="1:24">
      <c r="A88" s="15">
        <v>82</v>
      </c>
      <c r="B88" s="126" t="s">
        <v>753</v>
      </c>
      <c r="C88" s="14" t="s">
        <v>2355</v>
      </c>
      <c r="D88" s="124">
        <v>376</v>
      </c>
      <c r="E88" s="128">
        <v>270033.86</v>
      </c>
      <c r="F88" s="126"/>
      <c r="G88" s="125">
        <f t="shared" si="6"/>
        <v>270033.86</v>
      </c>
      <c r="H88" s="125"/>
      <c r="I88" s="282"/>
      <c r="J88" s="1581">
        <v>44196</v>
      </c>
      <c r="K88" s="240"/>
      <c r="L88" s="344" t="str">
        <f t="shared" si="10"/>
        <v/>
      </c>
      <c r="M88" s="1619" t="s">
        <v>3139</v>
      </c>
      <c r="N88" s="125">
        <f>SUMIFS($Q$32:$Q$114,$S$32:$S$114, O88, $P$32:$P$114, M88)</f>
        <v>611717</v>
      </c>
      <c r="O88" s="14" t="str">
        <f>VLOOKUP(M88, $P$32:$S$145, 4, FALSE)</f>
        <v>Reg</v>
      </c>
      <c r="P88" s="14" t="str">
        <f t="shared" si="7"/>
        <v>FP-317637</v>
      </c>
      <c r="Q88" s="240">
        <v>270033.86</v>
      </c>
      <c r="R88" s="240">
        <f t="shared" si="9"/>
        <v>270033.86</v>
      </c>
      <c r="S88" s="240"/>
      <c r="V88" s="240">
        <v>0</v>
      </c>
      <c r="W88" s="240">
        <f t="shared" si="11"/>
        <v>0</v>
      </c>
      <c r="X88" s="240"/>
    </row>
    <row r="89" spans="1:24">
      <c r="A89" s="15">
        <v>83</v>
      </c>
      <c r="B89" s="126" t="s">
        <v>753</v>
      </c>
      <c r="C89" s="14" t="s">
        <v>2356</v>
      </c>
      <c r="D89" s="124">
        <v>380.3</v>
      </c>
      <c r="E89" s="128">
        <v>1330260</v>
      </c>
      <c r="F89" s="126"/>
      <c r="G89" s="125">
        <f t="shared" si="6"/>
        <v>0</v>
      </c>
      <c r="H89" s="125">
        <f>IF($T$8=$Q$7, Q89, R89)</f>
        <v>0</v>
      </c>
      <c r="I89" s="282">
        <v>27</v>
      </c>
      <c r="J89" s="1620">
        <v>44196</v>
      </c>
      <c r="K89" s="240" t="s">
        <v>3265</v>
      </c>
      <c r="L89" s="344" t="str">
        <f t="shared" si="10"/>
        <v/>
      </c>
      <c r="M89" s="1619" t="s">
        <v>3140</v>
      </c>
      <c r="N89" s="125">
        <f t="shared" ref="N89:N107" si="13">SUMIFS($Q$32:$Q$114,$S$32:$S$114, O89, $P$32:$P$114, M89)</f>
        <v>2946051.574976</v>
      </c>
      <c r="O89" s="14" t="str">
        <f t="shared" ref="O89:O107" si="14">VLOOKUP(M89, $P$32:$S$145, 4, FALSE)</f>
        <v>Meters</v>
      </c>
      <c r="P89" s="1619" t="str">
        <f t="shared" si="7"/>
        <v>FP-317638</v>
      </c>
      <c r="Q89" s="240">
        <v>1330260</v>
      </c>
      <c r="R89" s="240">
        <f t="shared" si="9"/>
        <v>0</v>
      </c>
      <c r="S89" s="240" t="str">
        <f t="shared" si="12"/>
        <v>Serv</v>
      </c>
      <c r="V89" s="240">
        <v>1330260</v>
      </c>
      <c r="W89" s="240">
        <f t="shared" si="11"/>
        <v>1330260</v>
      </c>
      <c r="X89" s="240"/>
    </row>
    <row r="90" spans="1:24">
      <c r="A90" s="15">
        <v>84</v>
      </c>
      <c r="B90" s="126" t="s">
        <v>753</v>
      </c>
      <c r="C90" s="14" t="s">
        <v>2357</v>
      </c>
      <c r="D90" s="124">
        <v>380</v>
      </c>
      <c r="E90" s="128">
        <v>65462.16</v>
      </c>
      <c r="F90" s="126"/>
      <c r="G90" s="125">
        <f t="shared" si="6"/>
        <v>65462.16</v>
      </c>
      <c r="H90" s="125"/>
      <c r="I90" s="282"/>
      <c r="J90" s="1581">
        <v>44196</v>
      </c>
      <c r="K90" s="240"/>
      <c r="L90" s="344" t="str">
        <f t="shared" si="10"/>
        <v/>
      </c>
      <c r="M90" s="1619" t="s">
        <v>3163</v>
      </c>
      <c r="N90" s="125">
        <f t="shared" si="13"/>
        <v>639913.04</v>
      </c>
      <c r="O90" s="14" t="str">
        <f t="shared" si="14"/>
        <v>Main</v>
      </c>
      <c r="P90" s="14" t="str">
        <f t="shared" si="7"/>
        <v>FP-317639</v>
      </c>
      <c r="Q90" s="240">
        <v>65462.16</v>
      </c>
      <c r="R90" s="240">
        <f t="shared" si="9"/>
        <v>65462.16</v>
      </c>
      <c r="S90" s="240"/>
      <c r="V90" s="240">
        <v>0</v>
      </c>
      <c r="W90" s="240">
        <f t="shared" si="11"/>
        <v>0</v>
      </c>
      <c r="X90" s="240"/>
    </row>
    <row r="91" spans="1:24">
      <c r="A91" s="15">
        <v>85</v>
      </c>
      <c r="B91" s="126" t="s">
        <v>753</v>
      </c>
      <c r="C91" s="14" t="s">
        <v>2358</v>
      </c>
      <c r="D91" s="124">
        <v>376.3</v>
      </c>
      <c r="E91" s="128">
        <v>484622.4</v>
      </c>
      <c r="F91" s="126"/>
      <c r="G91" s="125">
        <f t="shared" si="6"/>
        <v>0</v>
      </c>
      <c r="H91" s="125">
        <f>IF($T$8=$Q$7, Q91, R91)</f>
        <v>0</v>
      </c>
      <c r="I91" s="282">
        <v>27</v>
      </c>
      <c r="J91" s="1620">
        <v>44196</v>
      </c>
      <c r="K91" s="240" t="s">
        <v>3264</v>
      </c>
      <c r="L91" s="344" t="str">
        <f t="shared" si="10"/>
        <v/>
      </c>
      <c r="M91" s="1619" t="s">
        <v>3141</v>
      </c>
      <c r="N91" s="125">
        <f t="shared" si="13"/>
        <v>951862.52</v>
      </c>
      <c r="O91" s="14" t="str">
        <f t="shared" si="14"/>
        <v>Serv</v>
      </c>
      <c r="P91" s="1619" t="str">
        <f t="shared" si="7"/>
        <v>FP-317640</v>
      </c>
      <c r="Q91" s="240">
        <v>484622.4</v>
      </c>
      <c r="R91" s="240">
        <f t="shared" si="9"/>
        <v>0</v>
      </c>
      <c r="S91" s="240" t="str">
        <f t="shared" si="12"/>
        <v>Main</v>
      </c>
      <c r="V91" s="240">
        <v>484622.4</v>
      </c>
      <c r="W91" s="240">
        <f t="shared" si="11"/>
        <v>484622.4</v>
      </c>
      <c r="X91" s="240"/>
    </row>
    <row r="92" spans="1:24">
      <c r="A92" s="15">
        <v>86</v>
      </c>
      <c r="B92" s="126" t="s">
        <v>753</v>
      </c>
      <c r="C92" s="14" t="s">
        <v>2359</v>
      </c>
      <c r="D92" s="124">
        <v>376</v>
      </c>
      <c r="E92" s="128">
        <v>149164.20000000001</v>
      </c>
      <c r="F92" s="126"/>
      <c r="G92" s="125">
        <f t="shared" si="6"/>
        <v>149164.20000000001</v>
      </c>
      <c r="H92" s="125"/>
      <c r="I92" s="282"/>
      <c r="J92" s="1581">
        <v>44196</v>
      </c>
      <c r="K92" s="240"/>
      <c r="L92" s="344" t="str">
        <f t="shared" si="10"/>
        <v/>
      </c>
      <c r="M92" s="1619" t="s">
        <v>3142</v>
      </c>
      <c r="N92" s="125">
        <f t="shared" si="13"/>
        <v>79311</v>
      </c>
      <c r="O92" s="14" t="str">
        <f t="shared" si="14"/>
        <v>Main</v>
      </c>
      <c r="P92" s="14" t="str">
        <f t="shared" si="7"/>
        <v>FP-317641</v>
      </c>
      <c r="Q92" s="240">
        <v>149164.20000000001</v>
      </c>
      <c r="R92" s="240">
        <f t="shared" si="9"/>
        <v>149164.20000000001</v>
      </c>
      <c r="S92" s="240"/>
      <c r="V92" s="240">
        <v>0</v>
      </c>
      <c r="W92" s="240">
        <f t="shared" si="11"/>
        <v>0</v>
      </c>
      <c r="X92" s="240"/>
    </row>
    <row r="93" spans="1:24">
      <c r="A93" s="15">
        <v>87</v>
      </c>
      <c r="B93" s="126" t="s">
        <v>753</v>
      </c>
      <c r="C93" s="14" t="s">
        <v>2360</v>
      </c>
      <c r="D93" s="124">
        <v>380.3</v>
      </c>
      <c r="E93" s="128">
        <v>447800.6</v>
      </c>
      <c r="F93" s="126"/>
      <c r="G93" s="125">
        <f t="shared" si="6"/>
        <v>0</v>
      </c>
      <c r="H93" s="125">
        <f>IF($T$8=$Q$7, Q93, R93)</f>
        <v>0</v>
      </c>
      <c r="I93" s="282">
        <v>27</v>
      </c>
      <c r="J93" s="1620">
        <v>44196</v>
      </c>
      <c r="K93" s="240" t="s">
        <v>3265</v>
      </c>
      <c r="L93" s="344" t="str">
        <f t="shared" si="10"/>
        <v/>
      </c>
      <c r="M93" s="1619" t="s">
        <v>3143</v>
      </c>
      <c r="N93" s="125">
        <f t="shared" si="13"/>
        <v>133027.99</v>
      </c>
      <c r="O93" s="14" t="str">
        <f t="shared" si="14"/>
        <v>Serv</v>
      </c>
      <c r="P93" s="1619" t="str">
        <f t="shared" si="7"/>
        <v>FP-317642</v>
      </c>
      <c r="Q93" s="240">
        <v>447800.6</v>
      </c>
      <c r="R93" s="240">
        <f t="shared" si="9"/>
        <v>0</v>
      </c>
      <c r="S93" s="240" t="str">
        <f t="shared" si="12"/>
        <v>Serv</v>
      </c>
      <c r="V93" s="240">
        <v>447800.6</v>
      </c>
      <c r="W93" s="240">
        <f t="shared" si="11"/>
        <v>447800.6</v>
      </c>
      <c r="X93" s="240"/>
    </row>
    <row r="94" spans="1:24">
      <c r="A94" s="15">
        <v>88</v>
      </c>
      <c r="B94" s="126" t="s">
        <v>753</v>
      </c>
      <c r="C94" s="14" t="s">
        <v>2361</v>
      </c>
      <c r="D94" s="124">
        <v>380</v>
      </c>
      <c r="E94" s="128">
        <v>74578.679999999993</v>
      </c>
      <c r="F94" s="126"/>
      <c r="G94" s="125">
        <f t="shared" si="6"/>
        <v>74578.679999999993</v>
      </c>
      <c r="H94" s="125"/>
      <c r="I94" s="282"/>
      <c r="J94" s="1581">
        <v>44196</v>
      </c>
      <c r="K94" s="240"/>
      <c r="L94" s="344" t="str">
        <f t="shared" si="10"/>
        <v/>
      </c>
      <c r="M94" s="1619" t="s">
        <v>3144</v>
      </c>
      <c r="N94" s="125">
        <f t="shared" si="13"/>
        <v>800173.4</v>
      </c>
      <c r="O94" s="14" t="str">
        <f t="shared" si="14"/>
        <v>Main</v>
      </c>
      <c r="P94" s="14" t="str">
        <f t="shared" si="7"/>
        <v>FP-317643</v>
      </c>
      <c r="Q94" s="240">
        <v>74578.679999999993</v>
      </c>
      <c r="R94" s="240">
        <f t="shared" si="9"/>
        <v>74578.679999999993</v>
      </c>
      <c r="S94" s="240"/>
      <c r="V94" s="240">
        <v>0</v>
      </c>
      <c r="W94" s="240">
        <f t="shared" si="11"/>
        <v>0</v>
      </c>
      <c r="X94" s="240"/>
    </row>
    <row r="95" spans="1:24">
      <c r="A95" s="15">
        <v>89</v>
      </c>
      <c r="B95" s="126" t="s">
        <v>753</v>
      </c>
      <c r="C95" s="14" t="s">
        <v>2401</v>
      </c>
      <c r="D95" s="124">
        <v>376.3</v>
      </c>
      <c r="E95" s="128">
        <v>1294473.18</v>
      </c>
      <c r="F95" s="126"/>
      <c r="G95" s="125">
        <f t="shared" si="6"/>
        <v>0</v>
      </c>
      <c r="H95" s="125">
        <f>IF($T$8=$Q$7, Q95, R95)</f>
        <v>0</v>
      </c>
      <c r="I95" s="282">
        <v>27</v>
      </c>
      <c r="J95" s="1620">
        <v>44196</v>
      </c>
      <c r="K95" s="240" t="s">
        <v>3264</v>
      </c>
      <c r="L95" s="344" t="str">
        <f t="shared" si="10"/>
        <v/>
      </c>
      <c r="M95" s="1619" t="s">
        <v>3145</v>
      </c>
      <c r="N95" s="125">
        <f t="shared" si="13"/>
        <v>1330260</v>
      </c>
      <c r="O95" s="14" t="str">
        <f t="shared" si="14"/>
        <v>Serv</v>
      </c>
      <c r="P95" s="1619" t="str">
        <f t="shared" si="7"/>
        <v>FP-317644</v>
      </c>
      <c r="Q95" s="240">
        <v>1294473.18</v>
      </c>
      <c r="R95" s="240">
        <f t="shared" si="9"/>
        <v>0</v>
      </c>
      <c r="S95" s="240" t="str">
        <f t="shared" si="12"/>
        <v>Main</v>
      </c>
      <c r="V95" s="240">
        <v>1294473.18</v>
      </c>
      <c r="W95" s="240">
        <f t="shared" si="11"/>
        <v>1294473.18</v>
      </c>
      <c r="X95" s="240"/>
    </row>
    <row r="96" spans="1:24">
      <c r="A96" s="15">
        <v>90</v>
      </c>
      <c r="B96" s="126" t="s">
        <v>753</v>
      </c>
      <c r="C96" s="14" t="s">
        <v>2362</v>
      </c>
      <c r="D96" s="774">
        <v>376</v>
      </c>
      <c r="E96" s="128">
        <v>126071.52</v>
      </c>
      <c r="F96" s="126"/>
      <c r="G96" s="125">
        <f t="shared" ref="G96:G160" si="15">IF($T$8=$Q$7, Q96, R96)</f>
        <v>126071.52</v>
      </c>
      <c r="H96" s="125"/>
      <c r="I96" s="282"/>
      <c r="J96" s="1584">
        <v>44196</v>
      </c>
      <c r="K96" s="240"/>
      <c r="L96" s="344" t="str">
        <f t="shared" si="10"/>
        <v/>
      </c>
      <c r="M96" s="1619" t="s">
        <v>3146</v>
      </c>
      <c r="N96" s="125">
        <f t="shared" si="13"/>
        <v>484622.4</v>
      </c>
      <c r="O96" s="14" t="str">
        <f t="shared" si="14"/>
        <v>Main</v>
      </c>
      <c r="P96" s="14" t="str">
        <f t="shared" ref="P96:P145" si="16">LEFT(C96, 9)</f>
        <v>FP-317645</v>
      </c>
      <c r="Q96" s="240">
        <v>126071.52</v>
      </c>
      <c r="R96" s="240">
        <f t="shared" ref="R96:R127" si="17">IFERROR(VLOOKUP(P96,$M$8:$N$27,2,FALSE), Q96)</f>
        <v>126071.52</v>
      </c>
      <c r="S96" s="240"/>
      <c r="V96" s="240">
        <v>0</v>
      </c>
      <c r="W96" s="240">
        <f t="shared" si="11"/>
        <v>0</v>
      </c>
      <c r="X96" s="240"/>
    </row>
    <row r="97" spans="1:24">
      <c r="A97" s="15">
        <v>91</v>
      </c>
      <c r="B97" s="126" t="s">
        <v>753</v>
      </c>
      <c r="C97" s="14" t="s">
        <v>2363</v>
      </c>
      <c r="D97" s="774">
        <v>380.3</v>
      </c>
      <c r="E97" s="128">
        <v>1568619.36</v>
      </c>
      <c r="F97" s="126"/>
      <c r="G97" s="125">
        <f t="shared" si="15"/>
        <v>0</v>
      </c>
      <c r="H97" s="125">
        <f>IF($T$8=$Q$7, Q97, R97)</f>
        <v>0</v>
      </c>
      <c r="I97" s="282">
        <v>27</v>
      </c>
      <c r="J97" s="1621">
        <v>44196</v>
      </c>
      <c r="K97" s="240" t="s">
        <v>3265</v>
      </c>
      <c r="L97" s="344" t="str">
        <f t="shared" si="10"/>
        <v/>
      </c>
      <c r="M97" s="1619" t="s">
        <v>3147</v>
      </c>
      <c r="N97" s="125">
        <f t="shared" si="13"/>
        <v>447800.6</v>
      </c>
      <c r="O97" s="14" t="str">
        <f t="shared" si="14"/>
        <v>Serv</v>
      </c>
      <c r="P97" s="1619" t="str">
        <f t="shared" si="16"/>
        <v>FP-317646</v>
      </c>
      <c r="Q97" s="240">
        <v>1568619.36</v>
      </c>
      <c r="R97" s="240">
        <f t="shared" si="17"/>
        <v>0</v>
      </c>
      <c r="S97" s="240" t="str">
        <f t="shared" si="12"/>
        <v>Serv</v>
      </c>
      <c r="V97" s="240">
        <v>1568619.36</v>
      </c>
      <c r="W97" s="240">
        <f t="shared" si="11"/>
        <v>1568619.36</v>
      </c>
      <c r="X97" s="240"/>
    </row>
    <row r="98" spans="1:24">
      <c r="A98" s="15">
        <v>92</v>
      </c>
      <c r="B98" s="126" t="s">
        <v>753</v>
      </c>
      <c r="C98" s="14" t="s">
        <v>2364</v>
      </c>
      <c r="D98" s="774">
        <v>380</v>
      </c>
      <c r="E98" s="128">
        <v>74578.679999999993</v>
      </c>
      <c r="F98" s="126"/>
      <c r="G98" s="125">
        <f t="shared" si="15"/>
        <v>74578.679999999993</v>
      </c>
      <c r="H98" s="125"/>
      <c r="I98" s="282"/>
      <c r="J98" s="1584">
        <v>44196</v>
      </c>
      <c r="K98" s="240"/>
      <c r="L98" s="344" t="str">
        <f t="shared" si="10"/>
        <v/>
      </c>
      <c r="M98" s="1619" t="s">
        <v>3148</v>
      </c>
      <c r="N98" s="125">
        <f t="shared" si="13"/>
        <v>1294473.18</v>
      </c>
      <c r="O98" s="14" t="str">
        <f t="shared" si="14"/>
        <v>Main</v>
      </c>
      <c r="P98" s="14" t="str">
        <f t="shared" si="16"/>
        <v>FP-317647</v>
      </c>
      <c r="Q98" s="240">
        <v>74578.679999999993</v>
      </c>
      <c r="R98" s="240">
        <f t="shared" si="17"/>
        <v>74578.679999999993</v>
      </c>
      <c r="S98" s="240"/>
      <c r="V98" s="240">
        <v>0</v>
      </c>
      <c r="W98" s="240">
        <f t="shared" si="11"/>
        <v>0</v>
      </c>
      <c r="X98" s="240"/>
    </row>
    <row r="99" spans="1:24">
      <c r="A99" s="15">
        <v>93</v>
      </c>
      <c r="B99" s="126" t="s">
        <v>753</v>
      </c>
      <c r="C99" s="14" t="s">
        <v>2402</v>
      </c>
      <c r="D99" s="124">
        <v>376.3</v>
      </c>
      <c r="E99" s="128">
        <v>1396510.12</v>
      </c>
      <c r="F99" s="126"/>
      <c r="G99" s="125">
        <f t="shared" si="15"/>
        <v>0</v>
      </c>
      <c r="H99" s="125">
        <f>IF($T$8=$Q$7, Q99, R99)</f>
        <v>0</v>
      </c>
      <c r="I99" s="282">
        <v>27</v>
      </c>
      <c r="J99" s="1620">
        <v>44196</v>
      </c>
      <c r="K99" s="240" t="s">
        <v>3264</v>
      </c>
      <c r="L99" s="344" t="str">
        <f t="shared" si="10"/>
        <v/>
      </c>
      <c r="M99" s="1619" t="s">
        <v>3149</v>
      </c>
      <c r="N99" s="125">
        <f t="shared" si="13"/>
        <v>1568619.36</v>
      </c>
      <c r="O99" s="14" t="str">
        <f t="shared" si="14"/>
        <v>Serv</v>
      </c>
      <c r="P99" s="1619" t="str">
        <f t="shared" si="16"/>
        <v>FP-317648</v>
      </c>
      <c r="Q99" s="240">
        <v>1396510.12</v>
      </c>
      <c r="R99" s="240">
        <f t="shared" si="17"/>
        <v>0</v>
      </c>
      <c r="S99" s="240" t="str">
        <f t="shared" si="12"/>
        <v>Main</v>
      </c>
      <c r="V99" s="240">
        <v>1396510.12</v>
      </c>
      <c r="W99" s="240">
        <f t="shared" si="11"/>
        <v>1396510.12</v>
      </c>
      <c r="X99" s="240"/>
    </row>
    <row r="100" spans="1:24">
      <c r="A100" s="15">
        <v>94</v>
      </c>
      <c r="B100" s="126" t="s">
        <v>753</v>
      </c>
      <c r="C100" s="14" t="s">
        <v>2367</v>
      </c>
      <c r="D100" s="124">
        <v>376</v>
      </c>
      <c r="E100" s="128">
        <v>54857.760000000002</v>
      </c>
      <c r="F100" s="126"/>
      <c r="G100" s="125">
        <f t="shared" si="15"/>
        <v>54857.760000000002</v>
      </c>
      <c r="H100" s="125"/>
      <c r="I100" s="282"/>
      <c r="J100" s="1581">
        <v>44196</v>
      </c>
      <c r="K100" s="240"/>
      <c r="L100" s="344" t="str">
        <f t="shared" si="10"/>
        <v/>
      </c>
      <c r="M100" s="1619" t="s">
        <v>3150</v>
      </c>
      <c r="N100" s="125">
        <f t="shared" si="13"/>
        <v>1396510.12</v>
      </c>
      <c r="O100" s="14" t="str">
        <f t="shared" si="14"/>
        <v>Main</v>
      </c>
      <c r="P100" s="14" t="str">
        <f t="shared" si="16"/>
        <v>FP-317649</v>
      </c>
      <c r="Q100" s="240">
        <v>54857.760000000002</v>
      </c>
      <c r="R100" s="240">
        <f t="shared" si="17"/>
        <v>54857.760000000002</v>
      </c>
      <c r="S100" s="240"/>
      <c r="V100" s="240">
        <v>0</v>
      </c>
      <c r="W100" s="240">
        <f t="shared" si="11"/>
        <v>0</v>
      </c>
      <c r="X100" s="240"/>
    </row>
    <row r="101" spans="1:24">
      <c r="A101" s="15">
        <v>95</v>
      </c>
      <c r="B101" s="126" t="s">
        <v>753</v>
      </c>
      <c r="C101" s="14" t="s">
        <v>2368</v>
      </c>
      <c r="D101" s="124">
        <v>380.3</v>
      </c>
      <c r="E101" s="128">
        <v>2118035.96</v>
      </c>
      <c r="F101" s="126"/>
      <c r="G101" s="125">
        <f t="shared" si="15"/>
        <v>0</v>
      </c>
      <c r="H101" s="125">
        <f>IF($T$8=$Q$7, Q101, R101)</f>
        <v>0</v>
      </c>
      <c r="I101" s="282">
        <v>27</v>
      </c>
      <c r="J101" s="1620">
        <v>44196</v>
      </c>
      <c r="K101" s="240" t="s">
        <v>3265</v>
      </c>
      <c r="L101" s="344" t="str">
        <f t="shared" si="10"/>
        <v/>
      </c>
      <c r="M101" s="1619" t="s">
        <v>3151</v>
      </c>
      <c r="N101" s="125">
        <f t="shared" si="13"/>
        <v>2118035.96</v>
      </c>
      <c r="O101" s="14" t="str">
        <f t="shared" si="14"/>
        <v>Serv</v>
      </c>
      <c r="P101" s="1619" t="str">
        <f t="shared" si="16"/>
        <v>FP-317650</v>
      </c>
      <c r="Q101" s="240">
        <v>2118035.96</v>
      </c>
      <c r="R101" s="240">
        <f t="shared" si="17"/>
        <v>0</v>
      </c>
      <c r="S101" s="240" t="str">
        <f t="shared" si="12"/>
        <v>Serv</v>
      </c>
      <c r="V101" s="240">
        <v>2118035.96</v>
      </c>
      <c r="W101" s="240">
        <f t="shared" si="11"/>
        <v>2118035.96</v>
      </c>
      <c r="X101" s="240"/>
    </row>
    <row r="102" spans="1:24">
      <c r="A102" s="15">
        <v>96</v>
      </c>
      <c r="B102" s="126" t="s">
        <v>753</v>
      </c>
      <c r="C102" s="14" t="s">
        <v>2369</v>
      </c>
      <c r="D102" s="124">
        <v>380</v>
      </c>
      <c r="E102" s="128">
        <v>74578.679999999993</v>
      </c>
      <c r="F102" s="126"/>
      <c r="G102" s="125">
        <f t="shared" si="15"/>
        <v>74578.679999999993</v>
      </c>
      <c r="H102" s="125"/>
      <c r="I102" s="282"/>
      <c r="J102" s="1581">
        <v>44196</v>
      </c>
      <c r="K102" s="240"/>
      <c r="L102" s="344" t="str">
        <f t="shared" si="10"/>
        <v/>
      </c>
      <c r="M102" s="1619" t="s">
        <v>3152</v>
      </c>
      <c r="N102" s="125">
        <f t="shared" si="13"/>
        <v>255366.68</v>
      </c>
      <c r="O102" s="14" t="str">
        <f t="shared" si="14"/>
        <v>Main</v>
      </c>
      <c r="P102" s="14" t="str">
        <f t="shared" si="16"/>
        <v>FP-317651</v>
      </c>
      <c r="Q102" s="240">
        <v>74578.679999999993</v>
      </c>
      <c r="R102" s="240">
        <f t="shared" si="17"/>
        <v>74578.679999999993</v>
      </c>
      <c r="S102" s="240"/>
      <c r="V102" s="240">
        <v>0</v>
      </c>
      <c r="W102" s="240">
        <f t="shared" si="11"/>
        <v>0</v>
      </c>
      <c r="X102" s="240"/>
    </row>
    <row r="103" spans="1:24">
      <c r="A103" s="15">
        <v>97</v>
      </c>
      <c r="B103" s="126" t="s">
        <v>753</v>
      </c>
      <c r="C103" s="14" t="s">
        <v>2370</v>
      </c>
      <c r="D103" s="124">
        <v>376.3</v>
      </c>
      <c r="E103" s="128">
        <v>255366.68</v>
      </c>
      <c r="F103" s="126"/>
      <c r="G103" s="125">
        <f t="shared" si="15"/>
        <v>0</v>
      </c>
      <c r="H103" s="125">
        <f>IF($T$8=$Q$7, Q103, R103)</f>
        <v>0</v>
      </c>
      <c r="I103" s="282">
        <v>27</v>
      </c>
      <c r="J103" s="1620">
        <v>44196</v>
      </c>
      <c r="K103" s="240" t="s">
        <v>3264</v>
      </c>
      <c r="L103" s="344" t="str">
        <f t="shared" si="10"/>
        <v/>
      </c>
      <c r="M103" s="1619" t="s">
        <v>3153</v>
      </c>
      <c r="N103" s="125">
        <f t="shared" si="13"/>
        <v>884722.06</v>
      </c>
      <c r="O103" s="14" t="str">
        <f t="shared" si="14"/>
        <v>Serv</v>
      </c>
      <c r="P103" s="1619" t="str">
        <f t="shared" si="16"/>
        <v>FP-317652</v>
      </c>
      <c r="Q103" s="240">
        <v>255366.68</v>
      </c>
      <c r="R103" s="240">
        <f t="shared" si="17"/>
        <v>0</v>
      </c>
      <c r="S103" s="240" t="str">
        <f t="shared" si="12"/>
        <v>Main</v>
      </c>
      <c r="V103" s="240">
        <v>255366.68</v>
      </c>
      <c r="W103" s="240">
        <f t="shared" si="11"/>
        <v>255366.68</v>
      </c>
      <c r="X103" s="240"/>
    </row>
    <row r="104" spans="1:24">
      <c r="A104" s="15">
        <v>98</v>
      </c>
      <c r="B104" s="126" t="s">
        <v>753</v>
      </c>
      <c r="C104" s="14" t="s">
        <v>2371</v>
      </c>
      <c r="D104" s="124">
        <v>376</v>
      </c>
      <c r="E104" s="128">
        <v>100812.24</v>
      </c>
      <c r="F104" s="126"/>
      <c r="G104" s="125">
        <f t="shared" si="15"/>
        <v>100812.24</v>
      </c>
      <c r="H104" s="125"/>
      <c r="I104" s="282"/>
      <c r="J104" s="1581">
        <v>44196</v>
      </c>
      <c r="K104" s="240"/>
      <c r="L104" s="344" t="str">
        <f t="shared" si="10"/>
        <v/>
      </c>
      <c r="M104" s="1619" t="s">
        <v>3154</v>
      </c>
      <c r="N104" s="125">
        <f t="shared" si="13"/>
        <v>613354.97</v>
      </c>
      <c r="O104" s="14" t="str">
        <f t="shared" si="14"/>
        <v>Main</v>
      </c>
      <c r="P104" s="14" t="str">
        <f t="shared" si="16"/>
        <v>FP-317653</v>
      </c>
      <c r="Q104" s="240">
        <v>100812.24</v>
      </c>
      <c r="R104" s="240">
        <f t="shared" si="17"/>
        <v>100812.24</v>
      </c>
      <c r="S104" s="240"/>
      <c r="V104" s="240">
        <v>0</v>
      </c>
      <c r="W104" s="240">
        <f t="shared" si="11"/>
        <v>0</v>
      </c>
      <c r="X104" s="240"/>
    </row>
    <row r="105" spans="1:24">
      <c r="A105" s="15">
        <v>99</v>
      </c>
      <c r="B105" s="126" t="s">
        <v>753</v>
      </c>
      <c r="C105" s="14" t="s">
        <v>2372</v>
      </c>
      <c r="D105" s="124">
        <v>380.3</v>
      </c>
      <c r="E105" s="128">
        <v>884722.06</v>
      </c>
      <c r="F105" s="126"/>
      <c r="G105" s="125">
        <f t="shared" si="15"/>
        <v>0</v>
      </c>
      <c r="H105" s="125">
        <f>IF($T$8=$Q$7, Q105, R105)</f>
        <v>0</v>
      </c>
      <c r="I105" s="282">
        <v>27</v>
      </c>
      <c r="J105" s="1620">
        <v>44196</v>
      </c>
      <c r="K105" s="240" t="s">
        <v>3265</v>
      </c>
      <c r="L105" s="344" t="str">
        <f t="shared" si="10"/>
        <v/>
      </c>
      <c r="M105" s="1619" t="s">
        <v>3164</v>
      </c>
      <c r="N105" s="125">
        <f t="shared" si="13"/>
        <v>1801553.41</v>
      </c>
      <c r="O105" s="14" t="str">
        <f t="shared" si="14"/>
        <v>Serv</v>
      </c>
      <c r="P105" s="1619" t="str">
        <f t="shared" si="16"/>
        <v>FP-317654</v>
      </c>
      <c r="Q105" s="240">
        <v>884722.06</v>
      </c>
      <c r="R105" s="240">
        <f t="shared" si="17"/>
        <v>0</v>
      </c>
      <c r="S105" s="240" t="str">
        <f t="shared" si="12"/>
        <v>Serv</v>
      </c>
      <c r="V105" s="240">
        <v>884722.06</v>
      </c>
      <c r="W105" s="240">
        <f t="shared" si="11"/>
        <v>884722.06</v>
      </c>
      <c r="X105" s="240"/>
    </row>
    <row r="106" spans="1:24">
      <c r="A106" s="15">
        <v>100</v>
      </c>
      <c r="B106" s="126" t="s">
        <v>753</v>
      </c>
      <c r="C106" s="14" t="s">
        <v>2373</v>
      </c>
      <c r="D106" s="124">
        <v>380</v>
      </c>
      <c r="E106" s="128">
        <v>74578.679999999993</v>
      </c>
      <c r="F106" s="126"/>
      <c r="G106" s="125">
        <f t="shared" si="15"/>
        <v>74578.679999999993</v>
      </c>
      <c r="H106" s="125"/>
      <c r="I106" s="282"/>
      <c r="J106" s="1581">
        <v>44196</v>
      </c>
      <c r="K106" s="240"/>
      <c r="L106" s="344" t="str">
        <f t="shared" si="10"/>
        <v/>
      </c>
      <c r="M106" s="1619" t="s">
        <v>3155</v>
      </c>
      <c r="N106" s="125">
        <f t="shared" si="13"/>
        <v>1417842.72</v>
      </c>
      <c r="O106" s="14" t="str">
        <f t="shared" si="14"/>
        <v>Main</v>
      </c>
      <c r="P106" s="14" t="str">
        <f t="shared" si="16"/>
        <v>FP-317655</v>
      </c>
      <c r="Q106" s="240">
        <v>74578.679999999993</v>
      </c>
      <c r="R106" s="240">
        <f t="shared" si="17"/>
        <v>74578.679999999993</v>
      </c>
      <c r="S106" s="240"/>
      <c r="V106" s="240">
        <v>0</v>
      </c>
      <c r="W106" s="240">
        <f t="shared" si="11"/>
        <v>0</v>
      </c>
      <c r="X106" s="240"/>
    </row>
    <row r="107" spans="1:24">
      <c r="A107" s="15">
        <v>101</v>
      </c>
      <c r="B107" s="126" t="s">
        <v>753</v>
      </c>
      <c r="C107" s="14" t="s">
        <v>2374</v>
      </c>
      <c r="D107" s="124">
        <v>376.3</v>
      </c>
      <c r="E107" s="128">
        <v>613354.97</v>
      </c>
      <c r="F107" s="126"/>
      <c r="G107" s="125">
        <f t="shared" si="15"/>
        <v>0</v>
      </c>
      <c r="H107" s="125">
        <f>IF($T$8=$Q$7, Q107, R107)</f>
        <v>0</v>
      </c>
      <c r="I107" s="282">
        <v>27</v>
      </c>
      <c r="J107" s="1620">
        <v>44196</v>
      </c>
      <c r="K107" s="240" t="s">
        <v>3264</v>
      </c>
      <c r="L107" s="344" t="str">
        <f t="shared" si="10"/>
        <v/>
      </c>
      <c r="M107" s="1619" t="s">
        <v>3156</v>
      </c>
      <c r="N107" s="125">
        <f t="shared" si="13"/>
        <v>2952964.66</v>
      </c>
      <c r="O107" s="14" t="str">
        <f t="shared" si="14"/>
        <v>Serv</v>
      </c>
      <c r="P107" s="1619" t="str">
        <f t="shared" si="16"/>
        <v>FP-317656</v>
      </c>
      <c r="Q107" s="240">
        <v>613354.97</v>
      </c>
      <c r="R107" s="240">
        <f t="shared" si="17"/>
        <v>0</v>
      </c>
      <c r="S107" s="240" t="str">
        <f t="shared" si="12"/>
        <v>Main</v>
      </c>
      <c r="V107" s="240">
        <v>613354.97</v>
      </c>
      <c r="W107" s="240">
        <f t="shared" si="11"/>
        <v>613354.97</v>
      </c>
      <c r="X107" s="240"/>
    </row>
    <row r="108" spans="1:24">
      <c r="A108" s="15">
        <v>102</v>
      </c>
      <c r="B108" s="126" t="s">
        <v>753</v>
      </c>
      <c r="C108" s="14" t="s">
        <v>2375</v>
      </c>
      <c r="D108" s="124">
        <v>376</v>
      </c>
      <c r="E108" s="128">
        <v>97392.48</v>
      </c>
      <c r="F108" s="126"/>
      <c r="G108" s="125">
        <f t="shared" si="15"/>
        <v>97392.48</v>
      </c>
      <c r="H108" s="125"/>
      <c r="I108" s="282"/>
      <c r="J108" s="1581">
        <v>44196</v>
      </c>
      <c r="K108" s="240"/>
      <c r="L108" s="344" t="str">
        <f t="shared" si="10"/>
        <v/>
      </c>
      <c r="N108" s="240">
        <f>SUM(N88:N107)</f>
        <v>22728182.644976001</v>
      </c>
      <c r="P108" s="14" t="str">
        <f t="shared" si="16"/>
        <v>FP-317657</v>
      </c>
      <c r="Q108" s="240">
        <v>97392.48</v>
      </c>
      <c r="R108" s="240">
        <f t="shared" si="17"/>
        <v>97392.48</v>
      </c>
      <c r="S108" s="240"/>
      <c r="V108" s="240">
        <v>0</v>
      </c>
      <c r="W108" s="240">
        <f t="shared" si="11"/>
        <v>0</v>
      </c>
      <c r="X108" s="240"/>
    </row>
    <row r="109" spans="1:24">
      <c r="A109" s="15">
        <v>103</v>
      </c>
      <c r="B109" s="126" t="s">
        <v>753</v>
      </c>
      <c r="C109" s="14" t="s">
        <v>2376</v>
      </c>
      <c r="D109" s="124">
        <v>380.3</v>
      </c>
      <c r="E109" s="128">
        <v>1801553.41</v>
      </c>
      <c r="F109" s="126"/>
      <c r="G109" s="125">
        <f t="shared" si="15"/>
        <v>0</v>
      </c>
      <c r="H109" s="125">
        <f>IF($T$8=$Q$7, Q109, R109)</f>
        <v>0</v>
      </c>
      <c r="I109" s="282">
        <v>27</v>
      </c>
      <c r="J109" s="1620">
        <v>44196</v>
      </c>
      <c r="K109" s="240" t="s">
        <v>3265</v>
      </c>
      <c r="L109" s="344" t="str">
        <f t="shared" si="10"/>
        <v/>
      </c>
      <c r="P109" s="1619" t="str">
        <f t="shared" si="16"/>
        <v>FP-317658</v>
      </c>
      <c r="Q109" s="240">
        <v>1801553.41</v>
      </c>
      <c r="R109" s="240">
        <f t="shared" si="17"/>
        <v>0</v>
      </c>
      <c r="S109" s="240" t="str">
        <f t="shared" si="12"/>
        <v>Serv</v>
      </c>
      <c r="V109" s="240">
        <v>1801553.41</v>
      </c>
      <c r="W109" s="240">
        <f t="shared" si="11"/>
        <v>1801553.41</v>
      </c>
      <c r="X109" s="240"/>
    </row>
    <row r="110" spans="1:24">
      <c r="A110" s="15">
        <v>104</v>
      </c>
      <c r="B110" s="126" t="s">
        <v>753</v>
      </c>
      <c r="C110" s="14" t="s">
        <v>2377</v>
      </c>
      <c r="D110" s="124">
        <v>380</v>
      </c>
      <c r="E110" s="128">
        <v>74578.679999999993</v>
      </c>
      <c r="F110" s="126"/>
      <c r="G110" s="125">
        <f t="shared" si="15"/>
        <v>74578.679999999993</v>
      </c>
      <c r="H110" s="125"/>
      <c r="I110" s="282"/>
      <c r="J110" s="1581">
        <v>44196</v>
      </c>
      <c r="K110" s="240"/>
      <c r="L110" s="344" t="str">
        <f t="shared" si="10"/>
        <v/>
      </c>
      <c r="P110" s="14" t="str">
        <f t="shared" si="16"/>
        <v>FP-317659</v>
      </c>
      <c r="Q110" s="240">
        <v>74578.679999999993</v>
      </c>
      <c r="R110" s="240">
        <f t="shared" si="17"/>
        <v>74578.679999999993</v>
      </c>
      <c r="S110" s="240"/>
      <c r="V110" s="240">
        <v>0</v>
      </c>
      <c r="W110" s="240">
        <f t="shared" si="11"/>
        <v>0</v>
      </c>
      <c r="X110" s="240"/>
    </row>
    <row r="111" spans="1:24">
      <c r="A111" s="15">
        <v>105</v>
      </c>
      <c r="B111" s="126" t="s">
        <v>753</v>
      </c>
      <c r="C111" s="14" t="s">
        <v>2378</v>
      </c>
      <c r="D111" s="124">
        <v>394</v>
      </c>
      <c r="E111" s="128">
        <v>88997.82</v>
      </c>
      <c r="F111" s="126"/>
      <c r="G111" s="125">
        <f t="shared" si="15"/>
        <v>88997.82</v>
      </c>
      <c r="H111" s="125"/>
      <c r="I111" s="282"/>
      <c r="J111" s="1581">
        <v>44196</v>
      </c>
      <c r="K111" s="240"/>
      <c r="L111" s="344" t="str">
        <f t="shared" si="10"/>
        <v/>
      </c>
      <c r="P111" s="14" t="str">
        <f t="shared" si="16"/>
        <v>FP-317744</v>
      </c>
      <c r="Q111" s="240">
        <v>88997.82</v>
      </c>
      <c r="R111" s="240">
        <f t="shared" si="17"/>
        <v>88997.82</v>
      </c>
      <c r="S111" s="240"/>
      <c r="V111" s="240">
        <v>0</v>
      </c>
      <c r="W111" s="240">
        <f t="shared" si="11"/>
        <v>0</v>
      </c>
      <c r="X111" s="240"/>
    </row>
    <row r="112" spans="1:24">
      <c r="A112" s="15">
        <v>106</v>
      </c>
      <c r="B112" s="126" t="s">
        <v>753</v>
      </c>
      <c r="C112" s="14" t="s">
        <v>2379</v>
      </c>
      <c r="D112" s="124">
        <v>376.3</v>
      </c>
      <c r="E112" s="128">
        <v>1417842.72</v>
      </c>
      <c r="F112" s="126"/>
      <c r="G112" s="125">
        <f t="shared" si="15"/>
        <v>0</v>
      </c>
      <c r="H112" s="125">
        <f>IF($T$8=$Q$7, Q112, R112)</f>
        <v>0</v>
      </c>
      <c r="I112" s="282">
        <v>27</v>
      </c>
      <c r="J112" s="1620">
        <v>44196</v>
      </c>
      <c r="K112" s="240" t="s">
        <v>3264</v>
      </c>
      <c r="L112" s="344" t="str">
        <f t="shared" si="10"/>
        <v/>
      </c>
      <c r="P112" s="1619" t="str">
        <f t="shared" si="16"/>
        <v>FP-317750</v>
      </c>
      <c r="Q112" s="240">
        <v>1417842.72</v>
      </c>
      <c r="R112" s="240">
        <f t="shared" si="17"/>
        <v>0</v>
      </c>
      <c r="S112" s="240" t="str">
        <f t="shared" si="12"/>
        <v>Main</v>
      </c>
      <c r="V112" s="240">
        <v>1417842.72</v>
      </c>
      <c r="W112" s="240">
        <f t="shared" si="11"/>
        <v>1417842.72</v>
      </c>
      <c r="X112" s="240"/>
    </row>
    <row r="113" spans="1:24">
      <c r="A113" s="15">
        <v>107</v>
      </c>
      <c r="B113" s="126" t="s">
        <v>753</v>
      </c>
      <c r="C113" s="14" t="s">
        <v>2380</v>
      </c>
      <c r="D113" s="124">
        <v>376</v>
      </c>
      <c r="E113" s="128">
        <v>145471.79999999999</v>
      </c>
      <c r="F113" s="126"/>
      <c r="G113" s="125">
        <f t="shared" si="15"/>
        <v>145471.79999999999</v>
      </c>
      <c r="H113" s="125"/>
      <c r="I113" s="282"/>
      <c r="J113" s="1581">
        <v>44196</v>
      </c>
      <c r="K113" s="240"/>
      <c r="L113" s="344" t="str">
        <f t="shared" si="10"/>
        <v/>
      </c>
      <c r="P113" s="14" t="str">
        <f t="shared" si="16"/>
        <v>FP-317751</v>
      </c>
      <c r="Q113" s="240">
        <v>145471.79999999999</v>
      </c>
      <c r="R113" s="240">
        <f t="shared" si="17"/>
        <v>145471.79999999999</v>
      </c>
      <c r="S113" s="240"/>
      <c r="V113" s="240">
        <v>0</v>
      </c>
      <c r="W113" s="240">
        <f t="shared" si="11"/>
        <v>0</v>
      </c>
      <c r="X113" s="240"/>
    </row>
    <row r="114" spans="1:24">
      <c r="A114" s="15">
        <v>108</v>
      </c>
      <c r="B114" s="126" t="s">
        <v>753</v>
      </c>
      <c r="C114" s="14" t="s">
        <v>2381</v>
      </c>
      <c r="D114" s="124">
        <v>380.3</v>
      </c>
      <c r="E114" s="128">
        <v>2952964.66</v>
      </c>
      <c r="F114" s="126"/>
      <c r="G114" s="125">
        <f t="shared" si="15"/>
        <v>0</v>
      </c>
      <c r="H114" s="125">
        <f>IF($T$8=$Q$7, Q114, R114)</f>
        <v>0</v>
      </c>
      <c r="I114" s="282">
        <v>27</v>
      </c>
      <c r="J114" s="1620">
        <v>44196</v>
      </c>
      <c r="K114" s="240" t="s">
        <v>3265</v>
      </c>
      <c r="L114" s="344" t="str">
        <f t="shared" si="10"/>
        <v/>
      </c>
      <c r="P114" s="1619" t="str">
        <f t="shared" si="16"/>
        <v>FP-317752</v>
      </c>
      <c r="Q114" s="240">
        <v>2952964.66</v>
      </c>
      <c r="R114" s="240">
        <f t="shared" si="17"/>
        <v>0</v>
      </c>
      <c r="S114" s="240" t="str">
        <f t="shared" si="12"/>
        <v>Serv</v>
      </c>
      <c r="V114" s="240">
        <v>2952964.66</v>
      </c>
      <c r="W114" s="240">
        <f t="shared" si="11"/>
        <v>2952964.66</v>
      </c>
      <c r="X114" s="240"/>
    </row>
    <row r="115" spans="1:24">
      <c r="A115" s="15">
        <v>109</v>
      </c>
      <c r="B115" s="126" t="s">
        <v>753</v>
      </c>
      <c r="C115" s="14" t="s">
        <v>2382</v>
      </c>
      <c r="D115" s="124">
        <v>380</v>
      </c>
      <c r="E115" s="128">
        <v>72740.759999999995</v>
      </c>
      <c r="F115" s="126"/>
      <c r="G115" s="125">
        <f t="shared" si="15"/>
        <v>72740.759999999995</v>
      </c>
      <c r="H115" s="125"/>
      <c r="I115" s="282"/>
      <c r="J115" s="1581">
        <v>44196</v>
      </c>
      <c r="K115" s="240"/>
      <c r="L115" s="344" t="str">
        <f t="shared" si="10"/>
        <v/>
      </c>
      <c r="P115" s="14" t="str">
        <f t="shared" si="16"/>
        <v>FP-317753</v>
      </c>
      <c r="Q115" s="240">
        <v>72740.759999999995</v>
      </c>
      <c r="R115" s="240">
        <f t="shared" si="17"/>
        <v>72740.759999999995</v>
      </c>
      <c r="V115" s="240">
        <v>0</v>
      </c>
      <c r="W115" s="240">
        <f t="shared" si="11"/>
        <v>0</v>
      </c>
      <c r="X115" s="240"/>
    </row>
    <row r="116" spans="1:24">
      <c r="A116" s="15">
        <v>110</v>
      </c>
      <c r="B116" s="126" t="s">
        <v>753</v>
      </c>
      <c r="C116" s="14" t="s">
        <v>2383</v>
      </c>
      <c r="D116" s="124">
        <v>376</v>
      </c>
      <c r="E116" s="128">
        <v>296950</v>
      </c>
      <c r="F116" s="126"/>
      <c r="G116" s="125">
        <f t="shared" si="15"/>
        <v>296950</v>
      </c>
      <c r="H116" s="125"/>
      <c r="I116" s="282"/>
      <c r="J116" s="1581">
        <v>44196</v>
      </c>
      <c r="K116" s="240"/>
      <c r="L116" s="344" t="str">
        <f t="shared" si="10"/>
        <v/>
      </c>
      <c r="P116" s="14" t="str">
        <f t="shared" si="16"/>
        <v>FP-318092</v>
      </c>
      <c r="Q116" s="240">
        <v>296950</v>
      </c>
      <c r="R116" s="240">
        <f t="shared" si="17"/>
        <v>296950</v>
      </c>
      <c r="V116" s="240">
        <v>0</v>
      </c>
      <c r="W116" s="240">
        <f t="shared" si="11"/>
        <v>0</v>
      </c>
      <c r="X116" s="240"/>
    </row>
    <row r="117" spans="1:24">
      <c r="A117" s="15">
        <v>111</v>
      </c>
      <c r="B117" s="126" t="s">
        <v>753</v>
      </c>
      <c r="C117" s="14" t="s">
        <v>2384</v>
      </c>
      <c r="D117" s="124">
        <v>376.3</v>
      </c>
      <c r="E117" s="128">
        <v>5004463.92</v>
      </c>
      <c r="F117" s="126"/>
      <c r="G117" s="125">
        <f t="shared" si="15"/>
        <v>5004463.92</v>
      </c>
      <c r="H117" s="125"/>
      <c r="I117" s="282"/>
      <c r="J117" s="1581">
        <v>44196</v>
      </c>
      <c r="K117" s="240"/>
      <c r="L117" s="344" t="str">
        <f t="shared" si="10"/>
        <v/>
      </c>
      <c r="P117" s="14" t="str">
        <f t="shared" si="16"/>
        <v>FP-318186</v>
      </c>
      <c r="Q117" s="240">
        <v>5004463.92</v>
      </c>
      <c r="R117" s="240">
        <f t="shared" si="17"/>
        <v>5004463.92</v>
      </c>
      <c r="V117" s="240">
        <v>0</v>
      </c>
      <c r="W117" s="240">
        <f t="shared" si="11"/>
        <v>0</v>
      </c>
      <c r="X117" s="240"/>
    </row>
    <row r="118" spans="1:24">
      <c r="A118" s="15">
        <v>112</v>
      </c>
      <c r="B118" s="126" t="s">
        <v>753</v>
      </c>
      <c r="C118" s="14" t="s">
        <v>2385</v>
      </c>
      <c r="D118" s="124">
        <v>380</v>
      </c>
      <c r="E118" s="128">
        <v>4410563.92</v>
      </c>
      <c r="F118" s="126"/>
      <c r="G118" s="125">
        <f t="shared" si="15"/>
        <v>4410563.92</v>
      </c>
      <c r="H118" s="125"/>
      <c r="I118" s="282"/>
      <c r="J118" s="1581">
        <v>44196</v>
      </c>
      <c r="K118" s="240"/>
      <c r="L118" s="344" t="str">
        <f t="shared" si="10"/>
        <v/>
      </c>
      <c r="P118" s="14" t="str">
        <f t="shared" si="16"/>
        <v>FP-318187</v>
      </c>
      <c r="Q118" s="240">
        <v>4410563.92</v>
      </c>
      <c r="R118" s="240">
        <f t="shared" si="17"/>
        <v>4410563.92</v>
      </c>
      <c r="V118" s="240">
        <v>0</v>
      </c>
      <c r="W118" s="240">
        <f t="shared" si="11"/>
        <v>0</v>
      </c>
      <c r="X118" s="240"/>
    </row>
    <row r="119" spans="1:24">
      <c r="A119" s="15">
        <v>113</v>
      </c>
      <c r="B119" s="126" t="s">
        <v>753</v>
      </c>
      <c r="C119" s="14" t="s">
        <v>1978</v>
      </c>
      <c r="D119" s="124">
        <v>380.3</v>
      </c>
      <c r="E119" s="128">
        <v>71392.820000000007</v>
      </c>
      <c r="F119" s="126"/>
      <c r="G119" s="125">
        <f t="shared" si="15"/>
        <v>71392.820000000007</v>
      </c>
      <c r="H119" s="125"/>
      <c r="I119" s="282" t="s">
        <v>777</v>
      </c>
      <c r="J119" s="1581">
        <v>43831</v>
      </c>
      <c r="K119" s="240"/>
      <c r="L119" s="344" t="str">
        <f t="shared" si="10"/>
        <v/>
      </c>
      <c r="P119" s="14" t="str">
        <f t="shared" si="16"/>
        <v>FP-318325</v>
      </c>
      <c r="Q119" s="240">
        <v>71392.820000000007</v>
      </c>
      <c r="R119" s="240">
        <f t="shared" si="17"/>
        <v>71392.820000000007</v>
      </c>
      <c r="V119" s="240">
        <v>0</v>
      </c>
      <c r="W119" s="240">
        <f t="shared" si="11"/>
        <v>0</v>
      </c>
      <c r="X119" s="240"/>
    </row>
    <row r="120" spans="1:24">
      <c r="A120" s="15">
        <v>114</v>
      </c>
      <c r="B120" s="126" t="s">
        <v>753</v>
      </c>
      <c r="C120" s="14" t="s">
        <v>2293</v>
      </c>
      <c r="D120" s="124">
        <v>376.3</v>
      </c>
      <c r="E120" s="128">
        <v>433146.02</v>
      </c>
      <c r="F120" s="126"/>
      <c r="G120" s="125">
        <f t="shared" si="15"/>
        <v>433146.02</v>
      </c>
      <c r="H120" s="125">
        <f>IF($T$12=$V$7, V120, W120)</f>
        <v>213957.59</v>
      </c>
      <c r="I120" s="282">
        <v>14</v>
      </c>
      <c r="J120" s="1580">
        <v>43944</v>
      </c>
      <c r="K120" s="125">
        <f t="shared" ref="K120:K127" si="18">G120</f>
        <v>433146.02</v>
      </c>
      <c r="L120" s="344">
        <f t="shared" si="10"/>
        <v>43944</v>
      </c>
      <c r="P120" s="1617" t="str">
        <f t="shared" si="16"/>
        <v>FP-318482</v>
      </c>
      <c r="Q120" s="240">
        <v>433146.02</v>
      </c>
      <c r="R120" s="240">
        <f t="shared" si="17"/>
        <v>433146.02</v>
      </c>
      <c r="V120" s="240">
        <v>433146.02</v>
      </c>
      <c r="W120" s="240">
        <f t="shared" si="11"/>
        <v>213957.59</v>
      </c>
      <c r="X120" s="240"/>
    </row>
    <row r="121" spans="1:24">
      <c r="A121" s="15">
        <v>115</v>
      </c>
      <c r="B121" s="126" t="s">
        <v>753</v>
      </c>
      <c r="C121" s="14" t="s">
        <v>2294</v>
      </c>
      <c r="D121" s="124">
        <v>378</v>
      </c>
      <c r="E121" s="128">
        <v>177166.29</v>
      </c>
      <c r="F121" s="126"/>
      <c r="G121" s="125">
        <f t="shared" si="15"/>
        <v>177166.29</v>
      </c>
      <c r="H121" s="125">
        <f t="shared" ref="H121:H127" si="19">IF($T$12=$V$7, V121, W121)</f>
        <v>0</v>
      </c>
      <c r="I121" s="282">
        <v>15</v>
      </c>
      <c r="J121" s="1580">
        <v>44155</v>
      </c>
      <c r="K121" s="125">
        <f t="shared" si="18"/>
        <v>177166.29</v>
      </c>
      <c r="L121" s="344">
        <f t="shared" si="10"/>
        <v>44147</v>
      </c>
      <c r="P121" s="1617" t="str">
        <f t="shared" si="16"/>
        <v>FP-318566</v>
      </c>
      <c r="Q121" s="240">
        <v>177166.29</v>
      </c>
      <c r="R121" s="240">
        <f t="shared" si="17"/>
        <v>177166.29</v>
      </c>
      <c r="V121" s="240">
        <v>177166.29</v>
      </c>
      <c r="W121" s="240">
        <f t="shared" si="11"/>
        <v>0</v>
      </c>
      <c r="X121" s="240"/>
    </row>
    <row r="122" spans="1:24">
      <c r="A122" s="15">
        <v>116</v>
      </c>
      <c r="B122" s="126" t="s">
        <v>753</v>
      </c>
      <c r="C122" s="14" t="s">
        <v>2295</v>
      </c>
      <c r="D122" s="124">
        <v>376.3</v>
      </c>
      <c r="E122" s="128">
        <v>125671.29</v>
      </c>
      <c r="F122" s="126"/>
      <c r="G122" s="125">
        <f t="shared" si="15"/>
        <v>125671.29</v>
      </c>
      <c r="H122" s="125">
        <f t="shared" si="19"/>
        <v>0</v>
      </c>
      <c r="I122" s="282">
        <v>16</v>
      </c>
      <c r="J122" s="1580">
        <v>44183</v>
      </c>
      <c r="K122" s="125">
        <f t="shared" si="18"/>
        <v>125671.29</v>
      </c>
      <c r="L122" s="344">
        <f t="shared" si="10"/>
        <v>44196</v>
      </c>
      <c r="P122" s="1617" t="str">
        <f t="shared" si="16"/>
        <v>FP-318588</v>
      </c>
      <c r="Q122" s="240">
        <v>125671.29</v>
      </c>
      <c r="R122" s="240">
        <f t="shared" si="17"/>
        <v>125671.29</v>
      </c>
      <c r="V122" s="240">
        <v>125671.29</v>
      </c>
      <c r="W122" s="240">
        <f t="shared" si="11"/>
        <v>0</v>
      </c>
      <c r="X122" s="240"/>
    </row>
    <row r="123" spans="1:24">
      <c r="A123" s="15">
        <v>117</v>
      </c>
      <c r="B123" s="126" t="s">
        <v>753</v>
      </c>
      <c r="C123" s="14" t="s">
        <v>2296</v>
      </c>
      <c r="D123" s="124">
        <v>376.1</v>
      </c>
      <c r="E123" s="128">
        <v>312625</v>
      </c>
      <c r="F123" s="126"/>
      <c r="G123" s="125">
        <f t="shared" si="15"/>
        <v>312625</v>
      </c>
      <c r="H123" s="125">
        <f t="shared" si="19"/>
        <v>402968.57</v>
      </c>
      <c r="I123" s="282">
        <v>17</v>
      </c>
      <c r="J123" s="1580">
        <v>44130</v>
      </c>
      <c r="K123" s="125">
        <f t="shared" si="18"/>
        <v>312625</v>
      </c>
      <c r="L123" s="344">
        <f t="shared" si="10"/>
        <v>44130</v>
      </c>
      <c r="P123" s="1617" t="str">
        <f t="shared" si="16"/>
        <v>FP-318690</v>
      </c>
      <c r="Q123" s="240">
        <v>312625</v>
      </c>
      <c r="R123" s="240">
        <f t="shared" si="17"/>
        <v>312625</v>
      </c>
      <c r="V123" s="240">
        <v>312625</v>
      </c>
      <c r="W123" s="240">
        <f t="shared" si="11"/>
        <v>402968.57</v>
      </c>
      <c r="X123" s="240"/>
    </row>
    <row r="124" spans="1:24">
      <c r="A124" s="15">
        <v>118</v>
      </c>
      <c r="B124" s="126" t="s">
        <v>753</v>
      </c>
      <c r="C124" s="14" t="s">
        <v>2297</v>
      </c>
      <c r="D124" s="124">
        <v>378</v>
      </c>
      <c r="E124" s="128">
        <v>352513.6</v>
      </c>
      <c r="F124" s="126"/>
      <c r="G124" s="125">
        <f t="shared" si="15"/>
        <v>352513.6</v>
      </c>
      <c r="H124" s="125">
        <f t="shared" si="19"/>
        <v>0</v>
      </c>
      <c r="I124" s="282">
        <v>18</v>
      </c>
      <c r="J124" s="1580">
        <v>44247</v>
      </c>
      <c r="K124" s="125">
        <f t="shared" si="18"/>
        <v>352513.6</v>
      </c>
      <c r="L124" s="344" t="str">
        <f t="shared" si="10"/>
        <v>N/A</v>
      </c>
      <c r="P124" s="1617" t="str">
        <f t="shared" si="16"/>
        <v>FP-318742</v>
      </c>
      <c r="Q124" s="240">
        <v>352513.6</v>
      </c>
      <c r="R124" s="240">
        <f t="shared" si="17"/>
        <v>352513.6</v>
      </c>
      <c r="V124" s="240">
        <v>352513.6</v>
      </c>
      <c r="W124" s="240">
        <f t="shared" si="11"/>
        <v>0</v>
      </c>
      <c r="X124" s="240"/>
    </row>
    <row r="125" spans="1:24">
      <c r="A125" s="15">
        <v>119</v>
      </c>
      <c r="B125" s="126" t="s">
        <v>753</v>
      </c>
      <c r="C125" s="14" t="s">
        <v>2298</v>
      </c>
      <c r="D125" s="124">
        <v>378</v>
      </c>
      <c r="E125" s="128">
        <v>124719</v>
      </c>
      <c r="F125" s="126"/>
      <c r="G125" s="125">
        <f t="shared" si="15"/>
        <v>124719</v>
      </c>
      <c r="H125" s="125">
        <f t="shared" si="19"/>
        <v>0</v>
      </c>
      <c r="I125" s="282">
        <v>19</v>
      </c>
      <c r="J125" s="1580">
        <v>44175</v>
      </c>
      <c r="K125" s="125">
        <f t="shared" si="18"/>
        <v>124719</v>
      </c>
      <c r="L125" s="344">
        <f t="shared" si="10"/>
        <v>44175</v>
      </c>
      <c r="P125" s="1617" t="str">
        <f t="shared" si="16"/>
        <v>FP-318746</v>
      </c>
      <c r="Q125" s="240">
        <v>124719</v>
      </c>
      <c r="R125" s="240">
        <f t="shared" si="17"/>
        <v>124719</v>
      </c>
      <c r="V125" s="240">
        <v>124719</v>
      </c>
      <c r="W125" s="240">
        <f t="shared" si="11"/>
        <v>0</v>
      </c>
      <c r="X125" s="240"/>
    </row>
    <row r="126" spans="1:24">
      <c r="A126" s="15">
        <v>120</v>
      </c>
      <c r="B126" s="126" t="s">
        <v>753</v>
      </c>
      <c r="C126" s="14" t="s">
        <v>2299</v>
      </c>
      <c r="D126" s="124">
        <v>378</v>
      </c>
      <c r="E126" s="128">
        <v>124719</v>
      </c>
      <c r="F126" s="126"/>
      <c r="G126" s="125">
        <f t="shared" si="15"/>
        <v>124719</v>
      </c>
      <c r="H126" s="125">
        <f t="shared" si="19"/>
        <v>0</v>
      </c>
      <c r="I126" s="282">
        <v>20</v>
      </c>
      <c r="J126" s="1580">
        <v>44175</v>
      </c>
      <c r="K126" s="125">
        <f t="shared" si="18"/>
        <v>124719</v>
      </c>
      <c r="L126" s="344">
        <f t="shared" si="10"/>
        <v>44175</v>
      </c>
      <c r="P126" s="1617" t="str">
        <f t="shared" si="16"/>
        <v>FP-318747</v>
      </c>
      <c r="Q126" s="240">
        <v>124719</v>
      </c>
      <c r="R126" s="240">
        <f t="shared" si="17"/>
        <v>124719</v>
      </c>
      <c r="V126" s="240">
        <v>124719</v>
      </c>
      <c r="W126" s="240">
        <f t="shared" si="11"/>
        <v>0</v>
      </c>
      <c r="X126" s="240"/>
    </row>
    <row r="127" spans="1:24">
      <c r="A127" s="15">
        <v>121</v>
      </c>
      <c r="B127" s="126" t="s">
        <v>753</v>
      </c>
      <c r="C127" s="14" t="s">
        <v>2300</v>
      </c>
      <c r="D127" s="124">
        <v>378</v>
      </c>
      <c r="E127" s="128">
        <v>464483</v>
      </c>
      <c r="F127" s="126"/>
      <c r="G127" s="125">
        <f t="shared" si="15"/>
        <v>464483</v>
      </c>
      <c r="H127" s="125">
        <f t="shared" si="19"/>
        <v>508798.83</v>
      </c>
      <c r="I127" s="282">
        <v>22</v>
      </c>
      <c r="J127" s="1580">
        <v>44102</v>
      </c>
      <c r="K127" s="125">
        <f t="shared" si="18"/>
        <v>464483</v>
      </c>
      <c r="L127" s="344">
        <f t="shared" si="10"/>
        <v>44102</v>
      </c>
      <c r="P127" s="1617" t="str">
        <f t="shared" si="16"/>
        <v>FP-318829</v>
      </c>
      <c r="Q127" s="240">
        <v>464483</v>
      </c>
      <c r="R127" s="240">
        <f t="shared" si="17"/>
        <v>464483</v>
      </c>
      <c r="V127" s="240">
        <v>464483</v>
      </c>
      <c r="W127" s="240">
        <f t="shared" si="11"/>
        <v>508798.83</v>
      </c>
      <c r="X127" s="240"/>
    </row>
    <row r="128" spans="1:24">
      <c r="A128" s="15">
        <v>122</v>
      </c>
      <c r="B128" s="126" t="s">
        <v>753</v>
      </c>
      <c r="C128" s="14" t="s">
        <v>2301</v>
      </c>
      <c r="D128" s="124">
        <v>385</v>
      </c>
      <c r="E128" s="128">
        <v>58451</v>
      </c>
      <c r="F128" s="126"/>
      <c r="G128" s="125">
        <f t="shared" si="15"/>
        <v>58451</v>
      </c>
      <c r="H128" s="125"/>
      <c r="I128" s="282"/>
      <c r="J128" s="1581">
        <v>44104</v>
      </c>
      <c r="K128" s="240"/>
      <c r="L128" s="344" t="str">
        <f t="shared" si="10"/>
        <v/>
      </c>
      <c r="P128" s="14" t="str">
        <f t="shared" si="16"/>
        <v>FP-319029</v>
      </c>
      <c r="Q128" s="240">
        <v>58451</v>
      </c>
      <c r="R128" s="240">
        <f t="shared" ref="R128:R145" si="20">IFERROR(VLOOKUP(P128,$M$8:$N$27,2,FALSE), Q128)</f>
        <v>58451</v>
      </c>
      <c r="V128" s="240">
        <v>0</v>
      </c>
      <c r="W128" s="240">
        <f t="shared" si="11"/>
        <v>0</v>
      </c>
      <c r="X128" s="240"/>
    </row>
    <row r="129" spans="1:24">
      <c r="A129" s="15">
        <v>123</v>
      </c>
      <c r="B129" s="126" t="s">
        <v>753</v>
      </c>
      <c r="C129" s="14" t="s">
        <v>2302</v>
      </c>
      <c r="D129" s="124">
        <v>378</v>
      </c>
      <c r="E129" s="128">
        <v>143033.60000000001</v>
      </c>
      <c r="F129" s="126"/>
      <c r="G129" s="125">
        <f t="shared" si="15"/>
        <v>143033.60000000001</v>
      </c>
      <c r="H129" s="125">
        <f>IF($T$12=$V$7, V129, W129)</f>
        <v>0</v>
      </c>
      <c r="I129" s="282">
        <v>24</v>
      </c>
      <c r="J129" s="1580">
        <v>44195</v>
      </c>
      <c r="K129" s="125">
        <f>G129</f>
        <v>143033.60000000001</v>
      </c>
      <c r="L129" s="344" t="str">
        <f t="shared" si="10"/>
        <v>N/A</v>
      </c>
      <c r="P129" s="1617" t="str">
        <f t="shared" si="16"/>
        <v>FP-319056</v>
      </c>
      <c r="Q129" s="240">
        <v>143033.60000000001</v>
      </c>
      <c r="R129" s="240">
        <f t="shared" si="20"/>
        <v>143033.60000000001</v>
      </c>
      <c r="V129" s="240">
        <v>143033.60000000001</v>
      </c>
      <c r="W129" s="240">
        <f t="shared" si="11"/>
        <v>0</v>
      </c>
      <c r="X129" s="240"/>
    </row>
    <row r="130" spans="1:24">
      <c r="A130" s="15">
        <v>124</v>
      </c>
      <c r="B130" s="126" t="s">
        <v>753</v>
      </c>
      <c r="C130" s="14" t="s">
        <v>2303</v>
      </c>
      <c r="D130" s="124">
        <v>378</v>
      </c>
      <c r="E130" s="128">
        <v>144470.20000000001</v>
      </c>
      <c r="F130" s="126"/>
      <c r="G130" s="125">
        <f t="shared" si="15"/>
        <v>144470.20000000001</v>
      </c>
      <c r="H130" s="125">
        <f>IF($T$12=$V$7, V130, W130)</f>
        <v>0</v>
      </c>
      <c r="I130" s="282">
        <v>25</v>
      </c>
      <c r="J130" s="1580">
        <v>44155</v>
      </c>
      <c r="K130" s="125">
        <f>G130</f>
        <v>144470.20000000001</v>
      </c>
      <c r="L130" s="344">
        <f t="shared" si="10"/>
        <v>44155</v>
      </c>
      <c r="P130" s="1617" t="str">
        <f t="shared" si="16"/>
        <v>FP-319063</v>
      </c>
      <c r="Q130" s="240">
        <v>144470.20000000001</v>
      </c>
      <c r="R130" s="240">
        <f t="shared" si="20"/>
        <v>144470.20000000001</v>
      </c>
      <c r="V130" s="240">
        <v>144470.20000000001</v>
      </c>
      <c r="W130" s="240">
        <f t="shared" si="11"/>
        <v>0</v>
      </c>
      <c r="X130" s="240"/>
    </row>
    <row r="131" spans="1:24">
      <c r="A131" s="15">
        <v>125</v>
      </c>
      <c r="B131" s="126" t="s">
        <v>753</v>
      </c>
      <c r="C131" s="14" t="s">
        <v>2304</v>
      </c>
      <c r="D131" s="124">
        <v>376.2</v>
      </c>
      <c r="E131" s="128">
        <v>1725636</v>
      </c>
      <c r="F131" s="126"/>
      <c r="G131" s="125">
        <f t="shared" si="15"/>
        <v>1725636</v>
      </c>
      <c r="H131" s="125">
        <f>IF($T$12=$V$7, V131, W131)</f>
        <v>0</v>
      </c>
      <c r="I131" s="282">
        <v>26</v>
      </c>
      <c r="J131" s="1580">
        <v>44407</v>
      </c>
      <c r="K131" s="125">
        <f>G131</f>
        <v>1725636</v>
      </c>
      <c r="L131" s="344" t="str">
        <f t="shared" si="10"/>
        <v>N/A</v>
      </c>
      <c r="P131" s="1617" t="str">
        <f t="shared" si="16"/>
        <v>FP-319072</v>
      </c>
      <c r="Q131" s="240">
        <v>1725636</v>
      </c>
      <c r="R131" s="240">
        <f>IFERROR(VLOOKUP(P131,$M$8:$N$27,2,FALSE), Q131)</f>
        <v>1725636</v>
      </c>
      <c r="V131" s="240">
        <v>1725636</v>
      </c>
      <c r="W131" s="240">
        <f>IFERROR(VLOOKUP(P131,$Z$8:$AA$33,2,FALSE), V131)</f>
        <v>0</v>
      </c>
      <c r="X131" s="240"/>
    </row>
    <row r="132" spans="1:24">
      <c r="A132" s="15">
        <v>126</v>
      </c>
      <c r="B132" s="126" t="s">
        <v>753</v>
      </c>
      <c r="C132" s="14" t="s">
        <v>1979</v>
      </c>
      <c r="D132" s="124">
        <v>376.3</v>
      </c>
      <c r="E132" s="128">
        <v>19400.099999999999</v>
      </c>
      <c r="F132" s="126"/>
      <c r="G132" s="125">
        <f t="shared" si="15"/>
        <v>19400.099999999999</v>
      </c>
      <c r="H132" s="125"/>
      <c r="I132" s="282"/>
      <c r="J132" s="1581">
        <v>43889</v>
      </c>
      <c r="K132" s="344"/>
      <c r="L132" s="344" t="str">
        <f t="shared" si="10"/>
        <v/>
      </c>
      <c r="P132" s="14" t="str">
        <f t="shared" si="16"/>
        <v>FP-319086</v>
      </c>
      <c r="Q132" s="240">
        <v>19400.099999999999</v>
      </c>
      <c r="R132" s="240">
        <f t="shared" si="20"/>
        <v>19400.099999999999</v>
      </c>
      <c r="V132" s="240">
        <v>0</v>
      </c>
      <c r="W132" s="240">
        <f t="shared" si="11"/>
        <v>0</v>
      </c>
      <c r="X132" s="240"/>
    </row>
    <row r="133" spans="1:24">
      <c r="A133" s="15">
        <v>127</v>
      </c>
      <c r="B133" s="126" t="s">
        <v>753</v>
      </c>
      <c r="C133" s="14" t="s">
        <v>2305</v>
      </c>
      <c r="D133" s="124">
        <v>378</v>
      </c>
      <c r="E133" s="128">
        <v>5607.8</v>
      </c>
      <c r="F133" s="126"/>
      <c r="G133" s="125">
        <f t="shared" si="15"/>
        <v>5607.8</v>
      </c>
      <c r="H133" s="125"/>
      <c r="I133" s="282"/>
      <c r="J133" s="1581">
        <v>44124</v>
      </c>
      <c r="K133" s="240"/>
      <c r="L133" s="344" t="str">
        <f t="shared" si="10"/>
        <v/>
      </c>
      <c r="P133" s="14" t="str">
        <f t="shared" si="16"/>
        <v>FP-319095</v>
      </c>
      <c r="Q133" s="240">
        <v>5607.8</v>
      </c>
      <c r="R133" s="240">
        <f t="shared" si="20"/>
        <v>5607.8</v>
      </c>
      <c r="V133" s="240">
        <v>0</v>
      </c>
      <c r="W133" s="240">
        <f t="shared" si="11"/>
        <v>0</v>
      </c>
      <c r="X133" s="240"/>
    </row>
    <row r="134" spans="1:24">
      <c r="A134" s="15">
        <v>128</v>
      </c>
      <c r="B134" s="126" t="s">
        <v>753</v>
      </c>
      <c r="C134" s="14" t="s">
        <v>2306</v>
      </c>
      <c r="D134" s="124">
        <v>378</v>
      </c>
      <c r="E134" s="128">
        <v>5845.1</v>
      </c>
      <c r="F134" s="126"/>
      <c r="G134" s="125">
        <f t="shared" si="15"/>
        <v>5845.1</v>
      </c>
      <c r="H134" s="125"/>
      <c r="I134" s="282"/>
      <c r="J134" s="1581">
        <v>44094</v>
      </c>
      <c r="K134" s="240"/>
      <c r="L134" s="344" t="str">
        <f t="shared" si="10"/>
        <v/>
      </c>
      <c r="P134" s="14" t="str">
        <f t="shared" si="16"/>
        <v>FP-319099</v>
      </c>
      <c r="Q134" s="240">
        <v>5845.1</v>
      </c>
      <c r="R134" s="240">
        <f t="shared" si="20"/>
        <v>5845.1</v>
      </c>
      <c r="V134" s="240">
        <v>0</v>
      </c>
      <c r="W134" s="240">
        <f t="shared" si="11"/>
        <v>0</v>
      </c>
      <c r="X134" s="240"/>
    </row>
    <row r="135" spans="1:24">
      <c r="A135" s="15">
        <v>129</v>
      </c>
      <c r="B135" s="126" t="s">
        <v>753</v>
      </c>
      <c r="C135" s="14" t="s">
        <v>2307</v>
      </c>
      <c r="D135" s="124">
        <v>376.2</v>
      </c>
      <c r="E135" s="128">
        <v>1196019</v>
      </c>
      <c r="F135" s="126"/>
      <c r="G135" s="125">
        <f t="shared" si="15"/>
        <v>1196019</v>
      </c>
      <c r="H135" s="125"/>
      <c r="I135" s="282" t="s">
        <v>777</v>
      </c>
      <c r="J135" s="1581">
        <v>44195</v>
      </c>
      <c r="K135" s="240"/>
      <c r="L135" s="344" t="str">
        <f t="shared" si="10"/>
        <v/>
      </c>
      <c r="P135" s="14" t="str">
        <f t="shared" si="16"/>
        <v>FP-319106</v>
      </c>
      <c r="Q135" s="240">
        <v>1196019</v>
      </c>
      <c r="R135" s="240">
        <f t="shared" si="20"/>
        <v>1196019</v>
      </c>
      <c r="V135" s="240">
        <v>0</v>
      </c>
      <c r="W135" s="240">
        <f t="shared" si="11"/>
        <v>0</v>
      </c>
      <c r="X135" s="240"/>
    </row>
    <row r="136" spans="1:24">
      <c r="A136" s="15">
        <v>130</v>
      </c>
      <c r="B136" s="126" t="s">
        <v>753</v>
      </c>
      <c r="C136" s="14" t="s">
        <v>2365</v>
      </c>
      <c r="D136" s="124">
        <v>376</v>
      </c>
      <c r="E136" s="128">
        <v>1178410</v>
      </c>
      <c r="F136" s="126"/>
      <c r="G136" s="125">
        <f t="shared" si="15"/>
        <v>1178410</v>
      </c>
      <c r="H136" s="125"/>
      <c r="I136" s="282"/>
      <c r="J136" s="1581">
        <v>44196</v>
      </c>
      <c r="K136" s="240"/>
      <c r="L136" s="344" t="str">
        <f t="shared" si="10"/>
        <v/>
      </c>
      <c r="P136" s="14" t="str">
        <f t="shared" si="16"/>
        <v>FP-319111</v>
      </c>
      <c r="Q136" s="240">
        <v>1178410</v>
      </c>
      <c r="R136" s="240">
        <f t="shared" si="20"/>
        <v>1178410</v>
      </c>
      <c r="V136" s="240">
        <v>0</v>
      </c>
      <c r="W136" s="240">
        <f t="shared" si="11"/>
        <v>0</v>
      </c>
      <c r="X136" s="240"/>
    </row>
    <row r="137" spans="1:24">
      <c r="A137" s="15">
        <v>131</v>
      </c>
      <c r="B137" s="126" t="s">
        <v>753</v>
      </c>
      <c r="C137" s="14" t="s">
        <v>2366</v>
      </c>
      <c r="D137" s="124">
        <v>380</v>
      </c>
      <c r="E137" s="128">
        <v>128780</v>
      </c>
      <c r="F137" s="126"/>
      <c r="G137" s="125">
        <f t="shared" si="15"/>
        <v>128780</v>
      </c>
      <c r="H137" s="125"/>
      <c r="I137" s="282"/>
      <c r="J137" s="1581">
        <v>44196</v>
      </c>
      <c r="K137" s="240"/>
      <c r="L137" s="344" t="str">
        <f t="shared" ref="L137:L195" si="21">IFERROR(VLOOKUP(P137, $Z$8:$AB$33, 3, FALSE), "")</f>
        <v/>
      </c>
      <c r="P137" s="14" t="str">
        <f t="shared" si="16"/>
        <v>FP-319112</v>
      </c>
      <c r="Q137" s="240">
        <v>128780</v>
      </c>
      <c r="R137" s="240">
        <f t="shared" si="20"/>
        <v>128780</v>
      </c>
      <c r="V137" s="240">
        <v>0</v>
      </c>
      <c r="W137" s="240">
        <f t="shared" ref="W137:W195" si="22">IFERROR(VLOOKUP(P137,$Z$8:$AA$33,2,FALSE), V137)</f>
        <v>0</v>
      </c>
      <c r="X137" s="240"/>
    </row>
    <row r="138" spans="1:24">
      <c r="A138" s="15">
        <v>132</v>
      </c>
      <c r="B138" s="126" t="s">
        <v>753</v>
      </c>
      <c r="C138" s="14" t="s">
        <v>2309</v>
      </c>
      <c r="D138" s="124">
        <v>376.3</v>
      </c>
      <c r="E138" s="128">
        <v>121015.44</v>
      </c>
      <c r="F138" s="126"/>
      <c r="G138" s="125">
        <f t="shared" si="15"/>
        <v>121015.44</v>
      </c>
      <c r="H138" s="125"/>
      <c r="I138" s="282"/>
      <c r="J138" s="1581">
        <v>43936</v>
      </c>
      <c r="K138" s="240"/>
      <c r="L138" s="344" t="str">
        <f t="shared" si="21"/>
        <v/>
      </c>
      <c r="P138" s="14" t="str">
        <f t="shared" si="16"/>
        <v>FP-319168</v>
      </c>
      <c r="Q138" s="240">
        <v>121015.44</v>
      </c>
      <c r="R138" s="240">
        <f t="shared" si="20"/>
        <v>121015.44</v>
      </c>
      <c r="V138" s="240">
        <v>0</v>
      </c>
      <c r="W138" s="240">
        <f t="shared" si="22"/>
        <v>0</v>
      </c>
      <c r="X138" s="240"/>
    </row>
    <row r="139" spans="1:24">
      <c r="A139" s="15">
        <v>133</v>
      </c>
      <c r="B139" s="126" t="s">
        <v>753</v>
      </c>
      <c r="C139" s="14" t="s">
        <v>2308</v>
      </c>
      <c r="D139" s="124">
        <v>376.3</v>
      </c>
      <c r="E139" s="128">
        <v>169486.67</v>
      </c>
      <c r="F139" s="126"/>
      <c r="G139" s="125">
        <f t="shared" si="15"/>
        <v>169486.67</v>
      </c>
      <c r="H139" s="125"/>
      <c r="I139" s="282"/>
      <c r="J139" s="1581">
        <v>43952</v>
      </c>
      <c r="K139" s="240"/>
      <c r="L139" s="344" t="str">
        <f t="shared" si="21"/>
        <v/>
      </c>
      <c r="P139" s="14" t="str">
        <f t="shared" si="16"/>
        <v>FP-319180</v>
      </c>
      <c r="Q139" s="240">
        <v>169486.67</v>
      </c>
      <c r="R139" s="240">
        <f t="shared" si="20"/>
        <v>169486.67</v>
      </c>
      <c r="V139" s="240">
        <v>0</v>
      </c>
      <c r="W139" s="240">
        <f t="shared" si="22"/>
        <v>0</v>
      </c>
      <c r="X139" s="240"/>
    </row>
    <row r="140" spans="1:24">
      <c r="A140" s="15">
        <v>134</v>
      </c>
      <c r="B140" s="126" t="s">
        <v>753</v>
      </c>
      <c r="C140" s="126" t="s">
        <v>1980</v>
      </c>
      <c r="D140" s="124">
        <v>376.3</v>
      </c>
      <c r="E140" s="128">
        <v>10487.23</v>
      </c>
      <c r="F140" s="126"/>
      <c r="G140" s="125">
        <f t="shared" si="15"/>
        <v>10487.23</v>
      </c>
      <c r="H140" s="125"/>
      <c r="I140" s="282"/>
      <c r="J140" s="1584">
        <v>43981</v>
      </c>
      <c r="K140" s="240"/>
      <c r="L140" s="344" t="str">
        <f t="shared" si="21"/>
        <v/>
      </c>
      <c r="P140" s="14" t="str">
        <f t="shared" si="16"/>
        <v>FP-319193</v>
      </c>
      <c r="Q140" s="240">
        <v>10487.23</v>
      </c>
      <c r="R140" s="240">
        <f t="shared" si="20"/>
        <v>10487.23</v>
      </c>
      <c r="V140" s="240">
        <v>0</v>
      </c>
      <c r="W140" s="240">
        <f t="shared" si="22"/>
        <v>0</v>
      </c>
      <c r="X140" s="240"/>
    </row>
    <row r="141" spans="1:24">
      <c r="A141" s="15">
        <v>135</v>
      </c>
      <c r="B141" s="126" t="s">
        <v>753</v>
      </c>
      <c r="C141" s="126" t="s">
        <v>1981</v>
      </c>
      <c r="D141" s="124">
        <v>376.2</v>
      </c>
      <c r="E141" s="128">
        <v>16510.169999999998</v>
      </c>
      <c r="F141" s="126"/>
      <c r="G141" s="125">
        <f t="shared" si="15"/>
        <v>16510.169999999998</v>
      </c>
      <c r="H141" s="125"/>
      <c r="I141" s="282"/>
      <c r="J141" s="1584">
        <v>44195</v>
      </c>
      <c r="K141" s="240"/>
      <c r="L141" s="344" t="str">
        <f t="shared" si="21"/>
        <v/>
      </c>
      <c r="P141" s="14" t="str">
        <f t="shared" si="16"/>
        <v>FP-319209</v>
      </c>
      <c r="Q141" s="240">
        <v>16510.169999999998</v>
      </c>
      <c r="R141" s="240">
        <f t="shared" si="20"/>
        <v>16510.169999999998</v>
      </c>
      <c r="V141" s="240">
        <v>0</v>
      </c>
      <c r="W141" s="240">
        <f t="shared" si="22"/>
        <v>0</v>
      </c>
      <c r="X141" s="240"/>
    </row>
    <row r="142" spans="1:24">
      <c r="A142" s="15">
        <v>136</v>
      </c>
      <c r="B142" s="126" t="s">
        <v>753</v>
      </c>
      <c r="C142" s="126" t="s">
        <v>1982</v>
      </c>
      <c r="D142" s="124">
        <v>376.3</v>
      </c>
      <c r="E142" s="128">
        <v>52336.62</v>
      </c>
      <c r="F142" s="126"/>
      <c r="G142" s="125">
        <f t="shared" si="15"/>
        <v>52336.62</v>
      </c>
      <c r="H142" s="125"/>
      <c r="I142" s="282"/>
      <c r="J142" s="1584">
        <v>43981</v>
      </c>
      <c r="K142" s="240"/>
      <c r="L142" s="344" t="str">
        <f t="shared" si="21"/>
        <v/>
      </c>
      <c r="P142" s="14" t="str">
        <f t="shared" si="16"/>
        <v>FP-319238</v>
      </c>
      <c r="Q142" s="240">
        <v>52336.62</v>
      </c>
      <c r="R142" s="240">
        <f t="shared" si="20"/>
        <v>52336.62</v>
      </c>
      <c r="V142" s="240">
        <v>0</v>
      </c>
      <c r="W142" s="240">
        <f t="shared" si="22"/>
        <v>0</v>
      </c>
      <c r="X142" s="240"/>
    </row>
    <row r="143" spans="1:24">
      <c r="A143" s="15">
        <v>137</v>
      </c>
      <c r="B143" s="126" t="s">
        <v>753</v>
      </c>
      <c r="C143" s="126" t="s">
        <v>1983</v>
      </c>
      <c r="D143" s="124">
        <v>376.1</v>
      </c>
      <c r="E143" s="128">
        <v>1145.58</v>
      </c>
      <c r="F143" s="126"/>
      <c r="G143" s="125">
        <f t="shared" si="15"/>
        <v>1145.58</v>
      </c>
      <c r="H143" s="125"/>
      <c r="I143" s="282"/>
      <c r="J143" s="1581">
        <v>43862</v>
      </c>
      <c r="K143" s="240"/>
      <c r="L143" s="344" t="str">
        <f t="shared" si="21"/>
        <v/>
      </c>
      <c r="P143" s="14" t="str">
        <f t="shared" si="16"/>
        <v>FP-319247</v>
      </c>
      <c r="Q143" s="240">
        <v>1145.58</v>
      </c>
      <c r="R143" s="240">
        <f t="shared" si="20"/>
        <v>1145.58</v>
      </c>
      <c r="V143" s="240">
        <v>0</v>
      </c>
      <c r="W143" s="240">
        <f t="shared" si="22"/>
        <v>0</v>
      </c>
      <c r="X143" s="240"/>
    </row>
    <row r="144" spans="1:24">
      <c r="A144" s="15">
        <v>138</v>
      </c>
      <c r="B144" s="126" t="s">
        <v>753</v>
      </c>
      <c r="C144" s="126" t="s">
        <v>1984</v>
      </c>
      <c r="D144" s="124">
        <v>376.3</v>
      </c>
      <c r="E144" s="128">
        <v>-87097.05</v>
      </c>
      <c r="F144" s="126"/>
      <c r="G144" s="125">
        <f t="shared" si="15"/>
        <v>-87097.05</v>
      </c>
      <c r="H144" s="125"/>
      <c r="I144" s="282"/>
      <c r="J144" s="1584">
        <v>44155</v>
      </c>
      <c r="K144" s="240"/>
      <c r="L144" s="344" t="str">
        <f t="shared" si="21"/>
        <v/>
      </c>
      <c r="P144" s="14" t="str">
        <f t="shared" si="16"/>
        <v>FP-319256</v>
      </c>
      <c r="Q144" s="240">
        <v>-87097.05</v>
      </c>
      <c r="R144" s="240">
        <f t="shared" si="20"/>
        <v>-87097.05</v>
      </c>
      <c r="V144" s="240">
        <v>0</v>
      </c>
      <c r="W144" s="240">
        <f t="shared" si="22"/>
        <v>0</v>
      </c>
      <c r="X144" s="240"/>
    </row>
    <row r="145" spans="1:24">
      <c r="A145" s="15">
        <v>139</v>
      </c>
      <c r="B145" s="126" t="s">
        <v>753</v>
      </c>
      <c r="C145" s="126" t="s">
        <v>1985</v>
      </c>
      <c r="D145" s="124">
        <v>380.3</v>
      </c>
      <c r="E145" s="128">
        <v>-21795.91</v>
      </c>
      <c r="F145" s="126"/>
      <c r="G145" s="125">
        <f t="shared" si="15"/>
        <v>-21795.91</v>
      </c>
      <c r="H145" s="125"/>
      <c r="I145" s="282"/>
      <c r="J145" s="1584">
        <v>44155</v>
      </c>
      <c r="K145" s="240"/>
      <c r="L145" s="344" t="str">
        <f t="shared" si="21"/>
        <v/>
      </c>
      <c r="P145" s="14" t="str">
        <f t="shared" si="16"/>
        <v>FP-319257</v>
      </c>
      <c r="Q145" s="240">
        <v>-21795.91</v>
      </c>
      <c r="R145" s="240">
        <f t="shared" si="20"/>
        <v>-21795.91</v>
      </c>
      <c r="V145" s="240">
        <v>0</v>
      </c>
      <c r="W145" s="240">
        <f t="shared" si="22"/>
        <v>0</v>
      </c>
      <c r="X145" s="240"/>
    </row>
    <row r="146" spans="1:24">
      <c r="A146" s="15">
        <v>140</v>
      </c>
      <c r="B146" s="346"/>
      <c r="C146" s="347"/>
      <c r="D146" s="129"/>
      <c r="E146" s="348">
        <f>SUM(E34:E145)</f>
        <v>88517757.529999986</v>
      </c>
      <c r="F146" s="346"/>
      <c r="G146" s="349">
        <f>SUM(G32:G145)</f>
        <v>64423460.310535997</v>
      </c>
      <c r="H146" s="349">
        <f>SUM(H32:H145)</f>
        <v>7885039.2200000007</v>
      </c>
      <c r="I146" s="350"/>
      <c r="J146" s="1582"/>
      <c r="K146" s="240"/>
      <c r="L146" s="344" t="str">
        <f t="shared" si="21"/>
        <v/>
      </c>
      <c r="Q146" s="240"/>
      <c r="R146" s="240"/>
      <c r="V146" s="240"/>
      <c r="W146" s="240"/>
      <c r="X146" s="240"/>
    </row>
    <row r="147" spans="1:24">
      <c r="A147" s="15">
        <v>141</v>
      </c>
      <c r="B147" s="346"/>
      <c r="C147" s="347"/>
      <c r="D147" s="127"/>
      <c r="E147" s="128"/>
      <c r="F147" s="346"/>
      <c r="G147" s="1704"/>
      <c r="H147" s="1704"/>
      <c r="I147" s="350"/>
      <c r="J147" s="1582"/>
      <c r="K147" s="240"/>
      <c r="L147" s="344"/>
      <c r="Q147" s="240"/>
      <c r="R147" s="240"/>
      <c r="V147" s="240"/>
      <c r="W147" s="240"/>
      <c r="X147" s="240"/>
    </row>
    <row r="148" spans="1:24">
      <c r="A148" s="15">
        <v>142</v>
      </c>
      <c r="B148" s="126" t="s">
        <v>762</v>
      </c>
      <c r="C148" s="126" t="s">
        <v>763</v>
      </c>
      <c r="D148" s="124">
        <v>392.2</v>
      </c>
      <c r="E148" s="128">
        <v>219131.38</v>
      </c>
      <c r="F148" s="126"/>
      <c r="G148" s="125">
        <f t="shared" si="15"/>
        <v>219131.38</v>
      </c>
      <c r="H148" s="125"/>
      <c r="I148" s="282"/>
      <c r="J148" s="1584">
        <v>44012</v>
      </c>
      <c r="K148" s="240"/>
      <c r="L148" s="344" t="str">
        <f t="shared" si="21"/>
        <v/>
      </c>
      <c r="P148" s="14" t="str">
        <f t="shared" ref="P148:P195" si="23">LEFT(C148, 9)</f>
        <v>FP-101204</v>
      </c>
      <c r="Q148" s="240">
        <v>219131.38</v>
      </c>
      <c r="R148" s="240">
        <f t="shared" ref="R148:R195" si="24">IFERROR(VLOOKUP(P148,$M$8:$N$27,2,FALSE), Q148)</f>
        <v>219131.38</v>
      </c>
      <c r="V148" s="240">
        <v>0</v>
      </c>
      <c r="W148" s="240">
        <f t="shared" si="22"/>
        <v>0</v>
      </c>
      <c r="X148" s="240"/>
    </row>
    <row r="149" spans="1:24">
      <c r="A149" s="15">
        <v>143</v>
      </c>
      <c r="B149" s="126" t="s">
        <v>762</v>
      </c>
      <c r="C149" s="126" t="s">
        <v>1968</v>
      </c>
      <c r="D149" s="124">
        <v>394.1</v>
      </c>
      <c r="E149" s="128">
        <v>1359.54</v>
      </c>
      <c r="F149" s="126"/>
      <c r="G149" s="125">
        <f t="shared" si="15"/>
        <v>1359.54</v>
      </c>
      <c r="H149" s="125"/>
      <c r="I149" s="282"/>
      <c r="J149" s="1584">
        <v>43921</v>
      </c>
      <c r="K149" s="240"/>
      <c r="L149" s="344" t="str">
        <f t="shared" si="21"/>
        <v/>
      </c>
      <c r="P149" s="14" t="str">
        <f t="shared" si="23"/>
        <v>FP-101288</v>
      </c>
      <c r="Q149" s="240">
        <v>1359.54</v>
      </c>
      <c r="R149" s="240">
        <f t="shared" si="24"/>
        <v>1359.54</v>
      </c>
      <c r="V149" s="240">
        <v>0</v>
      </c>
      <c r="W149" s="240">
        <f t="shared" si="22"/>
        <v>0</v>
      </c>
      <c r="X149" s="240"/>
    </row>
    <row r="150" spans="1:24">
      <c r="A150" s="15">
        <v>144</v>
      </c>
      <c r="B150" s="126" t="s">
        <v>762</v>
      </c>
      <c r="C150" s="126" t="s">
        <v>1969</v>
      </c>
      <c r="D150" s="124">
        <v>390.1</v>
      </c>
      <c r="E150" s="128">
        <v>36245.61</v>
      </c>
      <c r="F150" s="126"/>
      <c r="G150" s="125">
        <f t="shared" si="15"/>
        <v>36245.61</v>
      </c>
      <c r="H150" s="125"/>
      <c r="I150" s="282"/>
      <c r="J150" s="1584">
        <v>43860</v>
      </c>
      <c r="K150" s="240"/>
      <c r="L150" s="344" t="str">
        <f t="shared" si="21"/>
        <v/>
      </c>
      <c r="P150" s="14" t="str">
        <f t="shared" si="23"/>
        <v>FP-101413</v>
      </c>
      <c r="Q150" s="240">
        <v>36245.61</v>
      </c>
      <c r="R150" s="240">
        <f t="shared" si="24"/>
        <v>36245.61</v>
      </c>
      <c r="V150" s="240">
        <v>0</v>
      </c>
      <c r="W150" s="240">
        <f t="shared" si="22"/>
        <v>0</v>
      </c>
      <c r="X150" s="240"/>
    </row>
    <row r="151" spans="1:24">
      <c r="A151" s="15">
        <v>145</v>
      </c>
      <c r="B151" s="126" t="s">
        <v>762</v>
      </c>
      <c r="C151" s="126" t="s">
        <v>2261</v>
      </c>
      <c r="D151" s="124">
        <v>391.3</v>
      </c>
      <c r="E151" s="128">
        <v>27223.01</v>
      </c>
      <c r="F151" s="345">
        <f>+'State Allocation Formulas'!C21</f>
        <v>0.75170000000000003</v>
      </c>
      <c r="G151" s="125">
        <f>IF($T$8=$Q$7, Q151, R151)</f>
        <v>27223.01</v>
      </c>
      <c r="H151" s="125"/>
      <c r="I151" s="282"/>
      <c r="J151" s="1584">
        <v>43952</v>
      </c>
      <c r="K151" s="240"/>
      <c r="L151" s="344" t="str">
        <f t="shared" si="21"/>
        <v/>
      </c>
      <c r="P151" s="14" t="str">
        <f t="shared" si="23"/>
        <v>FP-306967</v>
      </c>
      <c r="Q151" s="240">
        <v>27223.01</v>
      </c>
      <c r="R151" s="240">
        <f t="shared" si="24"/>
        <v>27223.01</v>
      </c>
      <c r="V151" s="240">
        <v>0</v>
      </c>
      <c r="W151" s="240">
        <f t="shared" si="22"/>
        <v>0</v>
      </c>
      <c r="X151" s="240"/>
    </row>
    <row r="152" spans="1:24">
      <c r="A152" s="15">
        <v>146</v>
      </c>
      <c r="B152" s="126" t="s">
        <v>762</v>
      </c>
      <c r="C152" s="126" t="s">
        <v>2392</v>
      </c>
      <c r="D152" s="124">
        <v>391.1</v>
      </c>
      <c r="E152" s="128">
        <v>176798.64</v>
      </c>
      <c r="F152" s="345">
        <f>+'State Allocation Formulas'!C21</f>
        <v>0.75170000000000003</v>
      </c>
      <c r="G152" s="125">
        <f t="shared" si="15"/>
        <v>176798.64</v>
      </c>
      <c r="H152" s="125"/>
      <c r="I152" s="282"/>
      <c r="J152" s="1584">
        <v>44196</v>
      </c>
      <c r="K152" s="240"/>
      <c r="L152" s="344" t="str">
        <f t="shared" si="21"/>
        <v/>
      </c>
      <c r="P152" s="14" t="str">
        <f t="shared" si="23"/>
        <v>FP-316445</v>
      </c>
      <c r="Q152" s="240">
        <v>176798.64</v>
      </c>
      <c r="R152" s="240">
        <f t="shared" si="24"/>
        <v>176798.64</v>
      </c>
      <c r="V152" s="240">
        <v>0</v>
      </c>
      <c r="W152" s="240">
        <f t="shared" si="22"/>
        <v>0</v>
      </c>
      <c r="X152" s="240"/>
    </row>
    <row r="153" spans="1:24">
      <c r="A153" s="15">
        <v>147</v>
      </c>
      <c r="B153" s="126" t="s">
        <v>762</v>
      </c>
      <c r="C153" s="126" t="s">
        <v>2393</v>
      </c>
      <c r="D153" s="124">
        <v>391.5</v>
      </c>
      <c r="E153" s="128">
        <v>50980</v>
      </c>
      <c r="F153" s="345">
        <f>+'State Allocation Formulas'!C21</f>
        <v>0.75170000000000003</v>
      </c>
      <c r="G153" s="125">
        <f t="shared" si="15"/>
        <v>50980</v>
      </c>
      <c r="H153" s="125"/>
      <c r="I153" s="282"/>
      <c r="J153" s="1584">
        <v>44196</v>
      </c>
      <c r="K153" s="240"/>
      <c r="L153" s="344" t="str">
        <f t="shared" si="21"/>
        <v/>
      </c>
      <c r="P153" s="14" t="str">
        <f t="shared" si="23"/>
        <v>FP-316832</v>
      </c>
      <c r="Q153" s="240">
        <v>50980</v>
      </c>
      <c r="R153" s="240">
        <f t="shared" si="24"/>
        <v>50980</v>
      </c>
      <c r="V153" s="240">
        <v>0</v>
      </c>
      <c r="W153" s="240">
        <f t="shared" si="22"/>
        <v>0</v>
      </c>
      <c r="X153" s="240"/>
    </row>
    <row r="154" spans="1:24">
      <c r="A154" s="15">
        <v>148</v>
      </c>
      <c r="B154" s="126" t="s">
        <v>762</v>
      </c>
      <c r="C154" s="126" t="s">
        <v>2262</v>
      </c>
      <c r="D154" s="124">
        <v>391.3</v>
      </c>
      <c r="E154" s="128">
        <v>17333.2</v>
      </c>
      <c r="F154" s="345">
        <f>+'State Allocation Formulas'!C21</f>
        <v>0.75170000000000003</v>
      </c>
      <c r="G154" s="125">
        <f t="shared" si="15"/>
        <v>17333.2</v>
      </c>
      <c r="H154" s="125"/>
      <c r="I154" s="282"/>
      <c r="J154" s="1584">
        <v>43952</v>
      </c>
      <c r="K154" s="240"/>
      <c r="L154" s="344" t="str">
        <f t="shared" si="21"/>
        <v/>
      </c>
      <c r="P154" s="14" t="str">
        <f t="shared" si="23"/>
        <v>FP-316915</v>
      </c>
      <c r="Q154" s="240">
        <v>17333.2</v>
      </c>
      <c r="R154" s="240">
        <f t="shared" si="24"/>
        <v>17333.2</v>
      </c>
      <c r="V154" s="240">
        <v>0</v>
      </c>
      <c r="W154" s="240">
        <f t="shared" si="22"/>
        <v>0</v>
      </c>
      <c r="X154" s="240"/>
    </row>
    <row r="155" spans="1:24">
      <c r="A155" s="15">
        <v>149</v>
      </c>
      <c r="B155" s="126" t="s">
        <v>762</v>
      </c>
      <c r="C155" s="126" t="s">
        <v>2238</v>
      </c>
      <c r="D155" s="124">
        <v>390.1</v>
      </c>
      <c r="E155" s="128">
        <v>316076</v>
      </c>
      <c r="F155" s="126"/>
      <c r="G155" s="125">
        <f t="shared" si="15"/>
        <v>316076</v>
      </c>
      <c r="H155" s="125"/>
      <c r="I155" s="282"/>
      <c r="J155" s="1584">
        <v>44013</v>
      </c>
      <c r="K155" s="240"/>
      <c r="L155" s="344" t="str">
        <f t="shared" si="21"/>
        <v/>
      </c>
      <c r="P155" s="14" t="str">
        <f t="shared" si="23"/>
        <v>FP-317290</v>
      </c>
      <c r="Q155" s="240">
        <v>316076</v>
      </c>
      <c r="R155" s="240">
        <f t="shared" si="24"/>
        <v>316076</v>
      </c>
      <c r="V155" s="240">
        <v>0</v>
      </c>
      <c r="W155" s="240">
        <f t="shared" si="22"/>
        <v>0</v>
      </c>
      <c r="X155" s="240"/>
    </row>
    <row r="156" spans="1:24">
      <c r="A156" s="15">
        <v>150</v>
      </c>
      <c r="B156" s="126" t="s">
        <v>762</v>
      </c>
      <c r="C156" s="126" t="s">
        <v>1265</v>
      </c>
      <c r="D156" s="124">
        <v>390.1</v>
      </c>
      <c r="E156" s="128">
        <v>15243.69</v>
      </c>
      <c r="F156" s="126"/>
      <c r="G156" s="125">
        <f t="shared" si="15"/>
        <v>15243.69</v>
      </c>
      <c r="H156" s="125"/>
      <c r="I156" s="282"/>
      <c r="J156" s="1584">
        <v>44155</v>
      </c>
      <c r="K156" s="240"/>
      <c r="L156" s="344" t="str">
        <f t="shared" si="21"/>
        <v/>
      </c>
      <c r="P156" s="14" t="str">
        <f t="shared" si="23"/>
        <v>FP-317291</v>
      </c>
      <c r="Q156" s="240">
        <v>15243.69</v>
      </c>
      <c r="R156" s="240">
        <f t="shared" si="24"/>
        <v>15243.69</v>
      </c>
      <c r="V156" s="240">
        <v>0</v>
      </c>
      <c r="W156" s="240">
        <f t="shared" si="22"/>
        <v>0</v>
      </c>
      <c r="X156" s="240"/>
    </row>
    <row r="157" spans="1:24">
      <c r="A157" s="15">
        <v>151</v>
      </c>
      <c r="B157" s="126" t="s">
        <v>762</v>
      </c>
      <c r="C157" s="126" t="s">
        <v>2239</v>
      </c>
      <c r="D157" s="124">
        <v>390</v>
      </c>
      <c r="E157" s="128">
        <v>20392</v>
      </c>
      <c r="F157" s="126"/>
      <c r="G157" s="125">
        <f t="shared" si="15"/>
        <v>20392</v>
      </c>
      <c r="H157" s="125"/>
      <c r="I157" s="282"/>
      <c r="J157" s="1584">
        <v>43987</v>
      </c>
      <c r="K157" s="240"/>
      <c r="L157" s="344" t="str">
        <f t="shared" si="21"/>
        <v/>
      </c>
      <c r="P157" s="14" t="str">
        <f t="shared" si="23"/>
        <v>FP-317387</v>
      </c>
      <c r="Q157" s="240">
        <v>20392</v>
      </c>
      <c r="R157" s="240">
        <f t="shared" si="24"/>
        <v>20392</v>
      </c>
      <c r="V157" s="240">
        <v>0</v>
      </c>
      <c r="W157" s="240">
        <f t="shared" si="22"/>
        <v>0</v>
      </c>
      <c r="X157" s="240"/>
    </row>
    <row r="158" spans="1:24">
      <c r="A158" s="15">
        <v>152</v>
      </c>
      <c r="B158" s="126" t="s">
        <v>762</v>
      </c>
      <c r="C158" s="126" t="s">
        <v>2394</v>
      </c>
      <c r="D158" s="124">
        <v>397</v>
      </c>
      <c r="E158" s="128">
        <v>509800</v>
      </c>
      <c r="F158" s="773">
        <f>+'State Allocation Formulas'!C21</f>
        <v>0.75170000000000003</v>
      </c>
      <c r="G158" s="125">
        <f t="shared" si="15"/>
        <v>509800</v>
      </c>
      <c r="H158" s="125"/>
      <c r="I158" s="282"/>
      <c r="J158" s="1584">
        <v>44196</v>
      </c>
      <c r="K158" s="240"/>
      <c r="L158" s="344" t="str">
        <f t="shared" si="21"/>
        <v/>
      </c>
      <c r="P158" s="14" t="str">
        <f t="shared" si="23"/>
        <v>FP-318192</v>
      </c>
      <c r="Q158" s="240">
        <v>509800</v>
      </c>
      <c r="R158" s="240">
        <f t="shared" si="24"/>
        <v>509800</v>
      </c>
      <c r="V158" s="240">
        <v>0</v>
      </c>
      <c r="W158" s="240">
        <f t="shared" si="22"/>
        <v>0</v>
      </c>
      <c r="X158" s="240"/>
    </row>
    <row r="159" spans="1:24">
      <c r="A159" s="15">
        <v>153</v>
      </c>
      <c r="B159" s="126" t="s">
        <v>762</v>
      </c>
      <c r="C159" s="126" t="s">
        <v>2395</v>
      </c>
      <c r="D159" s="124">
        <v>397</v>
      </c>
      <c r="E159" s="128">
        <v>1223.52</v>
      </c>
      <c r="F159" s="773">
        <f>+'State Allocation Formulas'!C21</f>
        <v>0.75170000000000003</v>
      </c>
      <c r="G159" s="125">
        <f t="shared" si="15"/>
        <v>1223.52</v>
      </c>
      <c r="H159" s="125"/>
      <c r="I159" s="282"/>
      <c r="J159" s="1584">
        <v>44196</v>
      </c>
      <c r="K159" s="240"/>
      <c r="L159" s="344" t="str">
        <f t="shared" si="21"/>
        <v/>
      </c>
      <c r="P159" s="14" t="str">
        <f t="shared" si="23"/>
        <v>FP-318197</v>
      </c>
      <c r="Q159" s="240">
        <v>1223.52</v>
      </c>
      <c r="R159" s="240">
        <f t="shared" si="24"/>
        <v>1223.52</v>
      </c>
      <c r="V159" s="240">
        <v>0</v>
      </c>
      <c r="W159" s="240">
        <f t="shared" si="22"/>
        <v>0</v>
      </c>
      <c r="X159" s="240"/>
    </row>
    <row r="160" spans="1:24">
      <c r="A160" s="15">
        <v>154</v>
      </c>
      <c r="B160" s="126" t="s">
        <v>762</v>
      </c>
      <c r="C160" s="126" t="s">
        <v>2263</v>
      </c>
      <c r="D160" s="124">
        <v>394.1</v>
      </c>
      <c r="E160" s="128">
        <v>14274.4</v>
      </c>
      <c r="F160" s="126"/>
      <c r="G160" s="125">
        <f t="shared" si="15"/>
        <v>14274.4</v>
      </c>
      <c r="H160" s="125"/>
      <c r="I160" s="282"/>
      <c r="J160" s="1584">
        <v>43862</v>
      </c>
      <c r="K160" s="240"/>
      <c r="L160" s="344" t="str">
        <f t="shared" si="21"/>
        <v/>
      </c>
      <c r="P160" s="14" t="str">
        <f t="shared" si="23"/>
        <v>FP-318317</v>
      </c>
      <c r="Q160" s="240">
        <v>14274.4</v>
      </c>
      <c r="R160" s="240">
        <f t="shared" si="24"/>
        <v>14274.4</v>
      </c>
      <c r="V160" s="240">
        <v>0</v>
      </c>
      <c r="W160" s="240">
        <f t="shared" si="22"/>
        <v>0</v>
      </c>
      <c r="X160" s="240"/>
    </row>
    <row r="161" spans="1:24">
      <c r="A161" s="15">
        <v>155</v>
      </c>
      <c r="B161" s="126" t="s">
        <v>762</v>
      </c>
      <c r="C161" s="126" t="s">
        <v>2264</v>
      </c>
      <c r="D161" s="124">
        <v>394.1</v>
      </c>
      <c r="E161" s="128">
        <v>6627.4</v>
      </c>
      <c r="F161" s="126"/>
      <c r="G161" s="125">
        <f t="shared" ref="G161:G194" si="25">IF($T$8=$Q$7, Q161, R161)</f>
        <v>6627.4</v>
      </c>
      <c r="H161" s="125"/>
      <c r="I161" s="282"/>
      <c r="J161" s="1584">
        <v>43862</v>
      </c>
      <c r="K161" s="240"/>
      <c r="L161" s="344" t="str">
        <f t="shared" si="21"/>
        <v/>
      </c>
      <c r="P161" s="14" t="str">
        <f t="shared" si="23"/>
        <v>FP-318319</v>
      </c>
      <c r="Q161" s="240">
        <v>6627.4</v>
      </c>
      <c r="R161" s="240">
        <f t="shared" si="24"/>
        <v>6627.4</v>
      </c>
      <c r="V161" s="240">
        <v>0</v>
      </c>
      <c r="W161" s="240">
        <f t="shared" si="22"/>
        <v>0</v>
      </c>
      <c r="X161" s="240"/>
    </row>
    <row r="162" spans="1:24">
      <c r="A162" s="15">
        <v>156</v>
      </c>
      <c r="B162" s="126" t="s">
        <v>762</v>
      </c>
      <c r="C162" s="126" t="s">
        <v>2240</v>
      </c>
      <c r="D162" s="124">
        <v>390.1</v>
      </c>
      <c r="E162" s="128">
        <v>1064539.08</v>
      </c>
      <c r="F162" s="126"/>
      <c r="G162" s="125">
        <f t="shared" si="25"/>
        <v>1064539.08</v>
      </c>
      <c r="H162" s="125">
        <f>IF($T$12=$V$7, V162, W162)</f>
        <v>0</v>
      </c>
      <c r="I162" s="282">
        <v>13</v>
      </c>
      <c r="J162" s="1584">
        <v>44134</v>
      </c>
      <c r="K162" s="125">
        <f>G162</f>
        <v>1064539.08</v>
      </c>
      <c r="L162" s="344">
        <f t="shared" si="21"/>
        <v>44186</v>
      </c>
      <c r="P162" s="14" t="str">
        <f t="shared" si="23"/>
        <v>FP-318352</v>
      </c>
      <c r="Q162" s="240">
        <v>1064539.08</v>
      </c>
      <c r="R162" s="240">
        <f t="shared" si="24"/>
        <v>1064539.08</v>
      </c>
      <c r="V162" s="240">
        <v>1064539.08</v>
      </c>
      <c r="W162" s="240">
        <f t="shared" si="22"/>
        <v>0</v>
      </c>
      <c r="X162" s="240"/>
    </row>
    <row r="163" spans="1:24">
      <c r="A163" s="15">
        <v>157</v>
      </c>
      <c r="B163" s="126" t="s">
        <v>762</v>
      </c>
      <c r="C163" s="126" t="s">
        <v>2265</v>
      </c>
      <c r="D163" s="124">
        <v>397</v>
      </c>
      <c r="E163" s="128">
        <v>158321.16</v>
      </c>
      <c r="F163" s="345">
        <f>+'State Allocation Formulas'!C21</f>
        <v>0.75170000000000003</v>
      </c>
      <c r="G163" s="125">
        <f t="shared" si="25"/>
        <v>158321.16</v>
      </c>
      <c r="H163" s="125"/>
      <c r="I163" s="282"/>
      <c r="J163" s="1584">
        <v>44150</v>
      </c>
      <c r="K163" s="240"/>
      <c r="L163" s="344" t="str">
        <f t="shared" si="21"/>
        <v/>
      </c>
      <c r="P163" s="14" t="str">
        <f t="shared" si="23"/>
        <v>FP-318706</v>
      </c>
      <c r="Q163" s="240">
        <v>158321.16</v>
      </c>
      <c r="R163" s="240">
        <f t="shared" si="24"/>
        <v>158321.16</v>
      </c>
      <c r="V163" s="240">
        <v>0</v>
      </c>
      <c r="W163" s="240">
        <f t="shared" si="22"/>
        <v>0</v>
      </c>
      <c r="X163" s="240"/>
    </row>
    <row r="164" spans="1:24">
      <c r="A164" s="15">
        <v>158</v>
      </c>
      <c r="B164" s="126" t="s">
        <v>762</v>
      </c>
      <c r="C164" s="126" t="s">
        <v>2241</v>
      </c>
      <c r="D164" s="124">
        <v>390.1</v>
      </c>
      <c r="E164" s="128">
        <v>620912.69999999995</v>
      </c>
      <c r="F164" s="126"/>
      <c r="G164" s="125">
        <f t="shared" si="25"/>
        <v>620912.69999999995</v>
      </c>
      <c r="H164" s="125"/>
      <c r="I164" s="282"/>
      <c r="J164" s="1584">
        <v>44136</v>
      </c>
      <c r="K164" s="240"/>
      <c r="L164" s="344" t="str">
        <f t="shared" si="21"/>
        <v/>
      </c>
      <c r="P164" s="14" t="str">
        <f t="shared" si="23"/>
        <v>FP-318797</v>
      </c>
      <c r="Q164" s="240">
        <v>620912.69999999995</v>
      </c>
      <c r="R164" s="240">
        <f t="shared" si="24"/>
        <v>620912.69999999995</v>
      </c>
      <c r="V164" s="240">
        <v>0</v>
      </c>
      <c r="W164" s="240">
        <f t="shared" si="22"/>
        <v>0</v>
      </c>
      <c r="X164" s="240"/>
    </row>
    <row r="165" spans="1:24">
      <c r="A165" s="15">
        <v>159</v>
      </c>
      <c r="B165" s="126" t="s">
        <v>762</v>
      </c>
      <c r="C165" s="126" t="s">
        <v>2242</v>
      </c>
      <c r="D165" s="124">
        <v>390.1</v>
      </c>
      <c r="E165" s="128">
        <v>76470</v>
      </c>
      <c r="F165" s="126"/>
      <c r="G165" s="125">
        <f t="shared" si="25"/>
        <v>76470</v>
      </c>
      <c r="H165" s="125"/>
      <c r="I165" s="282"/>
      <c r="J165" s="1584">
        <v>44043</v>
      </c>
      <c r="K165" s="240"/>
      <c r="L165" s="344" t="str">
        <f t="shared" si="21"/>
        <v/>
      </c>
      <c r="P165" s="14" t="str">
        <f t="shared" si="23"/>
        <v>FP-318801</v>
      </c>
      <c r="Q165" s="240">
        <v>76470</v>
      </c>
      <c r="R165" s="240">
        <f t="shared" si="24"/>
        <v>76470</v>
      </c>
      <c r="V165" s="240">
        <v>0</v>
      </c>
      <c r="W165" s="240">
        <f t="shared" si="22"/>
        <v>0</v>
      </c>
      <c r="X165" s="240"/>
    </row>
    <row r="166" spans="1:24">
      <c r="A166" s="15">
        <v>160</v>
      </c>
      <c r="B166" s="126" t="s">
        <v>762</v>
      </c>
      <c r="C166" s="126" t="s">
        <v>2266</v>
      </c>
      <c r="D166" s="124">
        <v>394.1</v>
      </c>
      <c r="E166" s="128">
        <v>33646.800000000003</v>
      </c>
      <c r="F166" s="126"/>
      <c r="G166" s="125">
        <f t="shared" si="25"/>
        <v>33646.800000000003</v>
      </c>
      <c r="H166" s="125"/>
      <c r="I166" s="282"/>
      <c r="J166" s="1584">
        <v>43951</v>
      </c>
      <c r="K166" s="240"/>
      <c r="L166" s="344" t="str">
        <f t="shared" si="21"/>
        <v/>
      </c>
      <c r="P166" s="14" t="str">
        <f t="shared" si="23"/>
        <v>FP-318889</v>
      </c>
      <c r="Q166" s="240">
        <v>33646.800000000003</v>
      </c>
      <c r="R166" s="240">
        <f t="shared" si="24"/>
        <v>33646.800000000003</v>
      </c>
      <c r="V166" s="240">
        <v>0</v>
      </c>
      <c r="W166" s="240">
        <f t="shared" si="22"/>
        <v>0</v>
      </c>
      <c r="X166" s="240"/>
    </row>
    <row r="167" spans="1:24">
      <c r="A167" s="15">
        <v>161</v>
      </c>
      <c r="B167" s="126" t="s">
        <v>762</v>
      </c>
      <c r="C167" s="126" t="s">
        <v>2267</v>
      </c>
      <c r="D167" s="124">
        <v>394.1</v>
      </c>
      <c r="E167" s="128">
        <v>23450.799999999999</v>
      </c>
      <c r="F167" s="126"/>
      <c r="G167" s="125">
        <f t="shared" si="25"/>
        <v>23450.799999999999</v>
      </c>
      <c r="H167" s="125"/>
      <c r="I167" s="282"/>
      <c r="J167" s="1584">
        <v>43951</v>
      </c>
      <c r="K167" s="240"/>
      <c r="L167" s="344" t="str">
        <f t="shared" si="21"/>
        <v/>
      </c>
      <c r="P167" s="14" t="str">
        <f t="shared" si="23"/>
        <v>FP-318904</v>
      </c>
      <c r="Q167" s="240">
        <v>23450.799999999999</v>
      </c>
      <c r="R167" s="240">
        <f t="shared" si="24"/>
        <v>23450.799999999999</v>
      </c>
      <c r="V167" s="240">
        <v>0</v>
      </c>
      <c r="W167" s="240">
        <f t="shared" si="22"/>
        <v>0</v>
      </c>
      <c r="X167" s="240"/>
    </row>
    <row r="168" spans="1:24">
      <c r="A168" s="15">
        <v>162</v>
      </c>
      <c r="B168" s="126" t="s">
        <v>762</v>
      </c>
      <c r="C168" s="126" t="s">
        <v>2268</v>
      </c>
      <c r="D168" s="124">
        <v>394.1</v>
      </c>
      <c r="E168" s="128">
        <v>23450.799999999999</v>
      </c>
      <c r="F168" s="126"/>
      <c r="G168" s="125">
        <f t="shared" si="25"/>
        <v>23450.799999999999</v>
      </c>
      <c r="H168" s="125"/>
      <c r="I168" s="282"/>
      <c r="J168" s="1584">
        <v>43988</v>
      </c>
      <c r="K168" s="240"/>
      <c r="L168" s="344" t="str">
        <f t="shared" si="21"/>
        <v/>
      </c>
      <c r="P168" s="14" t="str">
        <f t="shared" si="23"/>
        <v>FP-318914</v>
      </c>
      <c r="Q168" s="240">
        <v>23450.799999999999</v>
      </c>
      <c r="R168" s="240">
        <f t="shared" si="24"/>
        <v>23450.799999999999</v>
      </c>
      <c r="V168" s="240">
        <v>0</v>
      </c>
      <c r="W168" s="240">
        <f t="shared" si="22"/>
        <v>0</v>
      </c>
      <c r="X168" s="240"/>
    </row>
    <row r="169" spans="1:24">
      <c r="A169" s="15">
        <v>163</v>
      </c>
      <c r="B169" s="126" t="s">
        <v>762</v>
      </c>
      <c r="C169" s="126" t="s">
        <v>2269</v>
      </c>
      <c r="D169" s="124">
        <v>394.1</v>
      </c>
      <c r="E169" s="128">
        <v>23450.799999999999</v>
      </c>
      <c r="F169" s="126"/>
      <c r="G169" s="125">
        <f t="shared" si="25"/>
        <v>23450.799999999999</v>
      </c>
      <c r="H169" s="125"/>
      <c r="I169" s="282"/>
      <c r="J169" s="1584">
        <v>44135</v>
      </c>
      <c r="K169" s="240"/>
      <c r="L169" s="344" t="str">
        <f t="shared" si="21"/>
        <v/>
      </c>
      <c r="P169" s="14" t="str">
        <f t="shared" si="23"/>
        <v>FP-318918</v>
      </c>
      <c r="Q169" s="240">
        <v>23450.799999999999</v>
      </c>
      <c r="R169" s="240">
        <f t="shared" si="24"/>
        <v>23450.799999999999</v>
      </c>
      <c r="V169" s="240">
        <v>0</v>
      </c>
      <c r="W169" s="240">
        <f t="shared" si="22"/>
        <v>0</v>
      </c>
      <c r="X169" s="240"/>
    </row>
    <row r="170" spans="1:24">
      <c r="A170" s="15">
        <v>164</v>
      </c>
      <c r="B170" s="126" t="s">
        <v>762</v>
      </c>
      <c r="C170" s="126" t="s">
        <v>2270</v>
      </c>
      <c r="D170" s="124">
        <v>394.1</v>
      </c>
      <c r="E170" s="128">
        <v>8156.8</v>
      </c>
      <c r="F170" s="126"/>
      <c r="G170" s="125">
        <f t="shared" si="25"/>
        <v>8156.8</v>
      </c>
      <c r="H170" s="125"/>
      <c r="I170" s="282"/>
      <c r="J170" s="1584">
        <v>43982</v>
      </c>
      <c r="K170" s="240"/>
      <c r="L170" s="344" t="str">
        <f t="shared" si="21"/>
        <v/>
      </c>
      <c r="P170" s="14" t="str">
        <f t="shared" si="23"/>
        <v>FP-318957</v>
      </c>
      <c r="Q170" s="240">
        <v>8156.8</v>
      </c>
      <c r="R170" s="240">
        <f t="shared" si="24"/>
        <v>8156.8</v>
      </c>
      <c r="V170" s="240">
        <v>0</v>
      </c>
      <c r="W170" s="240">
        <f t="shared" si="22"/>
        <v>0</v>
      </c>
      <c r="X170" s="240"/>
    </row>
    <row r="171" spans="1:24">
      <c r="A171" s="15">
        <v>165</v>
      </c>
      <c r="B171" s="126" t="s">
        <v>762</v>
      </c>
      <c r="C171" s="126" t="s">
        <v>2271</v>
      </c>
      <c r="D171" s="124">
        <v>394.1</v>
      </c>
      <c r="E171" s="128">
        <v>25490</v>
      </c>
      <c r="F171" s="126"/>
      <c r="G171" s="125">
        <f t="shared" si="25"/>
        <v>25490</v>
      </c>
      <c r="H171" s="125"/>
      <c r="I171" s="282"/>
      <c r="J171" s="1584">
        <v>43951</v>
      </c>
      <c r="K171" s="240"/>
      <c r="L171" s="344" t="str">
        <f t="shared" si="21"/>
        <v/>
      </c>
      <c r="P171" s="14" t="str">
        <f t="shared" si="23"/>
        <v>FP-318958</v>
      </c>
      <c r="Q171" s="240">
        <v>25490</v>
      </c>
      <c r="R171" s="240">
        <f t="shared" si="24"/>
        <v>25490</v>
      </c>
      <c r="V171" s="240">
        <v>0</v>
      </c>
      <c r="W171" s="240">
        <f t="shared" si="22"/>
        <v>0</v>
      </c>
      <c r="X171" s="240"/>
    </row>
    <row r="172" spans="1:24">
      <c r="A172" s="15">
        <v>166</v>
      </c>
      <c r="B172" s="126" t="s">
        <v>762</v>
      </c>
      <c r="C172" s="126" t="s">
        <v>2272</v>
      </c>
      <c r="D172" s="124">
        <v>394.1</v>
      </c>
      <c r="E172" s="128">
        <v>20392</v>
      </c>
      <c r="F172" s="126"/>
      <c r="G172" s="125">
        <f t="shared" si="25"/>
        <v>20392</v>
      </c>
      <c r="H172" s="125"/>
      <c r="I172" s="282"/>
      <c r="J172" s="1584">
        <v>44135</v>
      </c>
      <c r="K172" s="240"/>
      <c r="L172" s="344" t="str">
        <f t="shared" si="21"/>
        <v/>
      </c>
      <c r="P172" s="14" t="str">
        <f t="shared" si="23"/>
        <v>FP-318959</v>
      </c>
      <c r="Q172" s="240">
        <v>20392</v>
      </c>
      <c r="R172" s="240">
        <f t="shared" si="24"/>
        <v>20392</v>
      </c>
      <c r="V172" s="240">
        <v>0</v>
      </c>
      <c r="W172" s="240">
        <f t="shared" si="22"/>
        <v>0</v>
      </c>
      <c r="X172" s="240"/>
    </row>
    <row r="173" spans="1:24">
      <c r="A173" s="15">
        <v>167</v>
      </c>
      <c r="B173" s="126" t="s">
        <v>762</v>
      </c>
      <c r="C173" s="126" t="s">
        <v>2273</v>
      </c>
      <c r="D173" s="124">
        <v>394.1</v>
      </c>
      <c r="E173" s="128">
        <v>7137.2</v>
      </c>
      <c r="F173" s="126"/>
      <c r="G173" s="125">
        <f t="shared" si="25"/>
        <v>7137.2</v>
      </c>
      <c r="H173" s="125"/>
      <c r="I173" s="282"/>
      <c r="J173" s="1584">
        <v>43925</v>
      </c>
      <c r="K173" s="240"/>
      <c r="L173" s="344" t="str">
        <f t="shared" si="21"/>
        <v/>
      </c>
      <c r="P173" s="14" t="str">
        <f t="shared" si="23"/>
        <v>FP-319025</v>
      </c>
      <c r="Q173" s="240">
        <v>7137.2</v>
      </c>
      <c r="R173" s="240">
        <f t="shared" si="24"/>
        <v>7137.2</v>
      </c>
      <c r="V173" s="240">
        <v>0</v>
      </c>
      <c r="W173" s="240">
        <f t="shared" si="22"/>
        <v>0</v>
      </c>
      <c r="X173" s="240"/>
    </row>
    <row r="174" spans="1:24">
      <c r="A174" s="15">
        <v>168</v>
      </c>
      <c r="B174" s="126" t="s">
        <v>762</v>
      </c>
      <c r="C174" s="126" t="s">
        <v>2274</v>
      </c>
      <c r="D174" s="124">
        <v>394</v>
      </c>
      <c r="E174" s="128">
        <v>76238.350000000006</v>
      </c>
      <c r="F174" s="345">
        <f>+'State Allocation Formulas'!C21</f>
        <v>0.75170000000000003</v>
      </c>
      <c r="G174" s="125">
        <f t="shared" si="25"/>
        <v>76238.350000000006</v>
      </c>
      <c r="H174" s="125"/>
      <c r="I174" s="282"/>
      <c r="J174" s="1584">
        <v>44012</v>
      </c>
      <c r="K174" s="240"/>
      <c r="L174" s="344" t="str">
        <f t="shared" si="21"/>
        <v/>
      </c>
      <c r="P174" s="14" t="str">
        <f t="shared" si="23"/>
        <v>FP-319043</v>
      </c>
      <c r="Q174" s="240">
        <v>76238.350000000006</v>
      </c>
      <c r="R174" s="240">
        <f t="shared" si="24"/>
        <v>76238.350000000006</v>
      </c>
      <c r="V174" s="240">
        <v>0</v>
      </c>
      <c r="W174" s="240">
        <f t="shared" si="22"/>
        <v>0</v>
      </c>
      <c r="X174" s="240"/>
    </row>
    <row r="175" spans="1:24">
      <c r="A175" s="15">
        <v>169</v>
      </c>
      <c r="B175" s="126" t="s">
        <v>762</v>
      </c>
      <c r="C175" s="126" t="s">
        <v>2243</v>
      </c>
      <c r="D175" s="124">
        <v>390.1</v>
      </c>
      <c r="E175" s="128">
        <v>195305.21</v>
      </c>
      <c r="F175" s="126"/>
      <c r="G175" s="125">
        <f t="shared" si="25"/>
        <v>195305.21</v>
      </c>
      <c r="H175" s="125"/>
      <c r="I175" s="282"/>
      <c r="J175" s="1584">
        <v>44104</v>
      </c>
      <c r="K175" s="240"/>
      <c r="L175" s="344" t="str">
        <f t="shared" si="21"/>
        <v/>
      </c>
      <c r="P175" s="14" t="str">
        <f t="shared" si="23"/>
        <v>FP-319044</v>
      </c>
      <c r="Q175" s="240">
        <v>195305.21</v>
      </c>
      <c r="R175" s="240">
        <f t="shared" si="24"/>
        <v>195305.21</v>
      </c>
      <c r="V175" s="240">
        <v>0</v>
      </c>
      <c r="W175" s="240">
        <f t="shared" si="22"/>
        <v>0</v>
      </c>
      <c r="X175" s="240"/>
    </row>
    <row r="176" spans="1:24">
      <c r="A176" s="15">
        <v>170</v>
      </c>
      <c r="B176" s="126" t="s">
        <v>762</v>
      </c>
      <c r="C176" s="126" t="s">
        <v>2275</v>
      </c>
      <c r="D176" s="124">
        <v>394</v>
      </c>
      <c r="E176" s="128">
        <v>11422.98</v>
      </c>
      <c r="F176" s="345">
        <f>+'State Allocation Formulas'!C21</f>
        <v>0.75170000000000003</v>
      </c>
      <c r="G176" s="125">
        <f t="shared" si="25"/>
        <v>11422.98</v>
      </c>
      <c r="H176" s="125"/>
      <c r="I176" s="282"/>
      <c r="J176" s="1584">
        <v>43920</v>
      </c>
      <c r="K176" s="240"/>
      <c r="L176" s="344" t="str">
        <f t="shared" si="21"/>
        <v/>
      </c>
      <c r="P176" s="14" t="str">
        <f t="shared" si="23"/>
        <v>FP-319045</v>
      </c>
      <c r="Q176" s="240">
        <v>11422.98</v>
      </c>
      <c r="R176" s="240">
        <f t="shared" si="24"/>
        <v>11422.98</v>
      </c>
      <c r="V176" s="240">
        <v>0</v>
      </c>
      <c r="W176" s="240">
        <f t="shared" si="22"/>
        <v>0</v>
      </c>
      <c r="X176" s="240"/>
    </row>
    <row r="177" spans="1:24">
      <c r="A177" s="15">
        <v>171</v>
      </c>
      <c r="B177" s="126" t="s">
        <v>762</v>
      </c>
      <c r="C177" s="126" t="s">
        <v>2276</v>
      </c>
      <c r="D177" s="124">
        <v>394</v>
      </c>
      <c r="E177" s="128">
        <v>13240.14</v>
      </c>
      <c r="F177" s="345">
        <f>+'State Allocation Formulas'!C21</f>
        <v>0.75170000000000003</v>
      </c>
      <c r="G177" s="125">
        <f t="shared" si="25"/>
        <v>13240.14</v>
      </c>
      <c r="H177" s="125"/>
      <c r="I177" s="282"/>
      <c r="J177" s="1584">
        <v>44012</v>
      </c>
      <c r="K177" s="240"/>
      <c r="L177" s="344" t="str">
        <f t="shared" si="21"/>
        <v/>
      </c>
      <c r="P177" s="14" t="str">
        <f t="shared" si="23"/>
        <v>FP-319048</v>
      </c>
      <c r="Q177" s="240">
        <v>13240.14</v>
      </c>
      <c r="R177" s="240">
        <f t="shared" si="24"/>
        <v>13240.14</v>
      </c>
      <c r="V177" s="240">
        <v>0</v>
      </c>
      <c r="W177" s="240">
        <f t="shared" si="22"/>
        <v>0</v>
      </c>
      <c r="X177" s="240"/>
    </row>
    <row r="178" spans="1:24">
      <c r="A178" s="15">
        <v>172</v>
      </c>
      <c r="B178" s="126" t="s">
        <v>762</v>
      </c>
      <c r="C178" s="126" t="s">
        <v>2244</v>
      </c>
      <c r="D178" s="124">
        <v>390</v>
      </c>
      <c r="E178" s="128">
        <v>67673.91</v>
      </c>
      <c r="F178" s="345">
        <f>+'State Allocation Formulas'!C21</f>
        <v>0.75170000000000003</v>
      </c>
      <c r="G178" s="125">
        <f t="shared" si="25"/>
        <v>67673.91</v>
      </c>
      <c r="H178" s="125"/>
      <c r="I178" s="282"/>
      <c r="J178" s="1584">
        <v>43900</v>
      </c>
      <c r="K178" s="240"/>
      <c r="L178" s="344" t="str">
        <f t="shared" si="21"/>
        <v/>
      </c>
      <c r="P178" s="14" t="str">
        <f t="shared" si="23"/>
        <v>FP-319052</v>
      </c>
      <c r="Q178" s="240">
        <v>67673.91</v>
      </c>
      <c r="R178" s="240">
        <f t="shared" si="24"/>
        <v>67673.91</v>
      </c>
      <c r="V178" s="240">
        <v>0</v>
      </c>
      <c r="W178" s="240">
        <f t="shared" si="22"/>
        <v>0</v>
      </c>
      <c r="X178" s="240"/>
    </row>
    <row r="179" spans="1:24">
      <c r="A179" s="15">
        <v>173</v>
      </c>
      <c r="B179" s="126" t="s">
        <v>762</v>
      </c>
      <c r="C179" s="126" t="s">
        <v>2277</v>
      </c>
      <c r="D179" s="124">
        <v>394</v>
      </c>
      <c r="E179" s="128">
        <v>5955.01</v>
      </c>
      <c r="F179" s="345">
        <f>+'State Allocation Formulas'!C21</f>
        <v>0.75170000000000003</v>
      </c>
      <c r="G179" s="125">
        <f t="shared" si="25"/>
        <v>5955.01</v>
      </c>
      <c r="H179" s="125"/>
      <c r="I179" s="282"/>
      <c r="J179" s="1584">
        <v>43891</v>
      </c>
      <c r="K179" s="240"/>
      <c r="L179" s="344" t="str">
        <f t="shared" si="21"/>
        <v/>
      </c>
      <c r="P179" s="14" t="str">
        <f t="shared" si="23"/>
        <v>FP-319053</v>
      </c>
      <c r="Q179" s="240">
        <v>5955.01</v>
      </c>
      <c r="R179" s="240">
        <f t="shared" si="24"/>
        <v>5955.01</v>
      </c>
      <c r="V179" s="240">
        <v>0</v>
      </c>
      <c r="W179" s="240">
        <f t="shared" si="22"/>
        <v>0</v>
      </c>
      <c r="X179" s="240"/>
    </row>
    <row r="180" spans="1:24">
      <c r="A180" s="15">
        <v>174</v>
      </c>
      <c r="B180" s="126" t="s">
        <v>762</v>
      </c>
      <c r="C180" s="126" t="s">
        <v>2245</v>
      </c>
      <c r="D180" s="124">
        <v>390.1</v>
      </c>
      <c r="E180" s="128">
        <v>23392</v>
      </c>
      <c r="F180" s="126"/>
      <c r="G180" s="125">
        <f t="shared" si="25"/>
        <v>23392</v>
      </c>
      <c r="H180" s="125"/>
      <c r="I180" s="282"/>
      <c r="J180" s="1584">
        <v>43920</v>
      </c>
      <c r="K180" s="240"/>
      <c r="L180" s="344" t="str">
        <f t="shared" si="21"/>
        <v/>
      </c>
      <c r="P180" s="14" t="str">
        <f t="shared" si="23"/>
        <v>FP-319090</v>
      </c>
      <c r="Q180" s="240">
        <v>23392</v>
      </c>
      <c r="R180" s="240">
        <f t="shared" si="24"/>
        <v>23392</v>
      </c>
      <c r="V180" s="240">
        <v>0</v>
      </c>
      <c r="W180" s="240">
        <f t="shared" si="22"/>
        <v>0</v>
      </c>
      <c r="X180" s="240"/>
    </row>
    <row r="181" spans="1:24">
      <c r="A181" s="15">
        <v>175</v>
      </c>
      <c r="B181" s="126" t="s">
        <v>762</v>
      </c>
      <c r="C181" s="126" t="s">
        <v>2246</v>
      </c>
      <c r="D181" s="124">
        <v>390.1</v>
      </c>
      <c r="E181" s="128">
        <v>46705.599999999999</v>
      </c>
      <c r="F181" s="126"/>
      <c r="G181" s="125">
        <f t="shared" si="25"/>
        <v>46705.599999999999</v>
      </c>
      <c r="H181" s="125"/>
      <c r="I181" s="282"/>
      <c r="J181" s="1584">
        <v>44094</v>
      </c>
      <c r="K181" s="240"/>
      <c r="L181" s="344" t="str">
        <f t="shared" si="21"/>
        <v/>
      </c>
      <c r="P181" s="14" t="str">
        <f t="shared" si="23"/>
        <v>FP-319091</v>
      </c>
      <c r="Q181" s="240">
        <v>46705.599999999999</v>
      </c>
      <c r="R181" s="240">
        <f t="shared" si="24"/>
        <v>46705.599999999999</v>
      </c>
      <c r="V181" s="240">
        <v>0</v>
      </c>
      <c r="W181" s="240">
        <f t="shared" si="22"/>
        <v>0</v>
      </c>
      <c r="X181" s="240"/>
    </row>
    <row r="182" spans="1:24">
      <c r="A182" s="15">
        <v>176</v>
      </c>
      <c r="B182" s="126" t="s">
        <v>762</v>
      </c>
      <c r="C182" s="126" t="s">
        <v>2247</v>
      </c>
      <c r="D182" s="124">
        <v>390.1</v>
      </c>
      <c r="E182" s="128">
        <v>18294</v>
      </c>
      <c r="F182" s="126"/>
      <c r="G182" s="125">
        <f t="shared" si="25"/>
        <v>18294</v>
      </c>
      <c r="H182" s="125"/>
      <c r="I182" s="282"/>
      <c r="J182" s="1584">
        <v>44185</v>
      </c>
      <c r="K182" s="240"/>
      <c r="L182" s="344" t="str">
        <f t="shared" si="21"/>
        <v/>
      </c>
      <c r="P182" s="14" t="str">
        <f t="shared" si="23"/>
        <v>FP-319092</v>
      </c>
      <c r="Q182" s="240">
        <v>18294</v>
      </c>
      <c r="R182" s="240">
        <f t="shared" si="24"/>
        <v>18294</v>
      </c>
      <c r="V182" s="240">
        <v>0</v>
      </c>
      <c r="W182" s="240">
        <f t="shared" si="22"/>
        <v>0</v>
      </c>
      <c r="X182" s="240"/>
    </row>
    <row r="183" spans="1:24">
      <c r="A183" s="15">
        <v>177</v>
      </c>
      <c r="B183" s="126" t="s">
        <v>762</v>
      </c>
      <c r="C183" s="126" t="s">
        <v>2248</v>
      </c>
      <c r="D183" s="124">
        <v>390.1</v>
      </c>
      <c r="E183" s="128">
        <v>13196</v>
      </c>
      <c r="F183" s="126"/>
      <c r="G183" s="125">
        <f t="shared" si="25"/>
        <v>13196</v>
      </c>
      <c r="H183" s="125"/>
      <c r="I183" s="282"/>
      <c r="J183" s="1584">
        <v>44014</v>
      </c>
      <c r="K183" s="240"/>
      <c r="L183" s="344" t="str">
        <f t="shared" si="21"/>
        <v/>
      </c>
      <c r="P183" s="14" t="str">
        <f t="shared" si="23"/>
        <v>FP-319093</v>
      </c>
      <c r="Q183" s="240">
        <v>13196</v>
      </c>
      <c r="R183" s="240">
        <f t="shared" si="24"/>
        <v>13196</v>
      </c>
      <c r="V183" s="240">
        <v>0</v>
      </c>
      <c r="W183" s="240">
        <f t="shared" si="22"/>
        <v>0</v>
      </c>
      <c r="X183" s="240"/>
    </row>
    <row r="184" spans="1:24">
      <c r="A184" s="15">
        <v>178</v>
      </c>
      <c r="B184" s="126" t="s">
        <v>762</v>
      </c>
      <c r="C184" s="126" t="s">
        <v>2249</v>
      </c>
      <c r="D184" s="124">
        <v>390.1</v>
      </c>
      <c r="E184" s="128">
        <v>5607.8</v>
      </c>
      <c r="F184" s="126"/>
      <c r="G184" s="125">
        <f t="shared" si="25"/>
        <v>5607.8</v>
      </c>
      <c r="H184" s="125"/>
      <c r="I184" s="282"/>
      <c r="J184" s="1584">
        <v>44124</v>
      </c>
      <c r="K184" s="240"/>
      <c r="L184" s="344" t="str">
        <f t="shared" si="21"/>
        <v/>
      </c>
      <c r="P184" s="14" t="str">
        <f t="shared" si="23"/>
        <v>FP-319094</v>
      </c>
      <c r="Q184" s="240">
        <v>5607.8</v>
      </c>
      <c r="R184" s="240">
        <f t="shared" si="24"/>
        <v>5607.8</v>
      </c>
      <c r="V184" s="240">
        <v>0</v>
      </c>
      <c r="W184" s="240">
        <f t="shared" si="22"/>
        <v>0</v>
      </c>
      <c r="X184" s="240"/>
    </row>
    <row r="185" spans="1:24">
      <c r="A185" s="15">
        <v>179</v>
      </c>
      <c r="B185" s="126" t="s">
        <v>762</v>
      </c>
      <c r="C185" s="126" t="s">
        <v>2250</v>
      </c>
      <c r="D185" s="124">
        <v>390.1</v>
      </c>
      <c r="E185" s="128">
        <v>3958.8</v>
      </c>
      <c r="F185" s="126"/>
      <c r="G185" s="125">
        <f t="shared" si="25"/>
        <v>3958.8</v>
      </c>
      <c r="H185" s="125"/>
      <c r="I185" s="282"/>
      <c r="J185" s="1584">
        <v>44141</v>
      </c>
      <c r="K185" s="240"/>
      <c r="L185" s="344" t="str">
        <f t="shared" si="21"/>
        <v/>
      </c>
      <c r="P185" s="14" t="str">
        <f t="shared" si="23"/>
        <v>FP-319098</v>
      </c>
      <c r="Q185" s="240">
        <v>3958.8</v>
      </c>
      <c r="R185" s="240">
        <f t="shared" si="24"/>
        <v>3958.8</v>
      </c>
      <c r="V185" s="240">
        <v>0</v>
      </c>
      <c r="W185" s="240">
        <f t="shared" si="22"/>
        <v>0</v>
      </c>
      <c r="X185" s="240"/>
    </row>
    <row r="186" spans="1:24">
      <c r="A186" s="15">
        <v>180</v>
      </c>
      <c r="B186" s="126" t="s">
        <v>762</v>
      </c>
      <c r="C186" s="126" t="s">
        <v>2278</v>
      </c>
      <c r="D186" s="124">
        <v>394.1</v>
      </c>
      <c r="E186" s="128">
        <v>4282.32</v>
      </c>
      <c r="F186" s="345"/>
      <c r="G186" s="125">
        <f t="shared" si="25"/>
        <v>4282.32</v>
      </c>
      <c r="H186" s="125"/>
      <c r="I186" s="282"/>
      <c r="J186" s="1584">
        <v>43956</v>
      </c>
      <c r="K186" s="240"/>
      <c r="L186" s="344" t="str">
        <f t="shared" si="21"/>
        <v/>
      </c>
      <c r="P186" s="14" t="str">
        <f t="shared" si="23"/>
        <v>FP-319100</v>
      </c>
      <c r="Q186" s="240">
        <v>4282.32</v>
      </c>
      <c r="R186" s="240">
        <f t="shared" si="24"/>
        <v>4282.32</v>
      </c>
      <c r="V186" s="240">
        <v>0</v>
      </c>
      <c r="W186" s="240">
        <f t="shared" si="22"/>
        <v>0</v>
      </c>
      <c r="X186" s="240"/>
    </row>
    <row r="187" spans="1:24">
      <c r="A187" s="15">
        <v>181</v>
      </c>
      <c r="B187" s="126" t="s">
        <v>762</v>
      </c>
      <c r="C187" s="126" t="s">
        <v>2279</v>
      </c>
      <c r="D187" s="124">
        <v>394.1</v>
      </c>
      <c r="E187" s="128">
        <v>3059.82</v>
      </c>
      <c r="F187" s="126"/>
      <c r="G187" s="125">
        <f t="shared" si="25"/>
        <v>3059.82</v>
      </c>
      <c r="H187" s="125"/>
      <c r="I187" s="282"/>
      <c r="J187" s="1584">
        <v>43956</v>
      </c>
      <c r="K187" s="240"/>
      <c r="L187" s="344" t="str">
        <f t="shared" si="21"/>
        <v/>
      </c>
      <c r="P187" s="14" t="str">
        <f t="shared" si="23"/>
        <v>FP-319101</v>
      </c>
      <c r="Q187" s="240">
        <v>3059.82</v>
      </c>
      <c r="R187" s="240">
        <f t="shared" si="24"/>
        <v>3059.82</v>
      </c>
      <c r="V187" s="240">
        <v>0</v>
      </c>
      <c r="W187" s="240">
        <f t="shared" si="22"/>
        <v>0</v>
      </c>
      <c r="X187" s="240"/>
    </row>
    <row r="188" spans="1:24">
      <c r="A188" s="15">
        <v>182</v>
      </c>
      <c r="B188" s="126" t="s">
        <v>762</v>
      </c>
      <c r="C188" s="126" t="s">
        <v>2280</v>
      </c>
      <c r="D188" s="124">
        <v>391.5</v>
      </c>
      <c r="E188" s="128">
        <v>2447.04</v>
      </c>
      <c r="F188" s="126"/>
      <c r="G188" s="125">
        <f t="shared" si="25"/>
        <v>2447.04</v>
      </c>
      <c r="H188" s="125"/>
      <c r="I188" s="282"/>
      <c r="J188" s="1584">
        <v>43931</v>
      </c>
      <c r="K188" s="240"/>
      <c r="L188" s="344" t="str">
        <f t="shared" si="21"/>
        <v/>
      </c>
      <c r="P188" s="14" t="str">
        <f t="shared" si="23"/>
        <v>FP-319102</v>
      </c>
      <c r="Q188" s="240">
        <v>2447.04</v>
      </c>
      <c r="R188" s="240">
        <f t="shared" si="24"/>
        <v>2447.04</v>
      </c>
      <c r="V188" s="240">
        <v>0</v>
      </c>
      <c r="W188" s="240">
        <f t="shared" si="22"/>
        <v>0</v>
      </c>
      <c r="X188" s="240"/>
    </row>
    <row r="189" spans="1:24">
      <c r="A189" s="15">
        <v>183</v>
      </c>
      <c r="B189" s="126" t="s">
        <v>762</v>
      </c>
      <c r="C189" s="126" t="s">
        <v>2251</v>
      </c>
      <c r="D189" s="124">
        <v>390.1</v>
      </c>
      <c r="E189" s="128">
        <v>2039.2</v>
      </c>
      <c r="F189" s="126"/>
      <c r="G189" s="125">
        <f t="shared" si="25"/>
        <v>2039.2</v>
      </c>
      <c r="H189" s="125"/>
      <c r="I189" s="282"/>
      <c r="J189" s="1584">
        <v>44155</v>
      </c>
      <c r="K189" s="240"/>
      <c r="L189" s="344" t="str">
        <f t="shared" si="21"/>
        <v/>
      </c>
      <c r="P189" s="14" t="str">
        <f t="shared" si="23"/>
        <v>FP-319120</v>
      </c>
      <c r="Q189" s="240">
        <v>2039.2</v>
      </c>
      <c r="R189" s="240">
        <f t="shared" si="24"/>
        <v>2039.2</v>
      </c>
      <c r="V189" s="240">
        <v>0</v>
      </c>
      <c r="W189" s="240">
        <f t="shared" si="22"/>
        <v>0</v>
      </c>
      <c r="X189" s="240"/>
    </row>
    <row r="190" spans="1:24">
      <c r="A190" s="15">
        <v>184</v>
      </c>
      <c r="B190" s="126" t="s">
        <v>762</v>
      </c>
      <c r="C190" s="126" t="s">
        <v>2281</v>
      </c>
      <c r="D190" s="124">
        <v>398</v>
      </c>
      <c r="E190" s="128">
        <v>2039.2</v>
      </c>
      <c r="F190" s="126"/>
      <c r="G190" s="125">
        <f t="shared" si="25"/>
        <v>2039.2</v>
      </c>
      <c r="H190" s="125"/>
      <c r="I190" s="282"/>
      <c r="J190" s="1584">
        <v>43997</v>
      </c>
      <c r="K190" s="240"/>
      <c r="L190" s="344" t="str">
        <f t="shared" si="21"/>
        <v/>
      </c>
      <c r="P190" s="14" t="str">
        <f t="shared" si="23"/>
        <v>FP-319132</v>
      </c>
      <c r="Q190" s="240">
        <v>2039.2</v>
      </c>
      <c r="R190" s="240">
        <f t="shared" si="24"/>
        <v>2039.2</v>
      </c>
      <c r="V190" s="240">
        <v>0</v>
      </c>
      <c r="W190" s="240">
        <f t="shared" si="22"/>
        <v>0</v>
      </c>
      <c r="X190" s="240"/>
    </row>
    <row r="191" spans="1:24">
      <c r="A191" s="15">
        <v>185</v>
      </c>
      <c r="B191" s="126" t="s">
        <v>762</v>
      </c>
      <c r="C191" s="126" t="s">
        <v>2282</v>
      </c>
      <c r="D191" s="124">
        <v>394.1</v>
      </c>
      <c r="E191" s="128">
        <v>15905.76</v>
      </c>
      <c r="F191" s="126"/>
      <c r="G191" s="125">
        <f t="shared" si="25"/>
        <v>15905.76</v>
      </c>
      <c r="H191" s="125"/>
      <c r="I191" s="282"/>
      <c r="J191" s="1584">
        <v>44140</v>
      </c>
      <c r="K191" s="240"/>
      <c r="L191" s="344" t="str">
        <f t="shared" si="21"/>
        <v/>
      </c>
      <c r="P191" s="14" t="str">
        <f t="shared" si="23"/>
        <v>FP-319143</v>
      </c>
      <c r="Q191" s="240">
        <v>15905.76</v>
      </c>
      <c r="R191" s="240">
        <f t="shared" si="24"/>
        <v>15905.76</v>
      </c>
      <c r="V191" s="240">
        <v>0</v>
      </c>
      <c r="W191" s="240">
        <f t="shared" si="22"/>
        <v>0</v>
      </c>
      <c r="X191" s="240"/>
    </row>
    <row r="192" spans="1:24">
      <c r="A192" s="15">
        <v>186</v>
      </c>
      <c r="B192" s="126" t="s">
        <v>762</v>
      </c>
      <c r="C192" s="126" t="s">
        <v>2252</v>
      </c>
      <c r="D192" s="124">
        <v>390.1</v>
      </c>
      <c r="E192" s="128">
        <v>100372.18</v>
      </c>
      <c r="F192" s="345"/>
      <c r="G192" s="125">
        <f t="shared" si="25"/>
        <v>100372.18</v>
      </c>
      <c r="H192" s="125"/>
      <c r="I192" s="282"/>
      <c r="J192" s="1584">
        <v>43879</v>
      </c>
      <c r="K192" s="240"/>
      <c r="L192" s="344" t="str">
        <f t="shared" si="21"/>
        <v/>
      </c>
      <c r="P192" s="14" t="str">
        <f t="shared" si="23"/>
        <v>FP-319146</v>
      </c>
      <c r="Q192" s="240">
        <v>100372.18</v>
      </c>
      <c r="R192" s="240">
        <f t="shared" si="24"/>
        <v>100372.18</v>
      </c>
      <c r="V192" s="240">
        <v>0</v>
      </c>
      <c r="W192" s="240">
        <f t="shared" si="22"/>
        <v>0</v>
      </c>
      <c r="X192" s="240"/>
    </row>
    <row r="193" spans="1:24">
      <c r="A193" s="15">
        <v>187</v>
      </c>
      <c r="B193" s="126" t="s">
        <v>762</v>
      </c>
      <c r="C193" s="126" t="s">
        <v>2283</v>
      </c>
      <c r="D193" s="124">
        <v>394.1</v>
      </c>
      <c r="E193" s="128">
        <v>2039.2</v>
      </c>
      <c r="F193" s="345"/>
      <c r="G193" s="125">
        <f t="shared" si="25"/>
        <v>2039.2</v>
      </c>
      <c r="H193" s="125"/>
      <c r="I193" s="282"/>
      <c r="J193" s="1584">
        <v>43966</v>
      </c>
      <c r="K193" s="240"/>
      <c r="L193" s="344" t="str">
        <f t="shared" si="21"/>
        <v/>
      </c>
      <c r="P193" s="14" t="str">
        <f t="shared" si="23"/>
        <v>FP-319147</v>
      </c>
      <c r="Q193" s="240">
        <v>2039.2</v>
      </c>
      <c r="R193" s="240">
        <f t="shared" si="24"/>
        <v>2039.2</v>
      </c>
      <c r="V193" s="240">
        <v>0</v>
      </c>
      <c r="W193" s="240">
        <f t="shared" si="22"/>
        <v>0</v>
      </c>
      <c r="X193" s="240"/>
    </row>
    <row r="194" spans="1:24">
      <c r="A194" s="15">
        <v>188</v>
      </c>
      <c r="B194" s="126" t="s">
        <v>762</v>
      </c>
      <c r="C194" s="126" t="s">
        <v>2253</v>
      </c>
      <c r="D194" s="124">
        <v>394.1</v>
      </c>
      <c r="E194" s="128">
        <v>5534.02</v>
      </c>
      <c r="F194" s="345">
        <f>+'State Allocation Formulas'!C21</f>
        <v>0.75170000000000003</v>
      </c>
      <c r="G194" s="125">
        <f t="shared" si="25"/>
        <v>5534.02</v>
      </c>
      <c r="H194" s="125"/>
      <c r="I194" s="282"/>
      <c r="J194" s="1584">
        <v>43845</v>
      </c>
      <c r="K194" s="240"/>
      <c r="L194" s="344" t="str">
        <f t="shared" si="21"/>
        <v/>
      </c>
      <c r="P194" s="14" t="str">
        <f t="shared" si="23"/>
        <v>FP-319284</v>
      </c>
      <c r="Q194" s="240">
        <v>5534.02</v>
      </c>
      <c r="R194" s="240">
        <f t="shared" si="24"/>
        <v>5534.02</v>
      </c>
      <c r="V194" s="240">
        <v>0</v>
      </c>
      <c r="W194" s="240">
        <f t="shared" si="22"/>
        <v>0</v>
      </c>
      <c r="X194" s="240"/>
    </row>
    <row r="195" spans="1:24">
      <c r="A195" s="15">
        <v>189</v>
      </c>
      <c r="B195" s="126" t="s">
        <v>762</v>
      </c>
      <c r="C195" s="126" t="s">
        <v>2254</v>
      </c>
      <c r="D195" s="124">
        <v>394.1</v>
      </c>
      <c r="E195" s="128">
        <v>6159.1</v>
      </c>
      <c r="F195" s="126"/>
      <c r="G195" s="125">
        <f>IF($T$8=$Q$7, Q195, R195)</f>
        <v>6159.1</v>
      </c>
      <c r="H195" s="125"/>
      <c r="I195" s="282"/>
      <c r="J195" s="1584">
        <v>43890</v>
      </c>
      <c r="K195" s="240"/>
      <c r="L195" s="344" t="str">
        <f t="shared" si="21"/>
        <v/>
      </c>
      <c r="P195" s="14" t="str">
        <f t="shared" si="23"/>
        <v>FP-319289</v>
      </c>
      <c r="Q195" s="240">
        <v>6159.1</v>
      </c>
      <c r="R195" s="240">
        <f t="shared" si="24"/>
        <v>6159.1</v>
      </c>
      <c r="V195" s="240">
        <v>0</v>
      </c>
      <c r="W195" s="240">
        <f t="shared" si="22"/>
        <v>0</v>
      </c>
      <c r="X195" s="240"/>
    </row>
    <row r="196" spans="1:24">
      <c r="A196" s="15">
        <v>190</v>
      </c>
      <c r="B196" s="346"/>
      <c r="C196" s="347" t="s">
        <v>761</v>
      </c>
      <c r="D196" s="129"/>
      <c r="E196" s="348">
        <f>SUM(E148:E195)</f>
        <v>4122994.1699999995</v>
      </c>
      <c r="F196" s="346"/>
      <c r="G196" s="349">
        <f>SUM(G148:G195)</f>
        <v>4122994.1699999995</v>
      </c>
      <c r="H196" s="349">
        <f>SUM(H148:H195)</f>
        <v>0</v>
      </c>
      <c r="I196" s="350"/>
      <c r="J196" s="766"/>
      <c r="K196" s="240">
        <f>SUM(K10:K195)</f>
        <v>43377454.640000008</v>
      </c>
    </row>
    <row r="197" spans="1:24">
      <c r="B197" s="346"/>
      <c r="C197" s="346"/>
      <c r="D197" s="127"/>
      <c r="E197" s="128"/>
      <c r="F197" s="346"/>
      <c r="G197" s="353"/>
      <c r="H197" s="353"/>
      <c r="I197" s="350"/>
      <c r="J197" s="766"/>
      <c r="Q197" s="240">
        <f>SUM(Q8:Q195)</f>
        <v>105799114.32584302</v>
      </c>
      <c r="R197" s="240">
        <f>SUM(R8:R195)</f>
        <v>83070931.680866972</v>
      </c>
      <c r="V197" s="240">
        <f>SUM(V8:V195)</f>
        <v>66105637.284975998</v>
      </c>
      <c r="W197" s="240">
        <f>SUM(W8:W195)</f>
        <v>36315009.184975997</v>
      </c>
      <c r="X197" s="240"/>
    </row>
    <row r="198" spans="1:24">
      <c r="B198" s="346"/>
      <c r="C198" s="347"/>
      <c r="D198" s="127"/>
      <c r="E198" s="128"/>
      <c r="F198" s="346"/>
      <c r="G198" s="353"/>
      <c r="H198" s="353"/>
      <c r="I198" s="350"/>
      <c r="J198" s="766"/>
    </row>
    <row r="199" spans="1:24">
      <c r="B199" s="346"/>
      <c r="C199" s="346"/>
      <c r="D199" s="127"/>
      <c r="E199" s="128"/>
      <c r="F199" s="346"/>
      <c r="G199" s="353"/>
      <c r="H199" s="353"/>
      <c r="I199" s="346"/>
      <c r="J199" s="766"/>
      <c r="R199" s="240">
        <f>Q197-R197</f>
        <v>22728182.64497605</v>
      </c>
      <c r="W199" s="240">
        <f>V197-W197</f>
        <v>29790628.100000001</v>
      </c>
    </row>
    <row r="200" spans="1:24" ht="16.2" thickBot="1">
      <c r="A200" s="15">
        <v>191</v>
      </c>
      <c r="B200" s="346"/>
      <c r="C200" s="347" t="s">
        <v>51</v>
      </c>
      <c r="D200" s="129"/>
      <c r="E200" s="348">
        <f>E30+E146+E196</f>
        <v>107587702.26999998</v>
      </c>
      <c r="F200" s="346"/>
      <c r="G200" s="354">
        <f>G30+G146+G196</f>
        <v>83070931.680867001</v>
      </c>
      <c r="H200" s="355">
        <f>H30+H146+H196</f>
        <v>13586826.540000001</v>
      </c>
      <c r="I200" s="346"/>
      <c r="J200" s="1748"/>
      <c r="K200" s="1788">
        <f>SUMIF(J8:J195, "&lt;10/1/20", G8:G195)</f>
        <v>17599266.379716005</v>
      </c>
    </row>
    <row r="201" spans="1:24" ht="16.2" thickTop="1">
      <c r="B201" s="346"/>
      <c r="C201" s="346"/>
      <c r="D201" s="127"/>
      <c r="E201" s="128"/>
      <c r="F201" s="346"/>
      <c r="G201" s="353"/>
      <c r="H201" s="346"/>
      <c r="I201" s="346"/>
      <c r="J201" s="767"/>
    </row>
    <row r="202" spans="1:24">
      <c r="B202" s="346"/>
      <c r="C202" s="347"/>
      <c r="D202" s="127"/>
      <c r="E202" s="128"/>
      <c r="F202" s="346"/>
      <c r="G202" s="353"/>
      <c r="H202" s="346"/>
      <c r="I202" s="346"/>
      <c r="J202" s="768"/>
    </row>
    <row r="203" spans="1:24">
      <c r="B203" s="126"/>
      <c r="C203" s="126"/>
      <c r="D203" s="124"/>
      <c r="E203" s="124"/>
      <c r="F203" s="126"/>
      <c r="G203" s="126"/>
      <c r="H203" s="125"/>
      <c r="I203" s="126"/>
      <c r="J203" s="769"/>
    </row>
    <row r="204" spans="1:24">
      <c r="A204" s="15">
        <v>192</v>
      </c>
      <c r="B204" s="126" t="s">
        <v>764</v>
      </c>
      <c r="C204" s="126"/>
      <c r="D204" s="124"/>
      <c r="E204" s="124"/>
      <c r="F204" s="126"/>
      <c r="G204" s="352"/>
      <c r="H204" s="126"/>
      <c r="I204" s="126"/>
      <c r="J204" s="769"/>
    </row>
    <row r="205" spans="1:24">
      <c r="A205" s="15">
        <v>193</v>
      </c>
      <c r="B205" s="356"/>
      <c r="C205" s="126"/>
      <c r="D205" s="124"/>
      <c r="E205" s="124"/>
      <c r="F205" s="126"/>
      <c r="G205" s="282" t="s">
        <v>767</v>
      </c>
      <c r="H205" s="282" t="s">
        <v>2434</v>
      </c>
      <c r="I205" s="282" t="s">
        <v>1068</v>
      </c>
      <c r="J205" s="770" t="s">
        <v>765</v>
      </c>
    </row>
    <row r="206" spans="1:24">
      <c r="A206" s="15">
        <v>194</v>
      </c>
      <c r="B206" s="282" t="s">
        <v>777</v>
      </c>
      <c r="C206" s="126" t="s">
        <v>733</v>
      </c>
      <c r="D206" s="124">
        <f>SUMIF(I8:I195,B206,G8:G195)</f>
        <v>12762873.219999999</v>
      </c>
      <c r="F206" s="126"/>
      <c r="G206" s="282" t="s">
        <v>768</v>
      </c>
      <c r="H206" s="282" t="s">
        <v>367</v>
      </c>
      <c r="I206" s="15" t="s">
        <v>2435</v>
      </c>
      <c r="J206" s="770" t="s">
        <v>766</v>
      </c>
      <c r="M206" s="14" t="s">
        <v>367</v>
      </c>
      <c r="N206" s="14" t="s">
        <v>3213</v>
      </c>
      <c r="P206" s="14" t="s">
        <v>70</v>
      </c>
    </row>
    <row r="207" spans="1:24">
      <c r="A207" s="15">
        <v>195</v>
      </c>
      <c r="B207" s="282"/>
      <c r="C207" s="356"/>
      <c r="D207" s="124"/>
      <c r="E207" s="124"/>
      <c r="F207" s="126"/>
      <c r="G207" s="126">
        <v>303</v>
      </c>
      <c r="H207" s="125">
        <f>+H30</f>
        <v>5701787.3200000003</v>
      </c>
      <c r="I207" s="773">
        <v>0.12809999999999999</v>
      </c>
      <c r="J207" s="775">
        <f>+H207*I207</f>
        <v>730398.95569199999</v>
      </c>
      <c r="M207" s="125">
        <f>+SUMIF($D$8:$D$195,G207,$G$8:$G$195)-H207</f>
        <v>8822689.8803309985</v>
      </c>
      <c r="N207" s="125">
        <f>M207*I207</f>
        <v>1130186.5736704008</v>
      </c>
      <c r="P207" s="14">
        <v>10</v>
      </c>
    </row>
    <row r="208" spans="1:24">
      <c r="A208" s="15">
        <v>196</v>
      </c>
      <c r="B208" s="356"/>
      <c r="F208" s="126"/>
      <c r="G208" s="126">
        <v>367.1</v>
      </c>
      <c r="H208" s="125">
        <f>+SUMIF($D$34:$D$195,G208,$H$34:$H$195)</f>
        <v>0</v>
      </c>
      <c r="I208" s="773">
        <f>+'EOP Depreciation Expense Adj'!E17</f>
        <v>1.4999999999999999E-2</v>
      </c>
      <c r="J208" s="775">
        <f t="shared" ref="J208:J222" si="26">+H208*I208</f>
        <v>0</v>
      </c>
      <c r="L208" s="809"/>
      <c r="M208" s="125">
        <f t="shared" ref="M208:M222" si="27">+SUMIF($D$8:$D$195,G208,$G$8:$G$195)-H208</f>
        <v>4809811.12</v>
      </c>
      <c r="N208" s="125">
        <f t="shared" ref="N208:N223" si="28">M208*I208</f>
        <v>72147.166799999992</v>
      </c>
    </row>
    <row r="209" spans="1:17">
      <c r="A209" s="15">
        <v>197</v>
      </c>
      <c r="B209" s="356"/>
      <c r="C209" s="356"/>
      <c r="D209" s="124"/>
      <c r="E209" s="124"/>
      <c r="F209" s="126"/>
      <c r="G209" s="126">
        <v>374.2</v>
      </c>
      <c r="H209" s="125">
        <f t="shared" ref="H209:H222" si="29">+SUMIF($D$34:$D$195,G209,$H$34:$H$195)</f>
        <v>0</v>
      </c>
      <c r="I209" s="773">
        <f>+'EOP Depreciation Expense Adj'!E20</f>
        <v>1.6399999999999998E-2</v>
      </c>
      <c r="J209" s="775">
        <f t="shared" si="26"/>
        <v>0</v>
      </c>
      <c r="L209" s="809"/>
      <c r="M209" s="125">
        <f t="shared" si="27"/>
        <v>0</v>
      </c>
      <c r="N209" s="125">
        <f t="shared" si="28"/>
        <v>0</v>
      </c>
    </row>
    <row r="210" spans="1:17">
      <c r="A210" s="15">
        <v>198</v>
      </c>
      <c r="B210" s="356"/>
      <c r="C210" s="126"/>
      <c r="D210" s="124"/>
      <c r="E210" s="124"/>
      <c r="F210" s="126"/>
      <c r="G210" s="126">
        <v>376.1</v>
      </c>
      <c r="H210" s="125">
        <f t="shared" si="29"/>
        <v>402968.57</v>
      </c>
      <c r="I210" s="773">
        <f>+'EOP Depreciation Expense Adj'!E24</f>
        <v>3.56E-2</v>
      </c>
      <c r="J210" s="775">
        <f t="shared" si="26"/>
        <v>14345.681092000001</v>
      </c>
      <c r="L210" s="809"/>
      <c r="M210" s="125">
        <f t="shared" si="27"/>
        <v>1175692.8</v>
      </c>
      <c r="N210" s="125">
        <f t="shared" si="28"/>
        <v>41854.663679999998</v>
      </c>
    </row>
    <row r="211" spans="1:17">
      <c r="A211" s="15">
        <v>199</v>
      </c>
      <c r="B211" s="356"/>
      <c r="C211" s="126"/>
      <c r="D211" s="124"/>
      <c r="E211" s="124"/>
      <c r="F211" s="126"/>
      <c r="G211" s="126">
        <v>376.2</v>
      </c>
      <c r="H211" s="125">
        <f t="shared" si="29"/>
        <v>5715924.2199999997</v>
      </c>
      <c r="I211" s="773">
        <f>+'EOP Depreciation Expense Adj'!E22</f>
        <v>1.52E-2</v>
      </c>
      <c r="J211" s="775">
        <f t="shared" si="26"/>
        <v>86882.048144</v>
      </c>
      <c r="L211" s="809"/>
      <c r="M211" s="125">
        <f t="shared" si="27"/>
        <v>28143841.160000004</v>
      </c>
      <c r="N211" s="125">
        <f t="shared" si="28"/>
        <v>427786.38563200005</v>
      </c>
    </row>
    <row r="212" spans="1:17">
      <c r="A212" s="15">
        <v>200</v>
      </c>
      <c r="B212" s="356"/>
      <c r="C212" s="126"/>
      <c r="D212" s="124"/>
      <c r="E212" s="124"/>
      <c r="F212" s="126"/>
      <c r="G212" s="126">
        <v>376.3</v>
      </c>
      <c r="H212" s="125">
        <f t="shared" si="29"/>
        <v>213957.59</v>
      </c>
      <c r="I212" s="773">
        <f>+'EOP Depreciation Expense Adj'!E23</f>
        <v>2.81E-2</v>
      </c>
      <c r="J212" s="775">
        <f t="shared" si="26"/>
        <v>6012.2082789999995</v>
      </c>
      <c r="L212" s="809"/>
      <c r="M212" s="125">
        <f t="shared" si="27"/>
        <v>6076946.3400000017</v>
      </c>
      <c r="N212" s="125">
        <f t="shared" si="28"/>
        <v>170762.19215400005</v>
      </c>
    </row>
    <row r="213" spans="1:17">
      <c r="A213" s="15">
        <v>201</v>
      </c>
      <c r="B213" s="356"/>
      <c r="C213" s="126"/>
      <c r="D213" s="124"/>
      <c r="E213" s="124"/>
      <c r="F213" s="126"/>
      <c r="G213" s="126">
        <v>378</v>
      </c>
      <c r="H213" s="125">
        <f t="shared" si="29"/>
        <v>1552188.84</v>
      </c>
      <c r="I213" s="773">
        <f>+'EOP Depreciation Expense Adj'!E26</f>
        <v>1.9699999999999999E-2</v>
      </c>
      <c r="J213" s="775">
        <f t="shared" si="26"/>
        <v>30578.120147999998</v>
      </c>
      <c r="L213" s="809"/>
      <c r="M213" s="125">
        <f t="shared" si="27"/>
        <v>4456070.97</v>
      </c>
      <c r="N213" s="125">
        <f t="shared" si="28"/>
        <v>87784.598108999984</v>
      </c>
    </row>
    <row r="214" spans="1:17">
      <c r="A214" s="15">
        <v>202</v>
      </c>
      <c r="B214" s="356"/>
      <c r="C214" s="126"/>
      <c r="D214" s="124"/>
      <c r="E214" s="124"/>
      <c r="F214" s="126"/>
      <c r="G214" s="126">
        <v>380.1</v>
      </c>
      <c r="H214" s="125">
        <f t="shared" si="29"/>
        <v>0</v>
      </c>
      <c r="I214" s="773">
        <f>+'EOP Depreciation Expense Adj'!E28</f>
        <v>3.4700000000000002E-2</v>
      </c>
      <c r="J214" s="775">
        <f t="shared" si="26"/>
        <v>0</v>
      </c>
      <c r="L214" s="809"/>
      <c r="M214" s="125">
        <f t="shared" si="27"/>
        <v>0</v>
      </c>
      <c r="N214" s="125">
        <f t="shared" si="28"/>
        <v>0</v>
      </c>
    </row>
    <row r="215" spans="1:17">
      <c r="A215" s="15">
        <v>203</v>
      </c>
      <c r="B215" s="126"/>
      <c r="C215" s="126"/>
      <c r="D215" s="124"/>
      <c r="E215" s="124"/>
      <c r="F215" s="126"/>
      <c r="G215" s="14">
        <v>380.3</v>
      </c>
      <c r="H215" s="125">
        <f t="shared" si="29"/>
        <v>0</v>
      </c>
      <c r="I215" s="809">
        <f>+'EOP Depreciation Expense Adj'!E27</f>
        <v>3.3599999999999998E-2</v>
      </c>
      <c r="J215" s="775">
        <f t="shared" si="26"/>
        <v>0</v>
      </c>
      <c r="L215" s="809"/>
      <c r="M215" s="125">
        <f t="shared" si="27"/>
        <v>150546.29</v>
      </c>
      <c r="N215" s="125">
        <f t="shared" si="28"/>
        <v>5058.3553439999996</v>
      </c>
    </row>
    <row r="216" spans="1:17">
      <c r="A216" s="15">
        <v>204</v>
      </c>
      <c r="B216" s="126"/>
      <c r="C216" s="126"/>
      <c r="D216" s="124"/>
      <c r="E216" s="124"/>
      <c r="F216" s="126"/>
      <c r="G216" s="126">
        <v>381</v>
      </c>
      <c r="H216" s="125">
        <f t="shared" si="29"/>
        <v>0</v>
      </c>
      <c r="I216" s="773">
        <f>+'EOP Depreciation Expense Adj'!E30</f>
        <v>2.6099999999999998E-2</v>
      </c>
      <c r="J216" s="775">
        <f t="shared" si="26"/>
        <v>0</v>
      </c>
      <c r="L216" s="809"/>
      <c r="M216" s="125">
        <f t="shared" si="27"/>
        <v>273217.99356000003</v>
      </c>
      <c r="N216" s="125">
        <f t="shared" si="28"/>
        <v>7130.9896319160007</v>
      </c>
    </row>
    <row r="217" spans="1:17">
      <c r="A217" s="15">
        <v>205</v>
      </c>
      <c r="B217" s="126"/>
      <c r="C217" s="126"/>
      <c r="D217" s="124"/>
      <c r="E217" s="124"/>
      <c r="F217" s="126"/>
      <c r="G217" s="126">
        <v>383</v>
      </c>
      <c r="H217" s="125">
        <f t="shared" si="29"/>
        <v>0</v>
      </c>
      <c r="I217" s="773">
        <f>+'EOP Depreciation Expense Adj'!E32</f>
        <v>2.1600000000000001E-2</v>
      </c>
      <c r="J217" s="775">
        <f t="shared" si="26"/>
        <v>0</v>
      </c>
      <c r="L217" s="809"/>
      <c r="M217" s="125">
        <f t="shared" si="27"/>
        <v>992351.85391599999</v>
      </c>
      <c r="N217" s="125">
        <f t="shared" si="28"/>
        <v>21434.800044585601</v>
      </c>
    </row>
    <row r="218" spans="1:17">
      <c r="A218" s="15">
        <v>206</v>
      </c>
      <c r="B218" s="126"/>
      <c r="C218" s="126"/>
      <c r="D218" s="124"/>
      <c r="E218" s="124"/>
      <c r="F218" s="126"/>
      <c r="G218" s="126">
        <v>385</v>
      </c>
      <c r="H218" s="125">
        <f t="shared" si="29"/>
        <v>0</v>
      </c>
      <c r="I218" s="773">
        <f>+'EOP Depreciation Expense Adj'!E33</f>
        <v>1.7000000000000001E-2</v>
      </c>
      <c r="J218" s="775">
        <f t="shared" si="26"/>
        <v>0</v>
      </c>
      <c r="L218" s="809"/>
      <c r="M218" s="125">
        <f t="shared" si="27"/>
        <v>119929.53</v>
      </c>
      <c r="N218" s="125">
        <f t="shared" si="28"/>
        <v>2038.8020100000001</v>
      </c>
    </row>
    <row r="219" spans="1:17">
      <c r="A219" s="15">
        <v>207</v>
      </c>
      <c r="B219" s="126"/>
      <c r="C219" s="126"/>
      <c r="D219" s="124"/>
      <c r="E219" s="124"/>
      <c r="F219" s="126"/>
      <c r="G219" s="126">
        <v>390.1</v>
      </c>
      <c r="H219" s="125">
        <f t="shared" si="29"/>
        <v>0</v>
      </c>
      <c r="I219" s="773">
        <f>+'EOP Depreciation Expense Adj'!E36</f>
        <v>1.44E-2</v>
      </c>
      <c r="J219" s="775">
        <f t="shared" si="26"/>
        <v>0</v>
      </c>
      <c r="L219" s="809"/>
      <c r="M219" s="125">
        <f t="shared" si="27"/>
        <v>2538357.87</v>
      </c>
      <c r="N219" s="125">
        <f t="shared" si="28"/>
        <v>36552.353327999997</v>
      </c>
      <c r="Q219" s="240"/>
    </row>
    <row r="220" spans="1:17">
      <c r="A220" s="15">
        <v>208</v>
      </c>
      <c r="B220" s="126"/>
      <c r="C220" s="126"/>
      <c r="D220" s="124"/>
      <c r="E220" s="124"/>
      <c r="F220" s="126"/>
      <c r="G220" s="126">
        <v>394.1</v>
      </c>
      <c r="H220" s="125">
        <f t="shared" si="29"/>
        <v>0</v>
      </c>
      <c r="I220" s="773">
        <f>+'EOP Depreciation Expense Adj'!E44</f>
        <v>0.1066</v>
      </c>
      <c r="J220" s="775">
        <f t="shared" si="26"/>
        <v>0</v>
      </c>
      <c r="L220" s="809"/>
      <c r="M220" s="125">
        <f t="shared" si="27"/>
        <v>228699.08000000005</v>
      </c>
      <c r="N220" s="125">
        <f t="shared" si="28"/>
        <v>24379.321928000005</v>
      </c>
      <c r="Q220" s="240"/>
    </row>
    <row r="221" spans="1:17">
      <c r="A221" s="15">
        <v>209</v>
      </c>
      <c r="B221" s="126"/>
      <c r="C221" s="126"/>
      <c r="D221" s="124"/>
      <c r="E221" s="124"/>
      <c r="F221" s="126"/>
      <c r="G221" s="126">
        <v>396.2</v>
      </c>
      <c r="H221" s="125">
        <f t="shared" si="29"/>
        <v>0</v>
      </c>
      <c r="I221" s="773">
        <f>+'EOP Depreciation Expense Adj'!E47</f>
        <v>9.6300000000000011E-2</v>
      </c>
      <c r="J221" s="775">
        <f t="shared" si="26"/>
        <v>0</v>
      </c>
      <c r="L221" s="809"/>
      <c r="M221" s="125">
        <f t="shared" si="27"/>
        <v>361633.27830800001</v>
      </c>
      <c r="N221" s="125">
        <f t="shared" si="28"/>
        <v>34825.284701060402</v>
      </c>
    </row>
    <row r="222" spans="1:17">
      <c r="A222" s="15">
        <v>210</v>
      </c>
      <c r="B222" s="126"/>
      <c r="C222" s="126"/>
      <c r="D222" s="124"/>
      <c r="E222" s="124"/>
      <c r="F222" s="126"/>
      <c r="G222" s="126">
        <v>397.2</v>
      </c>
      <c r="H222" s="125">
        <f t="shared" si="29"/>
        <v>0</v>
      </c>
      <c r="I222" s="773">
        <f>+'EOP Depreciation Expense Adj'!E51</f>
        <v>5.5300000000000002E-2</v>
      </c>
      <c r="J222" s="775">
        <f t="shared" si="26"/>
        <v>0</v>
      </c>
      <c r="L222" s="809"/>
      <c r="M222" s="125">
        <f t="shared" si="27"/>
        <v>218433.52626799999</v>
      </c>
      <c r="N222" s="125">
        <f t="shared" si="28"/>
        <v>12079.3740026204</v>
      </c>
    </row>
    <row r="223" spans="1:17">
      <c r="A223" s="15">
        <v>211</v>
      </c>
      <c r="B223" s="126"/>
      <c r="C223" s="126"/>
      <c r="D223" s="124"/>
      <c r="E223" s="124"/>
      <c r="F223" s="126" t="s">
        <v>647</v>
      </c>
      <c r="G223" s="126"/>
      <c r="H223" s="125">
        <f>SUM(H207:H222)</f>
        <v>13586826.539999999</v>
      </c>
      <c r="I223" s="345">
        <f>AVERAGE(I208:I222)</f>
        <v>3.5706666666666664E-2</v>
      </c>
      <c r="J223" s="775">
        <f>SUM(J207:J222)</f>
        <v>868217.01335499994</v>
      </c>
      <c r="K223" s="14">
        <f>+J223/H223</f>
        <v>6.3901383505481926E-2</v>
      </c>
      <c r="M223" s="240">
        <f>G200-H223-SUM(M207:M222)</f>
        <v>11115883.448483996</v>
      </c>
      <c r="N223" s="125">
        <f t="shared" si="28"/>
        <v>396911.14500053518</v>
      </c>
      <c r="P223" s="240"/>
      <c r="Q223" s="240">
        <f>H223+M224</f>
        <v>83070931.680866987</v>
      </c>
    </row>
    <row r="224" spans="1:17">
      <c r="A224" s="15">
        <v>212</v>
      </c>
      <c r="B224" s="126"/>
      <c r="C224" s="126"/>
      <c r="D224" s="124"/>
      <c r="E224" s="124"/>
      <c r="F224" s="126"/>
      <c r="G224" s="126"/>
      <c r="H224" s="126"/>
      <c r="I224" s="126"/>
      <c r="J224" s="769"/>
      <c r="M224" s="240">
        <f>SUM(M207:M223)</f>
        <v>69484105.140866995</v>
      </c>
      <c r="N224" s="240">
        <f>SUM(N207:N223)</f>
        <v>2470932.0060361186</v>
      </c>
      <c r="Q224" s="240">
        <f>Q223-G200</f>
        <v>0</v>
      </c>
    </row>
    <row r="225" spans="1:10">
      <c r="A225" s="15">
        <v>213</v>
      </c>
      <c r="B225" s="126"/>
      <c r="C225" s="126"/>
      <c r="D225" s="124"/>
      <c r="E225" s="124"/>
      <c r="F225" s="126"/>
      <c r="G225" s="126"/>
      <c r="H225" s="125">
        <f>+H200-H223</f>
        <v>0</v>
      </c>
      <c r="I225" s="126"/>
      <c r="J225" s="769"/>
    </row>
  </sheetData>
  <sortState xmlns:xlrd2="http://schemas.microsoft.com/office/spreadsheetml/2017/richdata2" ref="AJ8:AJ27">
    <sortCondition ref="AJ8"/>
  </sortState>
  <mergeCells count="4">
    <mergeCell ref="C1:I1"/>
    <mergeCell ref="C2:I2"/>
    <mergeCell ref="C3:I3"/>
    <mergeCell ref="C4:I4"/>
  </mergeCells>
  <dataValidations count="1">
    <dataValidation type="list" allowBlank="1" showInputMessage="1" showErrorMessage="1" sqref="T8 T12" xr:uid="{36EECD96-5483-4AFC-B18B-8269868E9C75}">
      <formula1>$Q$7:$R$7</formula1>
    </dataValidation>
  </dataValidations>
  <pageMargins left="0.7" right="0.7" top="0.75" bottom="0.75" header="0.3" footer="0.3"/>
  <pageSetup scale="43" fitToHeight="0" orientation="portrait" useFirstPageNumber="1" r:id="rId1"/>
  <headerFooter scaleWithDoc="0" alignWithMargins="0">
    <oddHeader>&amp;RDocket No. UG-20___
Exhibit _____ (MCP-6)
Page &amp;P of 5</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7"/>
  </sheetPr>
  <dimension ref="A1:E105"/>
  <sheetViews>
    <sheetView topLeftCell="A18" zoomScale="80" zoomScaleNormal="80" zoomScaleSheetLayoutView="90" workbookViewId="0">
      <selection activeCell="E29" sqref="E29"/>
    </sheetView>
  </sheetViews>
  <sheetFormatPr defaultColWidth="9.109375" defaultRowHeight="15.6"/>
  <cols>
    <col min="1" max="1" width="5.88671875" style="5" bestFit="1" customWidth="1"/>
    <col min="2" max="2" width="17.33203125" style="5" bestFit="1" customWidth="1"/>
    <col min="3" max="3" width="99" style="3" customWidth="1"/>
    <col min="4" max="16384" width="9.109375" style="3"/>
  </cols>
  <sheetData>
    <row r="1" spans="1:5">
      <c r="A1" s="1908" t="s">
        <v>770</v>
      </c>
      <c r="B1" s="1908"/>
      <c r="C1" s="1908"/>
      <c r="D1" s="2"/>
      <c r="E1" s="2"/>
    </row>
    <row r="2" spans="1:5">
      <c r="A2" s="1908" t="s">
        <v>774</v>
      </c>
      <c r="B2" s="1908"/>
      <c r="C2" s="1908"/>
      <c r="D2" s="2"/>
      <c r="E2" s="2"/>
    </row>
    <row r="3" spans="1:5">
      <c r="A3" s="1908" t="s">
        <v>1942</v>
      </c>
      <c r="B3" s="1908"/>
      <c r="C3" s="1908"/>
      <c r="D3" s="2"/>
      <c r="E3" s="2"/>
    </row>
    <row r="4" spans="1:5">
      <c r="A4" s="11"/>
      <c r="B4" s="11"/>
      <c r="C4" s="4"/>
      <c r="D4" s="4"/>
      <c r="E4" s="4"/>
    </row>
    <row r="5" spans="1:5">
      <c r="A5" s="12"/>
      <c r="B5" s="12"/>
      <c r="C5" s="13"/>
    </row>
    <row r="6" spans="1:5">
      <c r="A6" s="9" t="s">
        <v>769</v>
      </c>
      <c r="B6" s="9" t="s">
        <v>1791</v>
      </c>
      <c r="C6" s="9" t="s">
        <v>2403</v>
      </c>
    </row>
    <row r="8" spans="1:5" s="14" customFormat="1" ht="46.8">
      <c r="A8" s="759">
        <v>1</v>
      </c>
      <c r="B8" s="759">
        <v>300233</v>
      </c>
      <c r="C8" s="776" t="s">
        <v>2417</v>
      </c>
    </row>
    <row r="9" spans="1:5" s="14" customFormat="1">
      <c r="A9" s="759"/>
      <c r="B9" s="759"/>
    </row>
    <row r="10" spans="1:5" s="14" customFormat="1" ht="62.4">
      <c r="A10" s="759">
        <v>2</v>
      </c>
      <c r="B10" s="759">
        <v>302596</v>
      </c>
      <c r="C10" s="776" t="s">
        <v>2413</v>
      </c>
    </row>
    <row r="11" spans="1:5" s="14" customFormat="1">
      <c r="A11" s="759"/>
      <c r="B11" s="759"/>
      <c r="C11" s="8"/>
    </row>
    <row r="12" spans="1:5" s="14" customFormat="1">
      <c r="A12" s="759">
        <v>3</v>
      </c>
      <c r="B12" s="759">
        <v>306988</v>
      </c>
      <c r="C12" s="14" t="s">
        <v>2412</v>
      </c>
    </row>
    <row r="13" spans="1:5" s="14" customFormat="1">
      <c r="A13" s="759"/>
      <c r="B13" s="759"/>
    </row>
    <row r="14" spans="1:5" s="14" customFormat="1" ht="62.4">
      <c r="A14" s="759">
        <v>4</v>
      </c>
      <c r="B14" s="759">
        <v>306998</v>
      </c>
      <c r="C14" s="762" t="s">
        <v>2405</v>
      </c>
    </row>
    <row r="15" spans="1:5" s="14" customFormat="1">
      <c r="A15" s="759"/>
      <c r="B15" s="759"/>
      <c r="C15" s="762"/>
    </row>
    <row r="16" spans="1:5" s="14" customFormat="1" ht="46.8">
      <c r="A16" s="759">
        <v>5</v>
      </c>
      <c r="B16" s="759">
        <v>316429</v>
      </c>
      <c r="C16" s="776" t="s">
        <v>2419</v>
      </c>
    </row>
    <row r="17" spans="1:3" s="14" customFormat="1">
      <c r="A17" s="759"/>
      <c r="B17" s="759"/>
      <c r="C17" s="396"/>
    </row>
    <row r="18" spans="1:3" s="14" customFormat="1">
      <c r="A18" s="759">
        <v>6</v>
      </c>
      <c r="B18" s="759">
        <v>316586</v>
      </c>
      <c r="C18" s="8" t="s">
        <v>2418</v>
      </c>
    </row>
    <row r="19" spans="1:3" s="14" customFormat="1">
      <c r="A19" s="759"/>
      <c r="B19" s="759"/>
      <c r="C19" s="8"/>
    </row>
    <row r="20" spans="1:3" s="14" customFormat="1">
      <c r="A20" s="759">
        <v>7</v>
      </c>
      <c r="B20" s="759">
        <v>316587</v>
      </c>
      <c r="C20" s="776" t="s">
        <v>2414</v>
      </c>
    </row>
    <row r="21" spans="1:3" s="14" customFormat="1">
      <c r="A21" s="759"/>
      <c r="B21" s="759"/>
      <c r="C21" s="396"/>
    </row>
    <row r="22" spans="1:3" s="14" customFormat="1">
      <c r="A22" s="759">
        <v>8</v>
      </c>
      <c r="B22" s="759">
        <v>316589</v>
      </c>
      <c r="C22" s="428" t="s">
        <v>2412</v>
      </c>
    </row>
    <row r="23" spans="1:3" s="14" customFormat="1">
      <c r="A23" s="759"/>
      <c r="B23" s="759"/>
      <c r="C23" s="428"/>
    </row>
    <row r="24" spans="1:3" s="14" customFormat="1">
      <c r="A24" s="759">
        <v>9</v>
      </c>
      <c r="B24" s="759">
        <v>316670</v>
      </c>
      <c r="C24" s="776" t="s">
        <v>2414</v>
      </c>
    </row>
    <row r="25" spans="1:3" s="14" customFormat="1">
      <c r="A25" s="759"/>
      <c r="B25" s="759"/>
    </row>
    <row r="26" spans="1:3" s="14" customFormat="1" ht="46.8">
      <c r="A26" s="759">
        <v>10</v>
      </c>
      <c r="B26" s="759">
        <v>317060</v>
      </c>
      <c r="C26" s="776" t="s">
        <v>2411</v>
      </c>
    </row>
    <row r="27" spans="1:3">
      <c r="A27" s="10"/>
      <c r="B27" s="759"/>
      <c r="C27" s="396"/>
    </row>
    <row r="28" spans="1:3" s="14" customFormat="1">
      <c r="A28" s="759">
        <v>11</v>
      </c>
      <c r="B28" s="759">
        <v>317322</v>
      </c>
      <c r="C28" s="776" t="s">
        <v>2418</v>
      </c>
    </row>
    <row r="29" spans="1:3" s="14" customFormat="1">
      <c r="A29" s="759"/>
      <c r="B29" s="759"/>
    </row>
    <row r="30" spans="1:3" s="14" customFormat="1">
      <c r="A30" s="759">
        <v>12</v>
      </c>
      <c r="B30" s="759">
        <v>317535</v>
      </c>
      <c r="C30" s="776" t="s">
        <v>2414</v>
      </c>
    </row>
    <row r="31" spans="1:3" s="14" customFormat="1">
      <c r="A31" s="759"/>
      <c r="B31" s="759"/>
      <c r="C31" s="396"/>
    </row>
    <row r="32" spans="1:3" s="14" customFormat="1" ht="46.8">
      <c r="A32" s="759">
        <v>13</v>
      </c>
      <c r="B32" s="759">
        <v>318352</v>
      </c>
      <c r="C32" s="8" t="s">
        <v>2407</v>
      </c>
    </row>
    <row r="33" spans="1:3" s="14" customFormat="1">
      <c r="A33" s="759"/>
      <c r="B33" s="759"/>
      <c r="C33" s="8"/>
    </row>
    <row r="34" spans="1:3" s="14" customFormat="1" ht="62.4">
      <c r="A34" s="759">
        <v>14</v>
      </c>
      <c r="B34" s="759">
        <v>318482</v>
      </c>
      <c r="C34" s="776" t="s">
        <v>2410</v>
      </c>
    </row>
    <row r="35" spans="1:3" s="14" customFormat="1">
      <c r="A35" s="759"/>
      <c r="B35" s="759"/>
      <c r="C35" s="396"/>
    </row>
    <row r="36" spans="1:3" s="14" customFormat="1" ht="31.2">
      <c r="A36" s="759">
        <v>15</v>
      </c>
      <c r="B36" s="759">
        <v>318566</v>
      </c>
      <c r="C36" s="776" t="s">
        <v>2408</v>
      </c>
    </row>
    <row r="37" spans="1:3" s="14" customFormat="1">
      <c r="A37" s="759"/>
      <c r="B37" s="759"/>
    </row>
    <row r="38" spans="1:3" s="14" customFormat="1" ht="46.8">
      <c r="A38" s="759">
        <v>16</v>
      </c>
      <c r="B38" s="759">
        <v>318588</v>
      </c>
      <c r="C38" s="776" t="s">
        <v>2420</v>
      </c>
    </row>
    <row r="39" spans="1:3" s="14" customFormat="1">
      <c r="A39" s="759"/>
      <c r="B39" s="759"/>
      <c r="C39" s="396"/>
    </row>
    <row r="40" spans="1:3" s="14" customFormat="1" ht="46.8">
      <c r="A40" s="759">
        <v>17</v>
      </c>
      <c r="B40" s="759">
        <v>318690</v>
      </c>
      <c r="C40" s="776" t="s">
        <v>2406</v>
      </c>
    </row>
    <row r="41" spans="1:3" s="14" customFormat="1">
      <c r="A41" s="759"/>
      <c r="B41" s="759"/>
      <c r="C41" s="396"/>
    </row>
    <row r="42" spans="1:3" s="14" customFormat="1" ht="62.4">
      <c r="A42" s="759">
        <v>18</v>
      </c>
      <c r="B42" s="759">
        <v>318742</v>
      </c>
      <c r="C42" s="776" t="s">
        <v>2409</v>
      </c>
    </row>
    <row r="43" spans="1:3" s="14" customFormat="1">
      <c r="A43" s="759"/>
      <c r="B43" s="759"/>
      <c r="C43" s="396"/>
    </row>
    <row r="44" spans="1:3" s="14" customFormat="1">
      <c r="A44" s="759">
        <v>19</v>
      </c>
      <c r="B44" s="759">
        <v>318746</v>
      </c>
      <c r="C44" s="14" t="s">
        <v>2412</v>
      </c>
    </row>
    <row r="45" spans="1:3" s="14" customFormat="1">
      <c r="A45" s="759"/>
      <c r="B45" s="759"/>
    </row>
    <row r="46" spans="1:3" s="14" customFormat="1">
      <c r="A46" s="759">
        <v>20</v>
      </c>
      <c r="B46" s="759">
        <v>318747</v>
      </c>
      <c r="C46" s="14" t="s">
        <v>2412</v>
      </c>
    </row>
    <row r="47" spans="1:3" s="14" customFormat="1">
      <c r="A47" s="759"/>
      <c r="B47" s="759"/>
    </row>
    <row r="48" spans="1:3" s="14" customFormat="1">
      <c r="A48" s="759">
        <v>21</v>
      </c>
      <c r="B48" s="759">
        <v>318808</v>
      </c>
      <c r="C48" s="776" t="s">
        <v>2416</v>
      </c>
    </row>
    <row r="49" spans="1:3" s="14" customFormat="1">
      <c r="A49" s="759"/>
      <c r="B49" s="759"/>
      <c r="C49" s="7"/>
    </row>
    <row r="50" spans="1:3" s="14" customFormat="1">
      <c r="A50" s="759">
        <v>22</v>
      </c>
      <c r="B50" s="759">
        <v>318829</v>
      </c>
      <c r="C50" s="776" t="s">
        <v>2416</v>
      </c>
    </row>
    <row r="51" spans="1:3">
      <c r="A51" s="10"/>
      <c r="B51" s="10"/>
      <c r="C51" s="7"/>
    </row>
    <row r="52" spans="1:3" s="14" customFormat="1" ht="46.8">
      <c r="A52" s="759">
        <v>23</v>
      </c>
      <c r="B52" s="759">
        <v>318987</v>
      </c>
      <c r="C52" s="776" t="s">
        <v>2415</v>
      </c>
    </row>
    <row r="53" spans="1:3">
      <c r="A53" s="10"/>
      <c r="B53" s="15"/>
      <c r="C53" s="396"/>
    </row>
    <row r="54" spans="1:3" s="14" customFormat="1" ht="31.2">
      <c r="A54" s="759">
        <v>24</v>
      </c>
      <c r="B54" s="759">
        <v>319056</v>
      </c>
      <c r="C54" s="776" t="s">
        <v>2422</v>
      </c>
    </row>
    <row r="55" spans="1:3" s="14" customFormat="1">
      <c r="A55" s="759"/>
      <c r="B55" s="759"/>
      <c r="C55" s="396"/>
    </row>
    <row r="56" spans="1:3" s="14" customFormat="1" ht="31.2">
      <c r="A56" s="759">
        <v>25</v>
      </c>
      <c r="B56" s="759">
        <v>319063</v>
      </c>
      <c r="C56" s="776" t="s">
        <v>2421</v>
      </c>
    </row>
    <row r="57" spans="1:3">
      <c r="A57" s="10"/>
      <c r="B57" s="759"/>
      <c r="C57" s="8"/>
    </row>
    <row r="58" spans="1:3" s="14" customFormat="1" ht="62.4">
      <c r="A58" s="759">
        <v>26</v>
      </c>
      <c r="B58" s="759">
        <v>319072</v>
      </c>
      <c r="C58" s="8" t="s">
        <v>2404</v>
      </c>
    </row>
    <row r="59" spans="1:3" s="14" customFormat="1">
      <c r="A59" s="759"/>
      <c r="B59" s="759"/>
      <c r="C59" s="8"/>
    </row>
    <row r="60" spans="1:3" s="14" customFormat="1" ht="46.8">
      <c r="A60" s="759">
        <v>27</v>
      </c>
      <c r="B60" s="760" t="s">
        <v>2396</v>
      </c>
      <c r="C60" s="776" t="s">
        <v>2399</v>
      </c>
    </row>
    <row r="61" spans="1:3" s="14" customFormat="1">
      <c r="A61" s="759"/>
    </row>
    <row r="62" spans="1:3" s="14" customFormat="1" ht="46.8">
      <c r="A62" s="759">
        <v>28</v>
      </c>
      <c r="B62" s="10" t="s">
        <v>2397</v>
      </c>
      <c r="C62" s="776" t="s">
        <v>2398</v>
      </c>
    </row>
    <row r="63" spans="1:3" s="14" customFormat="1">
      <c r="A63" s="759"/>
    </row>
    <row r="64" spans="1:3" s="14" customFormat="1">
      <c r="A64" s="759"/>
    </row>
    <row r="65" spans="1:3" s="14" customFormat="1">
      <c r="A65" s="759"/>
      <c r="B65" s="759"/>
      <c r="C65" s="8"/>
    </row>
    <row r="66" spans="1:3" s="14" customFormat="1">
      <c r="A66" s="759"/>
      <c r="B66" s="759"/>
      <c r="C66" s="396"/>
    </row>
    <row r="67" spans="1:3" s="14" customFormat="1">
      <c r="A67" s="759"/>
      <c r="B67" s="759"/>
      <c r="C67" s="396"/>
    </row>
    <row r="68" spans="1:3" s="14" customFormat="1">
      <c r="A68" s="759"/>
      <c r="B68" s="759"/>
      <c r="C68" s="396"/>
    </row>
    <row r="69" spans="1:3" s="14" customFormat="1">
      <c r="A69" s="759"/>
      <c r="B69" s="759"/>
      <c r="C69" s="396"/>
    </row>
    <row r="70" spans="1:3" s="14" customFormat="1">
      <c r="A70" s="759"/>
      <c r="B70" s="10"/>
      <c r="C70" s="6"/>
    </row>
    <row r="71" spans="1:3" s="14" customFormat="1">
      <c r="A71" s="759"/>
      <c r="B71" s="759"/>
      <c r="C71" s="761"/>
    </row>
    <row r="72" spans="1:3" s="14" customFormat="1">
      <c r="A72" s="759"/>
      <c r="B72" s="759"/>
      <c r="C72" s="428"/>
    </row>
    <row r="73" spans="1:3" s="14" customFormat="1">
      <c r="A73" s="759"/>
      <c r="B73" s="759"/>
      <c r="C73" s="396"/>
    </row>
    <row r="74" spans="1:3" s="14" customFormat="1">
      <c r="A74" s="759"/>
      <c r="B74" s="759"/>
      <c r="C74" s="396"/>
    </row>
    <row r="75" spans="1:3" s="14" customFormat="1">
      <c r="A75" s="759"/>
      <c r="B75" s="759"/>
      <c r="C75" s="396"/>
    </row>
    <row r="76" spans="1:3" s="14" customFormat="1">
      <c r="A76" s="759"/>
      <c r="B76" s="759"/>
      <c r="C76" s="396"/>
    </row>
    <row r="77" spans="1:3" s="14" customFormat="1">
      <c r="A77" s="759"/>
      <c r="B77" s="10"/>
      <c r="C77" s="7"/>
    </row>
    <row r="78" spans="1:3" s="14" customFormat="1">
      <c r="A78" s="759"/>
      <c r="B78" s="10"/>
      <c r="C78" s="7"/>
    </row>
    <row r="79" spans="1:3" s="14" customFormat="1">
      <c r="A79" s="759"/>
      <c r="B79" s="759"/>
      <c r="C79" s="396"/>
    </row>
    <row r="80" spans="1:3" s="14" customFormat="1">
      <c r="A80" s="759"/>
      <c r="B80" s="759"/>
      <c r="C80" s="396"/>
    </row>
    <row r="81" spans="1:3" s="14" customFormat="1">
      <c r="A81" s="759"/>
      <c r="B81" s="759"/>
      <c r="C81" s="396"/>
    </row>
    <row r="82" spans="1:3" s="14" customFormat="1">
      <c r="A82" s="759"/>
      <c r="B82" s="759"/>
      <c r="C82" s="396"/>
    </row>
    <row r="83" spans="1:3" s="14" customFormat="1">
      <c r="A83" s="759"/>
      <c r="B83" s="759"/>
      <c r="C83" s="396"/>
    </row>
    <row r="84" spans="1:3" s="14" customFormat="1">
      <c r="A84" s="759"/>
      <c r="B84" s="759"/>
      <c r="C84" s="396"/>
    </row>
    <row r="85" spans="1:3" s="14" customFormat="1">
      <c r="A85" s="759"/>
      <c r="B85" s="759"/>
      <c r="C85" s="396"/>
    </row>
    <row r="86" spans="1:3">
      <c r="A86" s="10"/>
      <c r="B86" s="759"/>
      <c r="C86" s="396"/>
    </row>
    <row r="87" spans="1:3">
      <c r="A87" s="10"/>
      <c r="B87" s="759"/>
      <c r="C87" s="396"/>
    </row>
    <row r="88" spans="1:3">
      <c r="A88" s="10"/>
      <c r="B88" s="759"/>
      <c r="C88" s="396"/>
    </row>
    <row r="89" spans="1:3">
      <c r="A89" s="10"/>
      <c r="B89" s="759"/>
      <c r="C89" s="760"/>
    </row>
    <row r="90" spans="1:3">
      <c r="A90" s="10"/>
      <c r="B90" s="15"/>
      <c r="C90" s="396"/>
    </row>
    <row r="91" spans="1:3">
      <c r="A91" s="10"/>
      <c r="B91" s="15"/>
      <c r="C91" s="396"/>
    </row>
    <row r="92" spans="1:3">
      <c r="A92" s="10"/>
      <c r="B92" s="759"/>
      <c r="C92" s="396"/>
    </row>
    <row r="93" spans="1:3">
      <c r="A93" s="10"/>
      <c r="B93" s="10"/>
      <c r="C93" s="7"/>
    </row>
    <row r="94" spans="1:3">
      <c r="A94" s="10"/>
      <c r="B94" s="10"/>
      <c r="C94" s="7"/>
    </row>
    <row r="95" spans="1:3">
      <c r="A95" s="10"/>
      <c r="B95" s="10"/>
      <c r="C95" s="7"/>
    </row>
    <row r="96" spans="1:3">
      <c r="A96" s="10"/>
      <c r="B96" s="10"/>
    </row>
    <row r="97" spans="1:3">
      <c r="A97" s="10"/>
      <c r="B97" s="10"/>
    </row>
    <row r="98" spans="1:3">
      <c r="A98" s="10"/>
      <c r="B98" s="10"/>
    </row>
    <row r="99" spans="1:3">
      <c r="A99" s="10"/>
    </row>
    <row r="100" spans="1:3">
      <c r="A100" s="10"/>
    </row>
    <row r="101" spans="1:3">
      <c r="A101" s="10"/>
    </row>
    <row r="102" spans="1:3">
      <c r="A102" s="10"/>
      <c r="C102" s="384"/>
    </row>
    <row r="103" spans="1:3">
      <c r="A103" s="10"/>
    </row>
    <row r="104" spans="1:3">
      <c r="A104" s="10"/>
      <c r="C104" s="14"/>
    </row>
    <row r="105" spans="1:3">
      <c r="A105" s="10"/>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826C-87B0-47BF-9AFA-27FE57931F2A}">
  <sheetPr codeName="Sheet60">
    <tabColor theme="7" tint="0.79998168889431442"/>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RR WPs ---&gt;</v>
      </c>
    </row>
    <row r="2" spans="1:13">
      <c r="B2" s="1850" t="s">
        <v>2597</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B99EC-1A1C-4393-B936-E5E165ACF363}">
  <sheetPr>
    <tabColor theme="7" tint="0.79998168889431442"/>
  </sheetPr>
  <dimension ref="A1:G35"/>
  <sheetViews>
    <sheetView topLeftCell="A2" zoomScale="80" zoomScaleNormal="80" workbookViewId="0">
      <selection activeCell="H20" sqref="H20"/>
    </sheetView>
  </sheetViews>
  <sheetFormatPr defaultColWidth="8.88671875" defaultRowHeight="14.4"/>
  <cols>
    <col min="1" max="1" width="5" style="1622" bestFit="1" customWidth="1"/>
    <col min="2" max="2" width="39" style="1622" customWidth="1"/>
    <col min="3" max="3" width="15.109375" style="1622" customWidth="1"/>
    <col min="4" max="4" width="11.6640625" style="1622" bestFit="1" customWidth="1"/>
    <col min="5" max="5" width="8.88671875" style="1622"/>
    <col min="6" max="6" width="15.88671875" style="1622" customWidth="1"/>
    <col min="7" max="7" width="12.5546875" style="1622" bestFit="1" customWidth="1"/>
    <col min="8" max="16384" width="8.88671875" style="1622"/>
  </cols>
  <sheetData>
    <row r="1" spans="1:7" ht="15.6">
      <c r="A1" s="1909" t="s">
        <v>100</v>
      </c>
      <c r="B1" s="1909"/>
      <c r="C1" s="1909"/>
      <c r="D1" s="1909"/>
    </row>
    <row r="2" spans="1:7" ht="15.6">
      <c r="A2" s="1910" t="s">
        <v>3273</v>
      </c>
      <c r="B2" s="1910"/>
      <c r="C2" s="1910"/>
      <c r="D2" s="1910"/>
    </row>
    <row r="4" spans="1:7" ht="30" customHeight="1">
      <c r="A4" s="1709" t="s">
        <v>649</v>
      </c>
      <c r="B4" s="1709" t="s">
        <v>3274</v>
      </c>
      <c r="C4" s="1709" t="s">
        <v>3193</v>
      </c>
      <c r="D4" s="1709" t="s">
        <v>3194</v>
      </c>
    </row>
    <row r="5" spans="1:7">
      <c r="A5" s="1711"/>
      <c r="B5" s="1711" t="s">
        <v>778</v>
      </c>
      <c r="C5" s="1711" t="s">
        <v>776</v>
      </c>
      <c r="D5" s="1711" t="s">
        <v>777</v>
      </c>
    </row>
    <row r="6" spans="1:7">
      <c r="A6" s="1623">
        <v>1</v>
      </c>
      <c r="B6" s="1682" t="s">
        <v>3281</v>
      </c>
    </row>
    <row r="7" spans="1:7">
      <c r="A7" s="1623">
        <v>2</v>
      </c>
      <c r="B7" s="1712" t="s">
        <v>3327</v>
      </c>
      <c r="C7" s="1681">
        <f>'Exhibit PCD-4'!J7</f>
        <v>17005803.02</v>
      </c>
      <c r="D7" s="1713">
        <f>'Exhibit PCD-4'!E7</f>
        <v>44194</v>
      </c>
    </row>
    <row r="8" spans="1:7">
      <c r="A8" s="1623">
        <v>3</v>
      </c>
      <c r="B8" s="1712" t="str">
        <f>'Exhibit PCD-4'!B11</f>
        <v>Othello Gate Project</v>
      </c>
      <c r="C8" s="1681">
        <f>'Exhibit PCD-4'!J11</f>
        <v>5318050.0600000005</v>
      </c>
      <c r="D8" s="1713">
        <f>'Exhibit PCD-4'!E11</f>
        <v>44102</v>
      </c>
      <c r="F8" s="1683">
        <f>C8+C10+C11+C12+C13</f>
        <v>13586826.540000001</v>
      </c>
      <c r="G8" s="1622" t="s">
        <v>3330</v>
      </c>
    </row>
    <row r="9" spans="1:7">
      <c r="A9" s="1623">
        <v>4</v>
      </c>
      <c r="B9" s="1712" t="str">
        <f>'Exhibit PCD-4'!B14</f>
        <v>Walla Walla Gate Project</v>
      </c>
      <c r="C9" s="1681">
        <f>'Exhibit PCD-4'!J14</f>
        <v>7551515.8500000006</v>
      </c>
      <c r="D9" s="1713">
        <f>'Exhibit PCD-4'!E14</f>
        <v>44175</v>
      </c>
      <c r="F9" s="1691">
        <v>14610234.18</v>
      </c>
      <c r="G9" s="1679" t="s">
        <v>3329</v>
      </c>
    </row>
    <row r="10" spans="1:7">
      <c r="A10" s="1623">
        <v>5</v>
      </c>
      <c r="B10" s="1712" t="str">
        <f>'Exhibit PCD-4'!B19</f>
        <v>Arlington Gate Project</v>
      </c>
      <c r="C10" s="1681">
        <f>'Exhibit PCD-4'!J19</f>
        <v>6067500.4199999999</v>
      </c>
      <c r="D10" s="1713">
        <f>'Exhibit PCD-4'!E21</f>
        <v>44077</v>
      </c>
      <c r="F10" s="1683">
        <f>SUM(F8:F9)</f>
        <v>28197060.719999999</v>
      </c>
      <c r="G10" s="1622" t="s">
        <v>3331</v>
      </c>
    </row>
    <row r="11" spans="1:7">
      <c r="A11" s="1623">
        <v>6</v>
      </c>
      <c r="B11" s="1712" t="str">
        <f>'Exhibit PCD-4'!B24</f>
        <v>Bellingham 8" HP Project</v>
      </c>
      <c r="C11" s="1681">
        <f>'Exhibit PCD-4'!K24</f>
        <v>1584349.9</v>
      </c>
      <c r="D11" s="1713">
        <f>'Exhibit PCD-4'!E24</f>
        <v>43853</v>
      </c>
    </row>
    <row r="12" spans="1:7">
      <c r="A12" s="1623">
        <v>7</v>
      </c>
      <c r="B12" s="1712" t="str">
        <f>'Exhibit PCD-4'!B25</f>
        <v>Moses Lake 4" PE Project</v>
      </c>
      <c r="C12" s="1681">
        <f>'Exhibit PCD-4'!K25</f>
        <v>213957.59</v>
      </c>
      <c r="D12" s="1713">
        <f>'Exhibit PCD-4'!E25</f>
        <v>43944</v>
      </c>
    </row>
    <row r="13" spans="1:7">
      <c r="A13" s="1623">
        <v>8</v>
      </c>
      <c r="B13" s="1712" t="str">
        <f>'Exhibit PCD-4'!B27</f>
        <v>Walla Walla 6" Distribution Project</v>
      </c>
      <c r="C13" s="1681">
        <f>'Exhibit PCD-4'!K27</f>
        <v>402968.57</v>
      </c>
      <c r="D13" s="1713">
        <f>'Exhibit PCD-4'!E27</f>
        <v>44130</v>
      </c>
    </row>
    <row r="14" spans="1:7">
      <c r="A14" s="1623">
        <v>9</v>
      </c>
      <c r="B14" s="1712" t="str">
        <f>'Exhibit PCD-4'!B28</f>
        <v>Bremerton Reg Station Project</v>
      </c>
      <c r="C14" s="1681">
        <f>'Exhibit PCD-4'!K28</f>
        <v>153797.42000000001</v>
      </c>
      <c r="D14" s="1713">
        <f>'Exhibit PCD-4'!E28</f>
        <v>44147</v>
      </c>
    </row>
    <row r="15" spans="1:7">
      <c r="A15" s="1623">
        <v>10</v>
      </c>
      <c r="B15" s="1712" t="str">
        <f>'Exhibit PCD-4'!B29</f>
        <v>Kennewick Odorizer Project</v>
      </c>
      <c r="C15" s="1681">
        <f>'Exhibit PCD-4'!K29</f>
        <v>167647.38</v>
      </c>
      <c r="D15" s="1713">
        <f>'Exhibit PCD-4'!E29</f>
        <v>44155</v>
      </c>
    </row>
    <row r="16" spans="1:7">
      <c r="A16" s="1623">
        <v>11</v>
      </c>
      <c r="B16" s="1714" t="str">
        <f>'Exhibit PCD-4'!B32</f>
        <v>Bremerton Office Project</v>
      </c>
      <c r="C16" s="1716">
        <f>'Exhibit PCD-4'!K32</f>
        <v>863148.28</v>
      </c>
      <c r="D16" s="1715">
        <f>'Exhibit PCD-4'!E32</f>
        <v>44186</v>
      </c>
    </row>
    <row r="17" spans="1:7">
      <c r="A17" s="1623">
        <v>12</v>
      </c>
      <c r="B17" s="1712" t="s">
        <v>3280</v>
      </c>
      <c r="C17" s="1681">
        <f>SUM(C7:C16)</f>
        <v>39328738.49000001</v>
      </c>
      <c r="D17" s="1708"/>
      <c r="F17" s="1683">
        <f>C17-'Exh 10, Plant Additions'!AA35</f>
        <v>25741911.95000001</v>
      </c>
    </row>
    <row r="18" spans="1:7">
      <c r="A18" s="1623">
        <v>13</v>
      </c>
      <c r="C18" s="1681"/>
      <c r="D18" s="1708"/>
    </row>
    <row r="19" spans="1:7">
      <c r="A19" s="1623">
        <v>14</v>
      </c>
      <c r="B19" s="1682" t="s">
        <v>3283</v>
      </c>
      <c r="C19" s="1681"/>
      <c r="D19" s="1708"/>
    </row>
    <row r="20" spans="1:7">
      <c r="A20" s="1623">
        <v>15</v>
      </c>
      <c r="B20" s="1712" t="s">
        <v>3278</v>
      </c>
      <c r="C20" s="1681">
        <v>5238344.629999999</v>
      </c>
      <c r="D20" s="1713">
        <v>44196</v>
      </c>
    </row>
    <row r="21" spans="1:7">
      <c r="A21" s="1623">
        <v>16</v>
      </c>
      <c r="B21" s="1712" t="s">
        <v>3279</v>
      </c>
      <c r="C21" s="1681">
        <v>10049382.49</v>
      </c>
      <c r="D21" s="1713">
        <f>D20</f>
        <v>44196</v>
      </c>
    </row>
    <row r="22" spans="1:7">
      <c r="A22" s="1623">
        <v>17</v>
      </c>
      <c r="B22" s="1714" t="s">
        <v>3277</v>
      </c>
      <c r="C22" s="1716">
        <v>2637277.88</v>
      </c>
      <c r="D22" s="1715">
        <f>D21</f>
        <v>44196</v>
      </c>
    </row>
    <row r="23" spans="1:7">
      <c r="A23" s="1623">
        <v>18</v>
      </c>
      <c r="B23" s="1712" t="s">
        <v>3275</v>
      </c>
      <c r="C23" s="1681">
        <f>SUM(C20:C22)</f>
        <v>17925005</v>
      </c>
      <c r="F23" s="1683">
        <f>C23-'Exh 10, Plant Additions'!N29</f>
        <v>17925005</v>
      </c>
    </row>
    <row r="24" spans="1:7">
      <c r="A24" s="1623">
        <v>19</v>
      </c>
      <c r="C24" s="1681"/>
    </row>
    <row r="25" spans="1:7" ht="15" thickBot="1">
      <c r="A25" s="1623">
        <v>20</v>
      </c>
      <c r="B25" s="1710" t="s">
        <v>3276</v>
      </c>
      <c r="C25" s="1717">
        <f>C23+C17</f>
        <v>57253743.49000001</v>
      </c>
      <c r="D25" s="1710"/>
      <c r="F25" s="1683">
        <f>C25-'Exh 10, Plant Additions'!H200</f>
        <v>43666916.95000001</v>
      </c>
      <c r="G25" s="1622" t="s">
        <v>2437</v>
      </c>
    </row>
    <row r="26" spans="1:7">
      <c r="A26" s="1623">
        <v>21</v>
      </c>
      <c r="C26" s="1683"/>
    </row>
    <row r="27" spans="1:7">
      <c r="A27" s="1623">
        <v>22</v>
      </c>
      <c r="C27" s="1683"/>
    </row>
    <row r="28" spans="1:7">
      <c r="A28" s="1623">
        <v>23</v>
      </c>
      <c r="B28" s="891" t="s">
        <v>3300</v>
      </c>
      <c r="C28" s="1683"/>
    </row>
    <row r="29" spans="1:7">
      <c r="A29" s="1623">
        <v>24</v>
      </c>
      <c r="B29" s="1712" t="s">
        <v>3328</v>
      </c>
      <c r="C29" s="1681">
        <v>35000</v>
      </c>
      <c r="D29" s="1713">
        <f>'Exhibit PCD-4'!E31</f>
        <v>44196</v>
      </c>
      <c r="F29" s="1783">
        <f>'Exhibit PCD-4'!H34+22700000</f>
        <v>66077454.639999993</v>
      </c>
    </row>
    <row r="30" spans="1:7">
      <c r="A30" s="1623">
        <v>25</v>
      </c>
      <c r="B30" s="1712" t="str">
        <f>'Exhibit PCD-4'!B22</f>
        <v>Aberdeen 6" HP Project</v>
      </c>
      <c r="C30" s="1681">
        <f>'Exhibit PCD-4'!H22</f>
        <v>4257740</v>
      </c>
      <c r="D30" s="1622">
        <v>2021</v>
      </c>
      <c r="F30" s="1683">
        <f>F29-C25</f>
        <v>8823711.1499999836</v>
      </c>
    </row>
    <row r="31" spans="1:7">
      <c r="A31" s="1623">
        <v>26</v>
      </c>
      <c r="B31" s="1712" t="str">
        <f>'Exhibit PCD-4'!B23</f>
        <v>Richland Keene Rd Project</v>
      </c>
      <c r="C31" s="1681">
        <f>'Exhibit PCD-4'!H23</f>
        <v>1725636</v>
      </c>
      <c r="D31" s="1622">
        <v>2021</v>
      </c>
    </row>
    <row r="32" spans="1:7">
      <c r="A32" s="1623">
        <v>27</v>
      </c>
      <c r="B32" s="1712" t="str">
        <f>'Exhibit PCD-4'!B26</f>
        <v>Mount Vernon Reg Station Project</v>
      </c>
      <c r="C32" s="1681">
        <f>'Exhibit PCD-4'!H26</f>
        <v>352513.6</v>
      </c>
      <c r="D32" s="1622">
        <v>2021</v>
      </c>
    </row>
    <row r="33" spans="1:4">
      <c r="A33" s="1623">
        <v>28</v>
      </c>
      <c r="B33" s="1714" t="str">
        <f>'Exhibit PCD-4'!B30</f>
        <v>Richland Odorizer Project</v>
      </c>
      <c r="C33" s="1716">
        <f>'Exhibit PCD-4'!H30</f>
        <v>143033.60000000001</v>
      </c>
      <c r="D33" s="1679">
        <v>2021</v>
      </c>
    </row>
    <row r="34" spans="1:4">
      <c r="A34" s="1623">
        <v>29</v>
      </c>
      <c r="B34" s="1712" t="s">
        <v>3282</v>
      </c>
      <c r="C34" s="1681">
        <f>SUM(C29:C33)</f>
        <v>6513923.1999999993</v>
      </c>
    </row>
    <row r="35" spans="1:4">
      <c r="A35" s="1623">
        <v>30</v>
      </c>
    </row>
  </sheetData>
  <mergeCells count="2">
    <mergeCell ref="A1:D1"/>
    <mergeCell ref="A2:D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9E88-9D91-4146-8277-F11B2EEFF8F0}">
  <sheetPr codeName="Sheet62">
    <tabColor theme="7" tint="0.79998168889431442"/>
    <pageSetUpPr fitToPage="1"/>
  </sheetPr>
  <dimension ref="A1:AH75"/>
  <sheetViews>
    <sheetView topLeftCell="B1" zoomScale="80" zoomScaleNormal="80" zoomScaleSheetLayoutView="90" workbookViewId="0">
      <pane xSplit="1" ySplit="6" topLeftCell="F7" activePane="bottomRight" state="frozen"/>
      <selection activeCell="B1" sqref="B1"/>
      <selection pane="topRight" activeCell="C1" sqref="C1"/>
      <selection pane="bottomLeft" activeCell="B7" sqref="B7"/>
      <selection pane="bottomRight" activeCell="Q2" sqref="Q2"/>
    </sheetView>
  </sheetViews>
  <sheetFormatPr defaultColWidth="9.109375" defaultRowHeight="14.4"/>
  <cols>
    <col min="1" max="1" width="6.33203125" style="1623" customWidth="1"/>
    <col min="2" max="2" width="31.33203125" style="1623" customWidth="1"/>
    <col min="3" max="3" width="1.44140625" style="1623" customWidth="1"/>
    <col min="4" max="4" width="16.33203125" style="1623" customWidth="1"/>
    <col min="5" max="5" width="13.33203125" style="1623" customWidth="1"/>
    <col min="6" max="6" width="1.44140625" style="1623" customWidth="1"/>
    <col min="7" max="7" width="14.88671875" style="1623" bestFit="1" customWidth="1"/>
    <col min="8" max="8" width="16.88671875" style="1623" customWidth="1"/>
    <col min="9" max="9" width="1.44140625" style="1623" customWidth="1"/>
    <col min="10" max="10" width="15.109375" style="1623" customWidth="1"/>
    <col min="11" max="11" width="17.5546875" style="1623" customWidth="1"/>
    <col min="12" max="12" width="1.44140625" style="1623" customWidth="1"/>
    <col min="13" max="13" width="43.6640625" style="1734" bestFit="1" customWidth="1"/>
    <col min="14" max="14" width="9.109375" style="1622"/>
    <col min="15" max="15" width="11.88671875" style="1622" customWidth="1"/>
    <col min="16" max="16" width="16.6640625" style="1622" bestFit="1" customWidth="1"/>
    <col min="17" max="17" width="11.6640625" style="1622" bestFit="1" customWidth="1"/>
    <col min="18" max="19" width="9.109375" style="1622"/>
    <col min="20" max="20" width="12.44140625" style="1622" customWidth="1"/>
    <col min="21" max="21" width="15.5546875" style="1622" bestFit="1" customWidth="1"/>
    <col min="22" max="22" width="11.6640625" style="1622" bestFit="1" customWidth="1"/>
    <col min="23" max="27" width="9.109375" style="1622"/>
    <col min="28" max="28" width="13.88671875" style="1622" bestFit="1" customWidth="1"/>
    <col min="29" max="29" width="9.109375" style="1622"/>
    <col min="30" max="30" width="12.44140625" style="1622" customWidth="1"/>
    <col min="31" max="31" width="13.88671875" style="1622" bestFit="1" customWidth="1"/>
    <col min="32" max="32" width="9.109375" style="1622"/>
    <col min="33" max="33" width="10.5546875" style="1622" bestFit="1" customWidth="1"/>
    <col min="34" max="34" width="13.88671875" style="1622" bestFit="1" customWidth="1"/>
    <col min="35" max="16384" width="9.109375" style="1622"/>
  </cols>
  <sheetData>
    <row r="1" spans="1:34">
      <c r="A1" s="1911" t="s">
        <v>100</v>
      </c>
      <c r="B1" s="1911"/>
      <c r="C1" s="1911"/>
      <c r="D1" s="1911"/>
      <c r="E1" s="1911"/>
      <c r="F1" s="1911"/>
      <c r="G1" s="1911"/>
      <c r="H1" s="1911"/>
      <c r="I1" s="1911"/>
      <c r="J1" s="1911"/>
      <c r="K1" s="1911"/>
      <c r="L1" s="1911"/>
      <c r="M1" s="1911"/>
      <c r="N1" s="1737"/>
      <c r="O1" s="1737"/>
      <c r="P1" s="1738"/>
    </row>
    <row r="2" spans="1:34">
      <c r="A2" s="1911" t="s">
        <v>3304</v>
      </c>
      <c r="B2" s="1911"/>
      <c r="C2" s="1911"/>
      <c r="D2" s="1911"/>
      <c r="E2" s="1911"/>
      <c r="F2" s="1911"/>
      <c r="G2" s="1911"/>
      <c r="H2" s="1911"/>
      <c r="I2" s="1911"/>
      <c r="J2" s="1911"/>
      <c r="K2" s="1911"/>
      <c r="L2" s="1911"/>
      <c r="M2" s="1911"/>
      <c r="N2" s="1737"/>
      <c r="O2" s="1737" t="s">
        <v>3359</v>
      </c>
      <c r="P2" s="1738">
        <v>13190383</v>
      </c>
    </row>
    <row r="3" spans="1:34">
      <c r="A3" s="1912" t="s">
        <v>3269</v>
      </c>
      <c r="B3" s="1912"/>
      <c r="C3" s="1912"/>
      <c r="D3" s="1912"/>
      <c r="E3" s="1912"/>
      <c r="F3" s="1912"/>
      <c r="G3" s="1912"/>
      <c r="H3" s="1912"/>
      <c r="I3" s="1912"/>
      <c r="J3" s="1912"/>
      <c r="K3" s="1912"/>
      <c r="L3" s="1912"/>
      <c r="M3" s="1912"/>
      <c r="N3" s="1737"/>
      <c r="O3" s="1737" t="s">
        <v>3358</v>
      </c>
      <c r="P3" s="1738">
        <f>SUM(P11:P13,P19:P21,P24,P25, P27)</f>
        <v>13586826.540000001</v>
      </c>
    </row>
    <row r="4" spans="1:34">
      <c r="A4" s="1622"/>
      <c r="B4" s="1622"/>
      <c r="C4" s="1622"/>
      <c r="D4" s="1736"/>
      <c r="E4" s="1736"/>
      <c r="F4" s="1736"/>
      <c r="G4" s="1736"/>
      <c r="H4" s="1736"/>
      <c r="I4" s="1736"/>
      <c r="J4" s="1736"/>
      <c r="K4" s="1736"/>
      <c r="L4" s="1736"/>
      <c r="M4" s="1736"/>
      <c r="N4" s="1737"/>
      <c r="O4" s="1737"/>
      <c r="P4" s="1738">
        <f>P3-P2</f>
        <v>396443.54000000097</v>
      </c>
    </row>
    <row r="5" spans="1:34" ht="28.8">
      <c r="A5" s="1735" t="s">
        <v>649</v>
      </c>
      <c r="B5" s="1735" t="s">
        <v>3192</v>
      </c>
      <c r="C5" s="1766"/>
      <c r="D5" s="1735" t="s">
        <v>1429</v>
      </c>
      <c r="E5" s="1735" t="s">
        <v>3303</v>
      </c>
      <c r="F5" s="1766"/>
      <c r="G5" s="1735" t="s">
        <v>3306</v>
      </c>
      <c r="H5" s="1735" t="s">
        <v>3310</v>
      </c>
      <c r="I5" s="1766"/>
      <c r="J5" s="1735" t="s">
        <v>3309</v>
      </c>
      <c r="K5" s="1735" t="s">
        <v>3311</v>
      </c>
      <c r="L5" s="1766"/>
      <c r="M5" s="1735" t="s">
        <v>3305</v>
      </c>
      <c r="P5" s="1622" t="s">
        <v>3325</v>
      </c>
    </row>
    <row r="6" spans="1:34">
      <c r="A6" s="1711"/>
      <c r="B6" s="1711" t="s">
        <v>778</v>
      </c>
      <c r="C6" s="1711"/>
      <c r="D6" s="1711" t="s">
        <v>776</v>
      </c>
      <c r="E6" s="1711" t="s">
        <v>777</v>
      </c>
      <c r="F6" s="1711"/>
      <c r="G6" s="1711" t="s">
        <v>780</v>
      </c>
      <c r="H6" s="1711" t="s">
        <v>781</v>
      </c>
      <c r="I6" s="1711"/>
      <c r="J6" s="1711" t="s">
        <v>782</v>
      </c>
      <c r="K6" s="1711" t="s">
        <v>783</v>
      </c>
      <c r="L6" s="1711"/>
      <c r="M6" s="1711" t="s">
        <v>784</v>
      </c>
    </row>
    <row r="7" spans="1:34" ht="15.75" customHeight="1">
      <c r="A7" s="1623">
        <v>1</v>
      </c>
      <c r="B7" s="1734" t="s">
        <v>3322</v>
      </c>
      <c r="C7" s="1765"/>
      <c r="D7" s="1740">
        <v>44074</v>
      </c>
      <c r="E7" s="1740">
        <v>44194</v>
      </c>
      <c r="F7" s="1740"/>
      <c r="G7" s="1741">
        <f>SUM(H7:H10)</f>
        <v>16888815.439999998</v>
      </c>
      <c r="H7" s="1741">
        <v>5648475</v>
      </c>
      <c r="I7" s="1741"/>
      <c r="J7" s="1741">
        <f>SUM(K7:K10)</f>
        <v>17005803.02</v>
      </c>
      <c r="K7" s="1741">
        <v>5749367.2800000003</v>
      </c>
      <c r="L7" s="1741"/>
      <c r="M7" s="1622" t="s">
        <v>1945</v>
      </c>
      <c r="O7" s="1622" t="str">
        <f>LEFT('Exhibit PCD-4'!$M7, 9)</f>
        <v>FP-302596</v>
      </c>
      <c r="P7" s="1739">
        <v>0</v>
      </c>
      <c r="Q7" s="1740">
        <f>'Exhibit PCD-4'!$E7</f>
        <v>44194</v>
      </c>
      <c r="T7" s="1622" t="s">
        <v>3165</v>
      </c>
      <c r="U7" s="1741">
        <f>VLOOKUP($T7, $O$7:$Q$32, 2, FALSE)</f>
        <v>4131574.32</v>
      </c>
      <c r="V7" s="1713">
        <f>VLOOKUP($T7, $O$7:$Q$32, 3, FALSE)</f>
        <v>43857</v>
      </c>
      <c r="AB7" s="1783"/>
      <c r="AC7" s="1622" t="s">
        <v>3184</v>
      </c>
      <c r="AD7" s="1782">
        <v>44074</v>
      </c>
      <c r="AE7" s="1783">
        <v>5749367.2800000003</v>
      </c>
      <c r="AG7" s="1782">
        <f>VLOOKUP($O7, $AC$7:$AE$32, 2, FALSE)</f>
        <v>44074</v>
      </c>
      <c r="AH7" s="1783">
        <f>VLOOKUP($O7, $AC$7:$AE$32, 3, FALSE)</f>
        <v>5749367.2800000003</v>
      </c>
    </row>
    <row r="8" spans="1:34" ht="15.75" customHeight="1">
      <c r="A8" s="1623">
        <v>2</v>
      </c>
      <c r="B8" s="1734"/>
      <c r="C8" s="1765"/>
      <c r="D8" s="1740">
        <v>44074</v>
      </c>
      <c r="E8" s="1740">
        <v>44194</v>
      </c>
      <c r="F8" s="1740"/>
      <c r="G8" s="1741"/>
      <c r="H8" s="1741">
        <v>1308260.44</v>
      </c>
      <c r="I8" s="1741"/>
      <c r="J8" s="1741"/>
      <c r="K8" s="1741">
        <v>1484844.57</v>
      </c>
      <c r="L8" s="1741"/>
      <c r="M8" s="1622" t="s">
        <v>1966</v>
      </c>
      <c r="O8" s="1622" t="str">
        <f>LEFT('Exhibit PCD-4'!$M8, 9)</f>
        <v>FP-316587</v>
      </c>
      <c r="P8" s="1739">
        <v>0</v>
      </c>
      <c r="Q8" s="1740">
        <f>'Exhibit PCD-4'!$E8</f>
        <v>44194</v>
      </c>
      <c r="T8" s="1622" t="s">
        <v>3184</v>
      </c>
      <c r="U8" s="1741">
        <f t="shared" ref="U8:U32" si="0">VLOOKUP($T8, $O$7:$Q$32, 2, FALSE)</f>
        <v>0</v>
      </c>
      <c r="V8" s="1713">
        <f t="shared" ref="V8:V32" si="1">VLOOKUP($T8, $O$7:$Q$32, 3, FALSE)</f>
        <v>44194</v>
      </c>
      <c r="AB8" s="1783"/>
      <c r="AC8" s="1781" t="s">
        <v>3165</v>
      </c>
      <c r="AD8" s="1782">
        <v>44074</v>
      </c>
      <c r="AE8" s="1783">
        <v>4131574.32</v>
      </c>
      <c r="AG8" s="1782">
        <f t="shared" ref="AG8:AG32" si="2">VLOOKUP($O8, $AC$7:$AE$32, 2, FALSE)</f>
        <v>44155</v>
      </c>
      <c r="AH8" s="1783">
        <f>VLOOKUP($O8, $AC$7:$AE$32, 3, FALSE)</f>
        <v>1484844.57</v>
      </c>
    </row>
    <row r="9" spans="1:34" ht="15.75" customHeight="1">
      <c r="A9" s="1623">
        <v>3</v>
      </c>
      <c r="B9" s="1734"/>
      <c r="C9" s="1765"/>
      <c r="D9" s="1740">
        <v>44074</v>
      </c>
      <c r="E9" s="1740">
        <v>44194</v>
      </c>
      <c r="F9" s="1740"/>
      <c r="G9" s="1741"/>
      <c r="H9" s="1741">
        <v>9795152</v>
      </c>
      <c r="I9" s="1741"/>
      <c r="J9" s="1741"/>
      <c r="K9" s="1741">
        <v>9771591.1699999999</v>
      </c>
      <c r="L9" s="1741"/>
      <c r="M9" s="1622" t="s">
        <v>1264</v>
      </c>
      <c r="O9" s="1622" t="str">
        <f>LEFT('Exhibit PCD-4'!$M9, 9)</f>
        <v>FP-316670</v>
      </c>
      <c r="P9" s="1739">
        <v>0</v>
      </c>
      <c r="Q9" s="1740">
        <f>'Exhibit PCD-4'!$E9</f>
        <v>44194</v>
      </c>
      <c r="T9" s="1622" t="s">
        <v>3175</v>
      </c>
      <c r="U9" s="1741">
        <f t="shared" si="0"/>
        <v>0</v>
      </c>
      <c r="V9" s="1713">
        <f t="shared" si="1"/>
        <v>44175</v>
      </c>
      <c r="AB9" s="1783"/>
      <c r="AC9" s="1781" t="s">
        <v>3167</v>
      </c>
      <c r="AD9" s="1782">
        <v>44074</v>
      </c>
      <c r="AE9" s="1783">
        <v>892536.09</v>
      </c>
      <c r="AG9" s="1782">
        <f t="shared" si="2"/>
        <v>44165</v>
      </c>
      <c r="AH9" s="1783">
        <f>VLOOKUP($O9, $AC$7:$AE$32, 3, FALSE)</f>
        <v>9771591.1699999999</v>
      </c>
    </row>
    <row r="10" spans="1:34" ht="15.75" customHeight="1">
      <c r="A10" s="1623">
        <v>4</v>
      </c>
      <c r="B10" s="1751"/>
      <c r="C10" s="1751"/>
      <c r="D10" s="1752">
        <v>44074</v>
      </c>
      <c r="E10" s="1715" t="s">
        <v>2335</v>
      </c>
      <c r="F10" s="1752"/>
      <c r="G10" s="1753"/>
      <c r="H10" s="1753">
        <v>136928</v>
      </c>
      <c r="I10" s="1753"/>
      <c r="J10" s="1753"/>
      <c r="K10" s="1753">
        <v>0</v>
      </c>
      <c r="L10" s="1753"/>
      <c r="M10" s="1679" t="s">
        <v>3207</v>
      </c>
      <c r="O10" s="1622" t="str">
        <f>LEFT('Exhibit PCD-4'!$M10, 9)</f>
        <v>FP-317535</v>
      </c>
      <c r="P10" s="1739">
        <v>0</v>
      </c>
      <c r="Q10" s="1743" t="str">
        <f>'Exhibit PCD-4'!$E10</f>
        <v>N/A</v>
      </c>
      <c r="T10" s="1622" t="s">
        <v>3174</v>
      </c>
      <c r="U10" s="1741">
        <f t="shared" si="0"/>
        <v>0</v>
      </c>
      <c r="V10" s="1713">
        <f t="shared" si="1"/>
        <v>44175</v>
      </c>
      <c r="AB10" s="1783"/>
      <c r="AC10" s="1781" t="s">
        <v>3175</v>
      </c>
      <c r="AD10" s="1782">
        <v>44074</v>
      </c>
      <c r="AE10" s="1783">
        <v>4898744.95</v>
      </c>
      <c r="AG10" s="1782">
        <f t="shared" si="2"/>
        <v>44165</v>
      </c>
      <c r="AH10" s="1783">
        <f t="shared" ref="AH10:AH32" si="3">VLOOKUP($O10, $AC$7:$AE$32, 3, FALSE)</f>
        <v>116370.93</v>
      </c>
    </row>
    <row r="11" spans="1:34" ht="15.75" customHeight="1">
      <c r="A11" s="1623">
        <v>5</v>
      </c>
      <c r="B11" s="1734" t="s">
        <v>3198</v>
      </c>
      <c r="C11" s="1765"/>
      <c r="D11" s="1740">
        <v>44165</v>
      </c>
      <c r="E11" s="1740">
        <v>44102</v>
      </c>
      <c r="F11" s="1740"/>
      <c r="G11" s="1785">
        <f>SUM(H11:H13)</f>
        <v>6054000</v>
      </c>
      <c r="H11" s="1785">
        <v>858122</v>
      </c>
      <c r="I11" s="1741"/>
      <c r="J11" s="1741">
        <f>SUM(K11:K13)</f>
        <v>5318050.0600000005</v>
      </c>
      <c r="K11" s="1741">
        <v>1392314.26</v>
      </c>
      <c r="L11" s="1741"/>
      <c r="M11" s="1622" t="s">
        <v>1957</v>
      </c>
      <c r="O11" s="825" t="str">
        <f>LEFT('Exhibit PCD-4'!$M11, 9)</f>
        <v>FP-318808</v>
      </c>
      <c r="P11" s="1739">
        <f>'Exhibit PCD-4'!$K11</f>
        <v>1392314.26</v>
      </c>
      <c r="Q11" s="1740">
        <f>'Exhibit PCD-4'!$E11</f>
        <v>44102</v>
      </c>
      <c r="T11" s="1622" t="s">
        <v>3168</v>
      </c>
      <c r="U11" s="1741">
        <f t="shared" si="0"/>
        <v>0</v>
      </c>
      <c r="V11" s="1713" t="str">
        <f t="shared" si="1"/>
        <v>N/A</v>
      </c>
      <c r="AB11" s="1783"/>
      <c r="AC11" s="1781" t="s">
        <v>3187</v>
      </c>
      <c r="AD11" s="1782">
        <v>44165</v>
      </c>
      <c r="AE11" s="1783">
        <v>9771591.1699999999</v>
      </c>
      <c r="AG11" s="1782">
        <f t="shared" si="2"/>
        <v>44155</v>
      </c>
      <c r="AH11" s="1783">
        <f t="shared" si="3"/>
        <v>1392314.26</v>
      </c>
    </row>
    <row r="12" spans="1:34" ht="15.75" customHeight="1">
      <c r="A12" s="1623">
        <v>6</v>
      </c>
      <c r="B12" s="1734"/>
      <c r="C12" s="1765"/>
      <c r="D12" s="1740">
        <v>44165</v>
      </c>
      <c r="E12" s="1740">
        <v>44102</v>
      </c>
      <c r="F12" s="1740"/>
      <c r="G12" s="1785"/>
      <c r="H12" s="1785">
        <v>4731395</v>
      </c>
      <c r="I12" s="1741"/>
      <c r="J12" s="1741"/>
      <c r="K12" s="1741">
        <v>3416936.97</v>
      </c>
      <c r="L12" s="1741"/>
      <c r="M12" s="1622" t="s">
        <v>1959</v>
      </c>
      <c r="O12" s="825" t="str">
        <f>LEFT('Exhibit PCD-4'!$M12, 9)</f>
        <v>FP-318987</v>
      </c>
      <c r="P12" s="1739">
        <f>'Exhibit PCD-4'!$K12</f>
        <v>3416936.97</v>
      </c>
      <c r="Q12" s="1740">
        <f>'Exhibit PCD-4'!$E12</f>
        <v>44102</v>
      </c>
      <c r="T12" s="1622" t="s">
        <v>3166</v>
      </c>
      <c r="U12" s="1741">
        <f t="shared" si="0"/>
        <v>1043390.01</v>
      </c>
      <c r="V12" s="1713">
        <f t="shared" si="1"/>
        <v>44043</v>
      </c>
      <c r="AB12" s="1783"/>
      <c r="AC12" s="1781" t="s">
        <v>3181</v>
      </c>
      <c r="AD12" s="1782">
        <v>44165</v>
      </c>
      <c r="AE12" s="1783">
        <v>1584349.9</v>
      </c>
      <c r="AG12" s="1782">
        <f t="shared" si="2"/>
        <v>44155</v>
      </c>
      <c r="AH12" s="1783">
        <f t="shared" si="3"/>
        <v>3416936.97</v>
      </c>
    </row>
    <row r="13" spans="1:34" ht="15.75" customHeight="1">
      <c r="A13" s="1623">
        <v>7</v>
      </c>
      <c r="B13" s="1751"/>
      <c r="C13" s="1751"/>
      <c r="D13" s="1752">
        <v>44165</v>
      </c>
      <c r="E13" s="1752">
        <v>44102</v>
      </c>
      <c r="F13" s="1752"/>
      <c r="G13" s="1786"/>
      <c r="H13" s="1786">
        <v>464483</v>
      </c>
      <c r="I13" s="1753"/>
      <c r="J13" s="1753"/>
      <c r="K13" s="1753">
        <v>508798.83</v>
      </c>
      <c r="L13" s="1753"/>
      <c r="M13" s="1679" t="s">
        <v>2300</v>
      </c>
      <c r="O13" s="825" t="str">
        <f>LEFT('Exhibit PCD-4'!$M13, 9)</f>
        <v>FP-318829</v>
      </c>
      <c r="P13" s="1739">
        <f>'Exhibit PCD-4'!$K13</f>
        <v>508798.83</v>
      </c>
      <c r="Q13" s="1740">
        <f>'Exhibit PCD-4'!$E13</f>
        <v>44102</v>
      </c>
      <c r="T13" s="1622" t="s">
        <v>3185</v>
      </c>
      <c r="U13" s="1741">
        <f t="shared" si="0"/>
        <v>0</v>
      </c>
      <c r="V13" s="1713">
        <f t="shared" si="1"/>
        <v>44194</v>
      </c>
      <c r="AB13" s="1783"/>
      <c r="AC13" s="1781" t="s">
        <v>3186</v>
      </c>
      <c r="AD13" s="1782">
        <v>44165</v>
      </c>
      <c r="AE13" s="1783">
        <v>116370.93</v>
      </c>
      <c r="AG13" s="1782">
        <f t="shared" si="2"/>
        <v>44042</v>
      </c>
      <c r="AH13" s="1783">
        <f t="shared" si="3"/>
        <v>508798.83</v>
      </c>
    </row>
    <row r="14" spans="1:34" ht="15.75" customHeight="1">
      <c r="A14" s="1623">
        <v>8</v>
      </c>
      <c r="B14" s="1734" t="s">
        <v>3201</v>
      </c>
      <c r="C14" s="1765"/>
      <c r="D14" s="1740">
        <v>44155</v>
      </c>
      <c r="E14" s="1740">
        <v>44175</v>
      </c>
      <c r="F14" s="1740"/>
      <c r="G14" s="1785">
        <f>SUM(H14:H18)</f>
        <v>5516328.8900000006</v>
      </c>
      <c r="H14" s="1785">
        <v>746233</v>
      </c>
      <c r="I14" s="1741"/>
      <c r="J14" s="1741">
        <f>SUM(K14:K18)</f>
        <v>7551515.8500000006</v>
      </c>
      <c r="K14" s="1741">
        <v>1215221.07</v>
      </c>
      <c r="L14" s="1741"/>
      <c r="M14" s="1622" t="s">
        <v>3202</v>
      </c>
      <c r="O14" s="1622" t="str">
        <f>LEFT('Exhibit PCD-4'!$M14, 9)</f>
        <v>FP-306998</v>
      </c>
      <c r="P14" s="1739">
        <v>0</v>
      </c>
      <c r="Q14" s="1740">
        <f>'Exhibit PCD-4'!$E14</f>
        <v>44175</v>
      </c>
      <c r="T14" s="1622" t="s">
        <v>3176</v>
      </c>
      <c r="U14" s="1741">
        <f t="shared" si="0"/>
        <v>0</v>
      </c>
      <c r="V14" s="1713">
        <f t="shared" si="1"/>
        <v>44175</v>
      </c>
      <c r="AB14" s="1783"/>
      <c r="AC14" s="1781" t="s">
        <v>3166</v>
      </c>
      <c r="AD14" s="1782">
        <v>44155</v>
      </c>
      <c r="AE14" s="1783">
        <v>1043390.01</v>
      </c>
      <c r="AG14" s="1782">
        <f t="shared" si="2"/>
        <v>44155</v>
      </c>
      <c r="AH14" s="1783">
        <f t="shared" si="3"/>
        <v>1215221.07</v>
      </c>
    </row>
    <row r="15" spans="1:34" ht="15.75" customHeight="1">
      <c r="A15" s="1623">
        <v>9</v>
      </c>
      <c r="B15" s="1734"/>
      <c r="C15" s="1765"/>
      <c r="D15" s="1740">
        <v>44155</v>
      </c>
      <c r="E15" s="1740">
        <v>44175</v>
      </c>
      <c r="F15" s="1740"/>
      <c r="G15" s="1785"/>
      <c r="H15" s="1785">
        <v>3360413</v>
      </c>
      <c r="I15" s="1741"/>
      <c r="J15" s="1741"/>
      <c r="K15" s="1741">
        <v>4898744.95</v>
      </c>
      <c r="L15" s="1741"/>
      <c r="M15" s="1622" t="s">
        <v>2341</v>
      </c>
      <c r="O15" s="1622" t="str">
        <f>LEFT('Exhibit PCD-4'!$M15, 9)</f>
        <v>FP-306988</v>
      </c>
      <c r="P15" s="1739">
        <v>0</v>
      </c>
      <c r="Q15" s="1740">
        <f>'Exhibit PCD-4'!$E15</f>
        <v>44175</v>
      </c>
      <c r="T15" s="1622" t="s">
        <v>3187</v>
      </c>
      <c r="U15" s="1741">
        <f t="shared" si="0"/>
        <v>0</v>
      </c>
      <c r="V15" s="1713">
        <f t="shared" si="1"/>
        <v>44194</v>
      </c>
      <c r="AB15" s="1783"/>
      <c r="AC15" s="1781" t="s">
        <v>3185</v>
      </c>
      <c r="AD15" s="1782">
        <v>44155</v>
      </c>
      <c r="AE15" s="1783">
        <v>1484844.57</v>
      </c>
      <c r="AG15" s="1782">
        <f t="shared" si="2"/>
        <v>44074</v>
      </c>
      <c r="AH15" s="1783">
        <f t="shared" si="3"/>
        <v>4898744.95</v>
      </c>
    </row>
    <row r="16" spans="1:34" ht="15.75" customHeight="1">
      <c r="A16" s="1623">
        <v>10</v>
      </c>
      <c r="B16" s="1734"/>
      <c r="C16" s="1765"/>
      <c r="D16" s="1740">
        <v>44155</v>
      </c>
      <c r="E16" s="1740">
        <v>44175</v>
      </c>
      <c r="F16" s="1740"/>
      <c r="G16" s="1785"/>
      <c r="H16" s="1785">
        <v>1160244.8900000001</v>
      </c>
      <c r="I16" s="1741"/>
      <c r="J16" s="1741"/>
      <c r="K16" s="1741">
        <v>1174322.96</v>
      </c>
      <c r="L16" s="1741"/>
      <c r="M16" s="1622" t="s">
        <v>1973</v>
      </c>
      <c r="O16" s="1622" t="str">
        <f>LEFT('Exhibit PCD-4'!$M16, 9)</f>
        <v>FP-316589</v>
      </c>
      <c r="P16" s="1739">
        <v>0</v>
      </c>
      <c r="Q16" s="1740">
        <f>'Exhibit PCD-4'!$E16</f>
        <v>44175</v>
      </c>
      <c r="T16" s="1622" t="s">
        <v>3181</v>
      </c>
      <c r="U16" s="1741">
        <f t="shared" si="0"/>
        <v>1584349.9</v>
      </c>
      <c r="V16" s="1713">
        <f t="shared" si="1"/>
        <v>43853</v>
      </c>
      <c r="AB16" s="1783"/>
      <c r="AC16" s="1781" t="s">
        <v>3174</v>
      </c>
      <c r="AD16" s="1782">
        <v>44155</v>
      </c>
      <c r="AE16" s="1783">
        <v>1215221.07</v>
      </c>
      <c r="AG16" s="1782">
        <f t="shared" si="2"/>
        <v>44012</v>
      </c>
      <c r="AH16" s="1783">
        <f t="shared" si="3"/>
        <v>1174322.96</v>
      </c>
    </row>
    <row r="17" spans="1:34" ht="15.75" customHeight="1">
      <c r="A17" s="1623">
        <v>11</v>
      </c>
      <c r="B17" s="1734"/>
      <c r="C17" s="1765"/>
      <c r="D17" s="1740">
        <v>44155</v>
      </c>
      <c r="E17" s="1740">
        <v>44175</v>
      </c>
      <c r="F17" s="1740"/>
      <c r="G17" s="1785"/>
      <c r="H17" s="1785">
        <v>124719</v>
      </c>
      <c r="I17" s="1741"/>
      <c r="J17" s="1741"/>
      <c r="K17" s="1741">
        <v>139247.74</v>
      </c>
      <c r="L17" s="1741"/>
      <c r="M17" s="1622" t="s">
        <v>2298</v>
      </c>
      <c r="O17" s="1622" t="str">
        <f>LEFT('Exhibit PCD-4'!$M17, 9)</f>
        <v>FP-318746</v>
      </c>
      <c r="P17" s="1739">
        <v>0</v>
      </c>
      <c r="Q17" s="1740">
        <f>'Exhibit PCD-4'!$E17</f>
        <v>44175</v>
      </c>
      <c r="T17" s="1622" t="s">
        <v>3167</v>
      </c>
      <c r="U17" s="1741">
        <f t="shared" si="0"/>
        <v>892536.09</v>
      </c>
      <c r="V17" s="1713">
        <f t="shared" si="1"/>
        <v>44077</v>
      </c>
      <c r="AB17" s="1783"/>
      <c r="AC17" s="1781" t="s">
        <v>3169</v>
      </c>
      <c r="AD17" s="1782">
        <v>44155</v>
      </c>
      <c r="AE17" s="1783">
        <v>3416936.97</v>
      </c>
      <c r="AG17" s="1782">
        <f t="shared" si="2"/>
        <v>43850</v>
      </c>
      <c r="AH17" s="1783">
        <f t="shared" si="3"/>
        <v>139247.74</v>
      </c>
    </row>
    <row r="18" spans="1:34" ht="15.75" customHeight="1">
      <c r="A18" s="1623">
        <v>12</v>
      </c>
      <c r="B18" s="1751"/>
      <c r="C18" s="1751"/>
      <c r="D18" s="1752">
        <v>44155</v>
      </c>
      <c r="E18" s="1752">
        <v>44175</v>
      </c>
      <c r="F18" s="1752"/>
      <c r="G18" s="1786"/>
      <c r="H18" s="1786">
        <v>124719</v>
      </c>
      <c r="I18" s="1753"/>
      <c r="J18" s="1753"/>
      <c r="K18" s="1753">
        <v>123979.13</v>
      </c>
      <c r="L18" s="1753"/>
      <c r="M18" s="1679" t="s">
        <v>2299</v>
      </c>
      <c r="O18" s="1622" t="str">
        <f>LEFT('Exhibit PCD-4'!$M18, 9)</f>
        <v>FP-318747</v>
      </c>
      <c r="P18" s="1739">
        <v>0</v>
      </c>
      <c r="Q18" s="1740">
        <f>'Exhibit PCD-4'!$E18</f>
        <v>44175</v>
      </c>
      <c r="T18" s="1622" t="s">
        <v>3186</v>
      </c>
      <c r="U18" s="1741">
        <f t="shared" si="0"/>
        <v>0</v>
      </c>
      <c r="V18" s="1713" t="str">
        <f t="shared" si="1"/>
        <v>N/A</v>
      </c>
      <c r="AB18" s="1783"/>
      <c r="AC18" s="1781" t="s">
        <v>3170</v>
      </c>
      <c r="AD18" s="1782">
        <v>44155</v>
      </c>
      <c r="AE18" s="1783">
        <v>1392314.26</v>
      </c>
      <c r="AG18" s="1782">
        <f t="shared" si="2"/>
        <v>44042</v>
      </c>
      <c r="AH18" s="1783">
        <f t="shared" si="3"/>
        <v>123979.13</v>
      </c>
    </row>
    <row r="19" spans="1:34" ht="15.75" customHeight="1">
      <c r="A19" s="1623">
        <v>13</v>
      </c>
      <c r="B19" s="1734" t="s">
        <v>3195</v>
      </c>
      <c r="C19" s="1765"/>
      <c r="D19" s="1740">
        <v>44012</v>
      </c>
      <c r="E19" s="1740">
        <v>43857</v>
      </c>
      <c r="F19" s="1740"/>
      <c r="G19" s="1785">
        <f>SUM(H19:H21)</f>
        <v>4655298.18</v>
      </c>
      <c r="H19" s="1785">
        <v>2757265.26</v>
      </c>
      <c r="I19" s="1741"/>
      <c r="J19" s="1741">
        <f>SUM(K19:K21)</f>
        <v>6067500.4199999999</v>
      </c>
      <c r="K19" s="1741">
        <v>4131574.32</v>
      </c>
      <c r="L19" s="1741"/>
      <c r="M19" s="1622" t="s">
        <v>1262</v>
      </c>
      <c r="O19" s="825" t="str">
        <f>LEFT('Exhibit PCD-4'!$M19, 9)</f>
        <v>FP-300233</v>
      </c>
      <c r="P19" s="1739">
        <f>'Exhibit PCD-4'!$K19</f>
        <v>4131574.32</v>
      </c>
      <c r="Q19" s="1740">
        <f>'Exhibit PCD-4'!$E19</f>
        <v>43857</v>
      </c>
      <c r="T19" s="1622" t="s">
        <v>3172</v>
      </c>
      <c r="U19" s="1741">
        <f t="shared" si="0"/>
        <v>0</v>
      </c>
      <c r="V19" s="1713">
        <f t="shared" si="1"/>
        <v>44186</v>
      </c>
      <c r="AB19" s="1783"/>
      <c r="AC19" s="1781" t="s">
        <v>3176</v>
      </c>
      <c r="AD19" s="1782">
        <v>44012</v>
      </c>
      <c r="AE19" s="1783">
        <v>1174322.96</v>
      </c>
      <c r="AG19" s="1782">
        <f t="shared" si="2"/>
        <v>44074</v>
      </c>
      <c r="AH19" s="1783">
        <f t="shared" si="3"/>
        <v>4131574.32</v>
      </c>
    </row>
    <row r="20" spans="1:34" ht="15.75" customHeight="1">
      <c r="A20" s="1623">
        <v>14</v>
      </c>
      <c r="B20" s="1734"/>
      <c r="C20" s="1765"/>
      <c r="D20" s="1740">
        <v>44012</v>
      </c>
      <c r="E20" s="1740">
        <v>44043</v>
      </c>
      <c r="F20" s="1740"/>
      <c r="G20" s="1785"/>
      <c r="H20" s="1785">
        <v>1015615.47</v>
      </c>
      <c r="I20" s="1741"/>
      <c r="J20" s="1741"/>
      <c r="K20" s="1741">
        <v>1043390.01</v>
      </c>
      <c r="L20" s="1741"/>
      <c r="M20" s="1622" t="s">
        <v>1967</v>
      </c>
      <c r="O20" s="825" t="str">
        <f>LEFT('Exhibit PCD-4'!$M20, 9)</f>
        <v>FP-316586</v>
      </c>
      <c r="P20" s="1739">
        <f>'Exhibit PCD-4'!$K20</f>
        <v>1043390.01</v>
      </c>
      <c r="Q20" s="1740">
        <f>'Exhibit PCD-4'!$E20</f>
        <v>44043</v>
      </c>
      <c r="T20" s="1622" t="s">
        <v>3180</v>
      </c>
      <c r="U20" s="1741">
        <f t="shared" si="0"/>
        <v>213957.59</v>
      </c>
      <c r="V20" s="1713">
        <f t="shared" si="1"/>
        <v>43944</v>
      </c>
      <c r="AB20" s="1783"/>
      <c r="AC20" s="1781" t="s">
        <v>3172</v>
      </c>
      <c r="AD20" s="1782">
        <v>44012</v>
      </c>
      <c r="AE20" s="1783">
        <v>863148.28</v>
      </c>
      <c r="AG20" s="1782">
        <f t="shared" si="2"/>
        <v>44155</v>
      </c>
      <c r="AH20" s="1783">
        <f t="shared" si="3"/>
        <v>1043390.01</v>
      </c>
    </row>
    <row r="21" spans="1:34" ht="15.75" customHeight="1">
      <c r="A21" s="1623">
        <v>15</v>
      </c>
      <c r="B21" s="1751"/>
      <c r="C21" s="1751"/>
      <c r="D21" s="1752">
        <v>44012</v>
      </c>
      <c r="E21" s="1752">
        <v>44077</v>
      </c>
      <c r="F21" s="1752"/>
      <c r="G21" s="1786"/>
      <c r="H21" s="1786">
        <v>882417.45</v>
      </c>
      <c r="I21" s="1753"/>
      <c r="J21" s="1753"/>
      <c r="K21" s="1753">
        <v>892536.09</v>
      </c>
      <c r="L21" s="1753"/>
      <c r="M21" s="1679" t="s">
        <v>3196</v>
      </c>
      <c r="O21" s="825" t="str">
        <f>LEFT('Exhibit PCD-4'!$M21, 9)</f>
        <v>FP-317322</v>
      </c>
      <c r="P21" s="1739">
        <f>'Exhibit PCD-4'!$K21</f>
        <v>892536.09</v>
      </c>
      <c r="Q21" s="1740">
        <f>'Exhibit PCD-4'!$E21</f>
        <v>44077</v>
      </c>
      <c r="T21" s="1622" t="s">
        <v>3179</v>
      </c>
      <c r="U21" s="1741">
        <f t="shared" si="0"/>
        <v>0</v>
      </c>
      <c r="V21" s="1713">
        <f t="shared" si="1"/>
        <v>44147</v>
      </c>
      <c r="AB21" s="1783"/>
      <c r="AC21" s="1781" t="s">
        <v>3183</v>
      </c>
      <c r="AD21" s="1782">
        <v>44012</v>
      </c>
      <c r="AE21" s="1783">
        <v>118814.28</v>
      </c>
      <c r="AG21" s="1782">
        <f t="shared" si="2"/>
        <v>44074</v>
      </c>
      <c r="AH21" s="1783">
        <f t="shared" si="3"/>
        <v>892536.09</v>
      </c>
    </row>
    <row r="22" spans="1:34" ht="15.75" customHeight="1">
      <c r="A22" s="1623">
        <v>16</v>
      </c>
      <c r="B22" s="1754" t="s">
        <v>3197</v>
      </c>
      <c r="C22" s="1754"/>
      <c r="D22" s="1755">
        <v>44042</v>
      </c>
      <c r="E22" s="1756" t="s">
        <v>2335</v>
      </c>
      <c r="F22" s="1756"/>
      <c r="G22" s="1787">
        <f>H22</f>
        <v>4257740</v>
      </c>
      <c r="H22" s="1787">
        <v>4257740</v>
      </c>
      <c r="I22" s="1757"/>
      <c r="J22" s="1757">
        <f>K22</f>
        <v>0</v>
      </c>
      <c r="K22" s="1757">
        <v>0</v>
      </c>
      <c r="L22" s="1757"/>
      <c r="M22" s="1758" t="s">
        <v>1263</v>
      </c>
      <c r="O22" s="1622" t="str">
        <f>LEFT('Exhibit PCD-4'!$M22, 9)</f>
        <v>FP-316429</v>
      </c>
      <c r="P22" s="1739">
        <v>0</v>
      </c>
      <c r="Q22" s="1743" t="str">
        <f>'Exhibit PCD-4'!$E22</f>
        <v>N/A</v>
      </c>
      <c r="T22" s="1622" t="s">
        <v>3183</v>
      </c>
      <c r="U22" s="1741">
        <f t="shared" si="0"/>
        <v>0</v>
      </c>
      <c r="V22" s="1713">
        <f t="shared" si="1"/>
        <v>44196</v>
      </c>
      <c r="AB22" s="1783"/>
      <c r="AC22" s="1781" t="s">
        <v>3180</v>
      </c>
      <c r="AD22" s="1782">
        <v>44042</v>
      </c>
      <c r="AE22" s="1783">
        <v>213957.59</v>
      </c>
      <c r="AG22" s="1782" t="e">
        <f>VLOOKUP($O22, $AC$7:$AE$32, 2, FALSE)</f>
        <v>#N/A</v>
      </c>
      <c r="AH22" s="1783" t="e">
        <f t="shared" si="3"/>
        <v>#N/A</v>
      </c>
    </row>
    <row r="23" spans="1:34" ht="15.75" customHeight="1">
      <c r="A23" s="1623">
        <v>17</v>
      </c>
      <c r="B23" s="1754" t="s">
        <v>3208</v>
      </c>
      <c r="C23" s="1754"/>
      <c r="D23" s="1755">
        <v>44042</v>
      </c>
      <c r="E23" s="1756" t="s">
        <v>2335</v>
      </c>
      <c r="F23" s="1756"/>
      <c r="G23" s="1787">
        <f>H23</f>
        <v>1725636</v>
      </c>
      <c r="H23" s="1787">
        <v>1725636</v>
      </c>
      <c r="I23" s="1757"/>
      <c r="J23" s="1757">
        <f>K23</f>
        <v>0</v>
      </c>
      <c r="K23" s="1757">
        <v>0</v>
      </c>
      <c r="L23" s="1757"/>
      <c r="M23" s="1758" t="s">
        <v>2304</v>
      </c>
      <c r="O23" s="1622" t="str">
        <f>LEFT('Exhibit PCD-4'!$M23, 9)</f>
        <v>FP-319072</v>
      </c>
      <c r="P23" s="1739">
        <v>0</v>
      </c>
      <c r="Q23" s="1743" t="str">
        <f>'Exhibit PCD-4'!$E23</f>
        <v>N/A</v>
      </c>
      <c r="T23" s="1622" t="s">
        <v>3173</v>
      </c>
      <c r="U23" s="1741">
        <f t="shared" si="0"/>
        <v>402968.57</v>
      </c>
      <c r="V23" s="1713">
        <f t="shared" si="1"/>
        <v>44130</v>
      </c>
      <c r="AB23" s="1783"/>
      <c r="AC23" s="1781" t="s">
        <v>3171</v>
      </c>
      <c r="AD23" s="1782">
        <v>44042</v>
      </c>
      <c r="AE23" s="1783">
        <v>508798.83</v>
      </c>
      <c r="AG23" s="1782" t="e">
        <f t="shared" si="2"/>
        <v>#N/A</v>
      </c>
      <c r="AH23" s="1783" t="e">
        <f t="shared" si="3"/>
        <v>#N/A</v>
      </c>
    </row>
    <row r="24" spans="1:34" ht="15.75" customHeight="1">
      <c r="A24" s="1623">
        <v>18</v>
      </c>
      <c r="B24" s="1754" t="s">
        <v>3205</v>
      </c>
      <c r="C24" s="1754"/>
      <c r="D24" s="1755">
        <v>43850</v>
      </c>
      <c r="E24" s="1756">
        <v>43853</v>
      </c>
      <c r="F24" s="1756"/>
      <c r="G24" s="1787">
        <f t="shared" ref="G24:J32" si="4">H24</f>
        <v>1526471.05</v>
      </c>
      <c r="H24" s="1787">
        <v>1526471.05</v>
      </c>
      <c r="I24" s="1757"/>
      <c r="J24" s="1757">
        <f t="shared" si="4"/>
        <v>1584349.9</v>
      </c>
      <c r="K24" s="1757">
        <v>1584349.9</v>
      </c>
      <c r="L24" s="1757"/>
      <c r="M24" s="1758" t="s">
        <v>1963</v>
      </c>
      <c r="O24" s="825" t="str">
        <f>LEFT('Exhibit PCD-4'!$M24, 9)</f>
        <v>FP-317060</v>
      </c>
      <c r="P24" s="1739">
        <f>'Exhibit PCD-4'!$K24</f>
        <v>1584349.9</v>
      </c>
      <c r="Q24" s="1743">
        <f>'Exhibit PCD-4'!$E24</f>
        <v>43853</v>
      </c>
      <c r="T24" s="1622" t="s">
        <v>3182</v>
      </c>
      <c r="U24" s="1741">
        <f t="shared" si="0"/>
        <v>0</v>
      </c>
      <c r="V24" s="1713" t="str">
        <f t="shared" si="1"/>
        <v>N/A</v>
      </c>
      <c r="AB24" s="1783"/>
      <c r="AC24" s="1781" t="s">
        <v>3177</v>
      </c>
      <c r="AD24" s="1782">
        <v>43850</v>
      </c>
      <c r="AE24" s="1783">
        <v>139247.74</v>
      </c>
      <c r="AG24" s="1782">
        <f t="shared" si="2"/>
        <v>44165</v>
      </c>
      <c r="AH24" s="1783">
        <f t="shared" si="3"/>
        <v>1584349.9</v>
      </c>
    </row>
    <row r="25" spans="1:34" ht="15.75" customHeight="1">
      <c r="A25" s="1623">
        <v>19</v>
      </c>
      <c r="B25" s="1754" t="s">
        <v>3204</v>
      </c>
      <c r="C25" s="1754"/>
      <c r="D25" s="1755">
        <v>44042</v>
      </c>
      <c r="E25" s="1756">
        <v>43944</v>
      </c>
      <c r="F25" s="1756"/>
      <c r="G25" s="1787">
        <f t="shared" si="4"/>
        <v>433146.02</v>
      </c>
      <c r="H25" s="1787">
        <v>433146.02</v>
      </c>
      <c r="I25" s="1757"/>
      <c r="J25" s="1757">
        <f t="shared" si="4"/>
        <v>213957.59</v>
      </c>
      <c r="K25" s="1757">
        <v>213957.59</v>
      </c>
      <c r="L25" s="1757"/>
      <c r="M25" s="1758" t="s">
        <v>2293</v>
      </c>
      <c r="O25" s="825" t="str">
        <f>LEFT('Exhibit PCD-4'!$M25, 9)</f>
        <v>FP-318482</v>
      </c>
      <c r="P25" s="1739">
        <f>'Exhibit PCD-4'!$K25</f>
        <v>213957.59</v>
      </c>
      <c r="Q25" s="1740">
        <f>'Exhibit PCD-4'!$E25</f>
        <v>43944</v>
      </c>
      <c r="T25" s="1622" t="s">
        <v>3177</v>
      </c>
      <c r="U25" s="1741">
        <f t="shared" si="0"/>
        <v>0</v>
      </c>
      <c r="V25" s="1713">
        <f t="shared" si="1"/>
        <v>44175</v>
      </c>
      <c r="AB25" s="1783"/>
      <c r="AC25" s="1781" t="s">
        <v>3178</v>
      </c>
      <c r="AD25" s="1782">
        <v>44042</v>
      </c>
      <c r="AE25" s="1783">
        <v>123979.13</v>
      </c>
      <c r="AG25" s="1782">
        <f t="shared" si="2"/>
        <v>44042</v>
      </c>
      <c r="AH25" s="1783">
        <f t="shared" si="3"/>
        <v>213957.59</v>
      </c>
    </row>
    <row r="26" spans="1:34" ht="15.75" customHeight="1">
      <c r="A26" s="1623">
        <v>20</v>
      </c>
      <c r="B26" s="1754" t="s">
        <v>3206</v>
      </c>
      <c r="C26" s="1754"/>
      <c r="D26" s="1755">
        <v>44135</v>
      </c>
      <c r="E26" s="1756" t="s">
        <v>2335</v>
      </c>
      <c r="F26" s="1756"/>
      <c r="G26" s="1787">
        <f t="shared" si="4"/>
        <v>352513.6</v>
      </c>
      <c r="H26" s="1787">
        <v>352513.6</v>
      </c>
      <c r="I26" s="1757"/>
      <c r="J26" s="1757">
        <f t="shared" si="4"/>
        <v>0</v>
      </c>
      <c r="K26" s="1757">
        <v>0</v>
      </c>
      <c r="L26" s="1757"/>
      <c r="M26" s="1758" t="s">
        <v>2297</v>
      </c>
      <c r="O26" s="1622" t="str">
        <f>LEFT('Exhibit PCD-4'!$M26, 9)</f>
        <v>FP-318742</v>
      </c>
      <c r="P26" s="1739">
        <v>0</v>
      </c>
      <c r="Q26" s="1743" t="str">
        <f>'Exhibit PCD-4'!$E26</f>
        <v>N/A</v>
      </c>
      <c r="T26" s="1622" t="s">
        <v>3178</v>
      </c>
      <c r="U26" s="1741">
        <f t="shared" si="0"/>
        <v>0</v>
      </c>
      <c r="V26" s="1713">
        <f t="shared" si="1"/>
        <v>44175</v>
      </c>
      <c r="AB26" s="1783"/>
      <c r="AC26" s="1781" t="s">
        <v>3179</v>
      </c>
      <c r="AD26" s="1782">
        <v>44135</v>
      </c>
      <c r="AE26" s="1783">
        <v>153797.42000000001</v>
      </c>
      <c r="AG26" s="1782" t="e">
        <f t="shared" si="2"/>
        <v>#N/A</v>
      </c>
      <c r="AH26" s="1783" t="e">
        <f t="shared" si="3"/>
        <v>#N/A</v>
      </c>
    </row>
    <row r="27" spans="1:34" ht="15.75" customHeight="1">
      <c r="A27" s="1623">
        <v>21</v>
      </c>
      <c r="B27" s="1754" t="s">
        <v>3200</v>
      </c>
      <c r="C27" s="1754"/>
      <c r="D27" s="1755">
        <v>44165</v>
      </c>
      <c r="E27" s="1756">
        <v>44130</v>
      </c>
      <c r="F27" s="1756"/>
      <c r="G27" s="1787">
        <f t="shared" si="4"/>
        <v>312625</v>
      </c>
      <c r="H27" s="1787">
        <v>312625</v>
      </c>
      <c r="I27" s="1757"/>
      <c r="J27" s="1757">
        <f t="shared" si="4"/>
        <v>402968.57</v>
      </c>
      <c r="K27" s="1757">
        <v>402968.57</v>
      </c>
      <c r="L27" s="1757"/>
      <c r="M27" s="1758" t="s">
        <v>2296</v>
      </c>
      <c r="O27" s="825" t="str">
        <f>LEFT('Exhibit PCD-4'!$M27, 9)</f>
        <v>FP-318690</v>
      </c>
      <c r="P27" s="1739">
        <f>'Exhibit PCD-4'!$K27</f>
        <v>402968.57</v>
      </c>
      <c r="Q27" s="1740">
        <f>'Exhibit PCD-4'!$E27</f>
        <v>44130</v>
      </c>
      <c r="T27" s="1622" t="s">
        <v>3170</v>
      </c>
      <c r="U27" s="1741">
        <f t="shared" si="0"/>
        <v>1392314.26</v>
      </c>
      <c r="V27" s="1713">
        <f t="shared" si="1"/>
        <v>44102</v>
      </c>
      <c r="AB27" s="1783"/>
      <c r="AC27" s="1781" t="s">
        <v>3173</v>
      </c>
      <c r="AD27" s="1782">
        <v>44165</v>
      </c>
      <c r="AE27" s="1783">
        <v>402968.57</v>
      </c>
      <c r="AG27" s="1782">
        <f t="shared" si="2"/>
        <v>44165</v>
      </c>
      <c r="AH27" s="1783">
        <f t="shared" si="3"/>
        <v>402968.57</v>
      </c>
    </row>
    <row r="28" spans="1:34" ht="15.75" customHeight="1">
      <c r="A28" s="1623">
        <v>22</v>
      </c>
      <c r="B28" s="1754" t="s">
        <v>3203</v>
      </c>
      <c r="C28" s="1754"/>
      <c r="D28" s="1755">
        <v>44104</v>
      </c>
      <c r="E28" s="1756">
        <v>44147</v>
      </c>
      <c r="F28" s="1756"/>
      <c r="G28" s="1757">
        <f t="shared" si="4"/>
        <v>177166.29</v>
      </c>
      <c r="H28" s="1757">
        <v>177166.29</v>
      </c>
      <c r="I28" s="1757"/>
      <c r="J28" s="1757">
        <f t="shared" si="4"/>
        <v>153797.42000000001</v>
      </c>
      <c r="K28" s="1757">
        <v>153797.42000000001</v>
      </c>
      <c r="L28" s="1757"/>
      <c r="M28" s="1758" t="s">
        <v>2294</v>
      </c>
      <c r="O28" s="1622" t="str">
        <f>LEFT('Exhibit PCD-4'!$M28, 9)</f>
        <v>FP-318566</v>
      </c>
      <c r="P28" s="1739">
        <v>0</v>
      </c>
      <c r="Q28" s="1740">
        <f>'Exhibit PCD-4'!$E28</f>
        <v>44147</v>
      </c>
      <c r="T28" s="1622" t="s">
        <v>3171</v>
      </c>
      <c r="U28" s="1741">
        <f t="shared" si="0"/>
        <v>508798.83</v>
      </c>
      <c r="V28" s="1713">
        <f t="shared" si="1"/>
        <v>44102</v>
      </c>
      <c r="AB28" s="1783"/>
      <c r="AC28" s="1781" t="s">
        <v>3189</v>
      </c>
      <c r="AD28" s="1782">
        <v>44104</v>
      </c>
      <c r="AE28" s="1783">
        <v>167647.38</v>
      </c>
      <c r="AG28" s="1782">
        <f t="shared" si="2"/>
        <v>44135</v>
      </c>
      <c r="AH28" s="1783">
        <f t="shared" si="3"/>
        <v>153797.42000000001</v>
      </c>
    </row>
    <row r="29" spans="1:34" ht="15.75" customHeight="1">
      <c r="A29" s="1623">
        <v>23</v>
      </c>
      <c r="B29" s="1754" t="s">
        <v>3209</v>
      </c>
      <c r="C29" s="1754"/>
      <c r="D29" s="1755">
        <v>44073</v>
      </c>
      <c r="E29" s="1756">
        <v>44155</v>
      </c>
      <c r="F29" s="1756"/>
      <c r="G29" s="1757">
        <f t="shared" si="4"/>
        <v>144470.20000000001</v>
      </c>
      <c r="H29" s="1757">
        <v>144470.20000000001</v>
      </c>
      <c r="I29" s="1757"/>
      <c r="J29" s="1757">
        <f t="shared" si="4"/>
        <v>167647.38</v>
      </c>
      <c r="K29" s="1757">
        <v>167647.38</v>
      </c>
      <c r="L29" s="1757"/>
      <c r="M29" s="1758" t="s">
        <v>2303</v>
      </c>
      <c r="O29" s="1622" t="str">
        <f>LEFT('Exhibit PCD-4'!$M29, 9)</f>
        <v>FP-319063</v>
      </c>
      <c r="P29" s="1739">
        <v>0</v>
      </c>
      <c r="Q29" s="1740">
        <f>'Exhibit PCD-4'!$E29</f>
        <v>44155</v>
      </c>
      <c r="T29" s="1622" t="s">
        <v>3169</v>
      </c>
      <c r="U29" s="1741">
        <f t="shared" si="0"/>
        <v>3416936.97</v>
      </c>
      <c r="V29" s="1713">
        <f t="shared" si="1"/>
        <v>44102</v>
      </c>
      <c r="AB29" s="1783"/>
      <c r="AC29" s="1781"/>
      <c r="AD29" s="1782"/>
      <c r="AE29" s="1783"/>
      <c r="AG29" s="1782">
        <f t="shared" si="2"/>
        <v>44104</v>
      </c>
      <c r="AH29" s="1783">
        <f t="shared" si="3"/>
        <v>167647.38</v>
      </c>
    </row>
    <row r="30" spans="1:34" ht="15.75" customHeight="1">
      <c r="A30" s="1623">
        <v>24</v>
      </c>
      <c r="B30" s="1754" t="s">
        <v>3210</v>
      </c>
      <c r="C30" s="1754"/>
      <c r="D30" s="1755">
        <v>44073</v>
      </c>
      <c r="E30" s="1756" t="s">
        <v>2335</v>
      </c>
      <c r="F30" s="1756"/>
      <c r="G30" s="1757">
        <f t="shared" si="4"/>
        <v>143033.60000000001</v>
      </c>
      <c r="H30" s="1757">
        <v>143033.60000000001</v>
      </c>
      <c r="I30" s="1757"/>
      <c r="J30" s="1757">
        <f t="shared" si="4"/>
        <v>0</v>
      </c>
      <c r="K30" s="1757">
        <v>0</v>
      </c>
      <c r="L30" s="1757"/>
      <c r="M30" s="1758" t="s">
        <v>2302</v>
      </c>
      <c r="O30" s="1622" t="str">
        <f>LEFT('Exhibit PCD-4'!$M30, 9)</f>
        <v>FP-319056</v>
      </c>
      <c r="P30" s="1739">
        <v>0</v>
      </c>
      <c r="Q30" s="1743" t="str">
        <f>'Exhibit PCD-4'!$E30</f>
        <v>N/A</v>
      </c>
      <c r="T30" s="1622" t="s">
        <v>3190</v>
      </c>
      <c r="U30" s="1741">
        <f t="shared" si="0"/>
        <v>0</v>
      </c>
      <c r="V30" s="1713" t="str">
        <f t="shared" si="1"/>
        <v>N/A</v>
      </c>
      <c r="AB30" s="1783"/>
      <c r="AC30" s="1781"/>
      <c r="AD30" s="1782"/>
      <c r="AE30" s="1783"/>
      <c r="AG30" s="1782" t="e">
        <f t="shared" si="2"/>
        <v>#N/A</v>
      </c>
      <c r="AH30" s="1783" t="e">
        <f t="shared" si="3"/>
        <v>#N/A</v>
      </c>
    </row>
    <row r="31" spans="1:34" ht="15.75" customHeight="1">
      <c r="A31" s="1623">
        <v>25</v>
      </c>
      <c r="B31" s="1754" t="s">
        <v>3318</v>
      </c>
      <c r="C31" s="1754"/>
      <c r="D31" s="1755">
        <v>44043</v>
      </c>
      <c r="E31" s="1756">
        <v>44196</v>
      </c>
      <c r="F31" s="1756"/>
      <c r="G31" s="1757">
        <f t="shared" si="4"/>
        <v>125671.29</v>
      </c>
      <c r="H31" s="1757">
        <v>125671.29</v>
      </c>
      <c r="I31" s="1757"/>
      <c r="J31" s="1757">
        <f t="shared" si="4"/>
        <v>0</v>
      </c>
      <c r="K31" s="1757">
        <v>0</v>
      </c>
      <c r="L31" s="1757"/>
      <c r="M31" s="1758" t="s">
        <v>2295</v>
      </c>
      <c r="O31" s="1622" t="str">
        <f>LEFT('Exhibit PCD-4'!$M31, 9)</f>
        <v>FP-318588</v>
      </c>
      <c r="P31" s="1739">
        <v>0</v>
      </c>
      <c r="Q31" s="1740">
        <f>'Exhibit PCD-4'!$E31</f>
        <v>44196</v>
      </c>
      <c r="T31" s="1622" t="s">
        <v>3189</v>
      </c>
      <c r="U31" s="1741">
        <f t="shared" si="0"/>
        <v>0</v>
      </c>
      <c r="V31" s="1713">
        <f t="shared" si="1"/>
        <v>44155</v>
      </c>
      <c r="AB31" s="1783"/>
      <c r="AC31" s="1781"/>
      <c r="AD31" s="1782"/>
      <c r="AE31" s="1783"/>
      <c r="AG31" s="1782">
        <f t="shared" si="2"/>
        <v>44012</v>
      </c>
      <c r="AH31" s="1783">
        <f t="shared" si="3"/>
        <v>118814.28</v>
      </c>
    </row>
    <row r="32" spans="1:34" ht="15.75" customHeight="1">
      <c r="A32" s="1623">
        <v>26</v>
      </c>
      <c r="B32" s="1754" t="s">
        <v>3199</v>
      </c>
      <c r="C32" s="1754"/>
      <c r="D32" s="1755">
        <v>44134</v>
      </c>
      <c r="E32" s="1756">
        <v>44186</v>
      </c>
      <c r="F32" s="1756"/>
      <c r="G32" s="1757">
        <f t="shared" si="4"/>
        <v>1064539.08</v>
      </c>
      <c r="H32" s="1757">
        <v>1064539.08</v>
      </c>
      <c r="I32" s="1757"/>
      <c r="J32" s="1757">
        <f t="shared" si="4"/>
        <v>863148.28</v>
      </c>
      <c r="K32" s="1757">
        <v>863148.28</v>
      </c>
      <c r="L32" s="1757"/>
      <c r="M32" s="1758" t="s">
        <v>2240</v>
      </c>
      <c r="O32" s="1622" t="str">
        <f>LEFT('Exhibit PCD-4'!$M32, 9)</f>
        <v>FP-318352</v>
      </c>
      <c r="P32" s="1739">
        <v>0</v>
      </c>
      <c r="Q32" s="1740">
        <f>'Exhibit PCD-4'!$E32</f>
        <v>44186</v>
      </c>
      <c r="T32" s="1622" t="s">
        <v>3188</v>
      </c>
      <c r="U32" s="1741">
        <f t="shared" si="0"/>
        <v>0</v>
      </c>
      <c r="V32" s="1713" t="str">
        <f t="shared" si="1"/>
        <v>N/A</v>
      </c>
      <c r="AB32" s="1783"/>
      <c r="AC32" s="1781"/>
      <c r="AD32" s="1782"/>
      <c r="AE32" s="1783"/>
      <c r="AG32" s="1782">
        <f t="shared" si="2"/>
        <v>44012</v>
      </c>
      <c r="AH32" s="1783">
        <f t="shared" si="3"/>
        <v>863148.28</v>
      </c>
    </row>
    <row r="33" spans="1:21">
      <c r="A33" s="1623">
        <v>27</v>
      </c>
      <c r="B33" s="1747"/>
      <c r="C33" s="1747"/>
      <c r="D33" s="1744"/>
      <c r="E33" s="1744"/>
      <c r="F33" s="1744"/>
      <c r="G33" s="1750"/>
      <c r="H33" s="1750"/>
      <c r="I33" s="1750"/>
      <c r="J33" s="1750"/>
      <c r="K33" s="1750"/>
      <c r="L33" s="1750"/>
      <c r="P33" s="1745"/>
    </row>
    <row r="34" spans="1:21" ht="15" thickBot="1">
      <c r="A34" s="1623">
        <v>28</v>
      </c>
      <c r="B34" s="1759" t="s">
        <v>3280</v>
      </c>
      <c r="C34" s="1759"/>
      <c r="D34" s="1760"/>
      <c r="E34" s="1760"/>
      <c r="F34" s="1760"/>
      <c r="G34" s="1761"/>
      <c r="H34" s="1761">
        <f>SUM(H7:H32)</f>
        <v>43377454.639999993</v>
      </c>
      <c r="I34" s="1761"/>
      <c r="J34" s="1761"/>
      <c r="K34" s="1761">
        <f>SUM(K7:K32)</f>
        <v>39328738.490000002</v>
      </c>
      <c r="L34" s="1767"/>
      <c r="P34" s="1739">
        <f>SUM(P7:P33)</f>
        <v>13586826.540000001</v>
      </c>
      <c r="U34" s="1742">
        <f>SUM(U7:U31)</f>
        <v>13586826.540000001</v>
      </c>
    </row>
    <row r="35" spans="1:21" ht="15" thickTop="1">
      <c r="A35" s="1623">
        <v>29</v>
      </c>
      <c r="B35" s="1744"/>
      <c r="C35" s="1744"/>
      <c r="D35" s="1744"/>
      <c r="E35" s="1744"/>
      <c r="F35" s="1744"/>
      <c r="G35" s="1744"/>
      <c r="H35" s="1744"/>
      <c r="I35" s="1744"/>
      <c r="J35" s="1744"/>
      <c r="K35" s="1744"/>
      <c r="L35" s="1744"/>
      <c r="M35" s="1747"/>
    </row>
    <row r="36" spans="1:21">
      <c r="A36" s="1623">
        <v>30</v>
      </c>
      <c r="B36" s="1784" t="s">
        <v>3323</v>
      </c>
      <c r="C36" s="1747"/>
      <c r="D36" s="1744"/>
      <c r="E36" s="1744"/>
      <c r="F36" s="1744"/>
      <c r="G36" s="1744"/>
      <c r="H36" s="1746"/>
      <c r="I36" s="1746"/>
      <c r="J36" s="1746"/>
      <c r="K36" s="1746"/>
      <c r="L36" s="1746"/>
      <c r="M36" s="1747"/>
    </row>
    <row r="37" spans="1:21">
      <c r="A37" s="1623">
        <v>31</v>
      </c>
      <c r="B37" s="1784" t="s">
        <v>3321</v>
      </c>
      <c r="C37" s="1744"/>
      <c r="D37" s="1744"/>
      <c r="E37" s="1744"/>
      <c r="F37" s="1744"/>
      <c r="G37" s="1744"/>
      <c r="H37" s="1744"/>
      <c r="I37" s="1744"/>
      <c r="J37" s="1744"/>
      <c r="K37" s="1744"/>
      <c r="L37" s="1744"/>
      <c r="M37" s="1747"/>
    </row>
    <row r="38" spans="1:21">
      <c r="A38" s="1623">
        <v>32</v>
      </c>
      <c r="B38" s="1744"/>
      <c r="C38" s="1744"/>
      <c r="D38" s="1744"/>
      <c r="E38" s="1744"/>
      <c r="F38" s="1744"/>
      <c r="G38" s="1744"/>
      <c r="H38" s="1744"/>
      <c r="I38" s="1744"/>
      <c r="J38" s="1744"/>
      <c r="K38" s="1744"/>
      <c r="L38" s="1744"/>
    </row>
    <row r="39" spans="1:21">
      <c r="A39" s="1744"/>
      <c r="B39" s="1744"/>
      <c r="C39" s="1744"/>
      <c r="D39" s="1744"/>
      <c r="E39" s="1744"/>
      <c r="F39" s="1744"/>
      <c r="G39" s="1744"/>
      <c r="H39" s="1744"/>
      <c r="I39" s="1744"/>
      <c r="J39" s="1744"/>
      <c r="K39" s="1744"/>
      <c r="L39" s="1744"/>
      <c r="M39" s="1747"/>
    </row>
    <row r="40" spans="1:21">
      <c r="A40" s="1744"/>
      <c r="B40" s="1744"/>
      <c r="C40" s="1744"/>
      <c r="D40" s="1744"/>
      <c r="E40" s="1744"/>
      <c r="F40" s="1744"/>
      <c r="G40" s="1744"/>
      <c r="H40" s="1744"/>
      <c r="I40" s="1744"/>
      <c r="J40" s="1744"/>
      <c r="K40" s="1744"/>
      <c r="L40" s="1744"/>
      <c r="M40" s="1747"/>
    </row>
    <row r="41" spans="1:21">
      <c r="A41" s="1744"/>
      <c r="B41" s="1744"/>
      <c r="C41" s="1744"/>
      <c r="D41" s="1744"/>
      <c r="E41" s="1744"/>
      <c r="F41" s="1744"/>
      <c r="G41" s="1744"/>
      <c r="H41" s="1744"/>
      <c r="I41" s="1744"/>
      <c r="J41" s="1744"/>
      <c r="K41" s="1744"/>
      <c r="L41" s="1744"/>
      <c r="M41" s="1747"/>
    </row>
    <row r="42" spans="1:21">
      <c r="A42" s="1744"/>
      <c r="B42" s="1744"/>
      <c r="C42" s="1744"/>
      <c r="D42" s="1744"/>
      <c r="E42" s="1744"/>
      <c r="F42" s="1744"/>
      <c r="G42" s="1744"/>
      <c r="H42" s="1744"/>
      <c r="I42" s="1744"/>
      <c r="J42" s="1744"/>
      <c r="K42" s="1744"/>
      <c r="L42" s="1744"/>
      <c r="M42" s="1747"/>
    </row>
    <row r="43" spans="1:21">
      <c r="A43" s="1744"/>
      <c r="B43" s="1744"/>
      <c r="C43" s="1744"/>
      <c r="D43" s="1744"/>
      <c r="E43" s="1744"/>
      <c r="F43" s="1744"/>
      <c r="G43" s="1744"/>
      <c r="H43" s="1744"/>
      <c r="I43" s="1744"/>
      <c r="J43" s="1744"/>
      <c r="K43" s="1744"/>
      <c r="L43" s="1744"/>
      <c r="M43" s="1747"/>
    </row>
    <row r="44" spans="1:21">
      <c r="A44" s="1744"/>
      <c r="B44" s="1744"/>
      <c r="C44" s="1744"/>
      <c r="D44" s="1744"/>
      <c r="E44" s="1744"/>
      <c r="F44" s="1744"/>
      <c r="G44" s="1744"/>
      <c r="H44" s="1744"/>
      <c r="I44" s="1744"/>
      <c r="J44" s="1744"/>
      <c r="K44" s="1744"/>
      <c r="L44" s="1744"/>
      <c r="M44" s="1747"/>
    </row>
    <row r="45" spans="1:21">
      <c r="A45" s="1744"/>
      <c r="B45" s="1744"/>
      <c r="C45" s="1744"/>
      <c r="D45" s="1744"/>
      <c r="E45" s="1744"/>
      <c r="F45" s="1744"/>
      <c r="G45" s="1744"/>
      <c r="H45" s="1744"/>
      <c r="I45" s="1744"/>
      <c r="J45" s="1744"/>
      <c r="K45" s="1744"/>
      <c r="L45" s="1744"/>
      <c r="M45" s="1747"/>
    </row>
    <row r="46" spans="1:21">
      <c r="A46" s="1744"/>
      <c r="B46" s="1744"/>
      <c r="C46" s="1744"/>
      <c r="D46" s="1744"/>
      <c r="E46" s="1744"/>
      <c r="F46" s="1744"/>
      <c r="G46" s="1744"/>
      <c r="H46" s="1744"/>
      <c r="I46" s="1744"/>
      <c r="J46" s="1744"/>
      <c r="K46" s="1744"/>
      <c r="L46" s="1744"/>
      <c r="M46" s="1747"/>
    </row>
    <row r="47" spans="1:21">
      <c r="A47" s="1744"/>
      <c r="B47" s="1744"/>
      <c r="C47" s="1744"/>
      <c r="D47" s="1744"/>
      <c r="E47" s="1744"/>
      <c r="F47" s="1744"/>
      <c r="G47" s="1744"/>
      <c r="H47" s="1744"/>
      <c r="I47" s="1744"/>
      <c r="J47" s="1744"/>
      <c r="K47" s="1744"/>
      <c r="L47" s="1744"/>
      <c r="M47" s="1747"/>
    </row>
    <row r="48" spans="1:21">
      <c r="A48" s="1744"/>
      <c r="B48" s="1744"/>
      <c r="C48" s="1744"/>
      <c r="D48" s="1744"/>
      <c r="E48" s="1744"/>
      <c r="F48" s="1744"/>
      <c r="G48" s="1744"/>
      <c r="H48" s="1744"/>
      <c r="I48" s="1744"/>
      <c r="J48" s="1744"/>
      <c r="K48" s="1744"/>
      <c r="L48" s="1744"/>
      <c r="M48" s="1747"/>
    </row>
    <row r="49" spans="1:13">
      <c r="A49" s="1744"/>
      <c r="B49" s="1744"/>
      <c r="C49" s="1744"/>
      <c r="D49" s="1744"/>
      <c r="E49" s="1744"/>
      <c r="F49" s="1744"/>
      <c r="G49" s="1744"/>
      <c r="H49" s="1744"/>
      <c r="I49" s="1744"/>
      <c r="J49" s="1744"/>
      <c r="K49" s="1744"/>
      <c r="L49" s="1744"/>
      <c r="M49" s="1747"/>
    </row>
    <row r="50" spans="1:13">
      <c r="A50" s="1744"/>
      <c r="B50" s="1744"/>
      <c r="C50" s="1744"/>
      <c r="D50" s="1744"/>
      <c r="E50" s="1744"/>
      <c r="F50" s="1744"/>
      <c r="G50" s="1744"/>
      <c r="H50" s="1744"/>
      <c r="I50" s="1744"/>
      <c r="J50" s="1744"/>
      <c r="K50" s="1744"/>
      <c r="L50" s="1744"/>
      <c r="M50" s="1747"/>
    </row>
    <row r="51" spans="1:13">
      <c r="A51" s="1744"/>
      <c r="B51" s="1744"/>
      <c r="C51" s="1744"/>
      <c r="D51" s="1744"/>
      <c r="E51" s="1744"/>
      <c r="F51" s="1744"/>
      <c r="G51" s="1744"/>
      <c r="H51" s="1744"/>
      <c r="I51" s="1744"/>
      <c r="J51" s="1744"/>
      <c r="K51" s="1744"/>
      <c r="L51" s="1744"/>
      <c r="M51" s="1747"/>
    </row>
    <row r="52" spans="1:13">
      <c r="A52" s="1744"/>
      <c r="B52" s="1744"/>
      <c r="C52" s="1744"/>
      <c r="D52" s="1744"/>
      <c r="E52" s="1744"/>
      <c r="F52" s="1744"/>
      <c r="G52" s="1744"/>
      <c r="H52" s="1744"/>
      <c r="I52" s="1744"/>
      <c r="J52" s="1744"/>
      <c r="K52" s="1744"/>
      <c r="L52" s="1744"/>
      <c r="M52" s="1747"/>
    </row>
    <row r="53" spans="1:13">
      <c r="A53" s="1744"/>
      <c r="B53" s="1744"/>
      <c r="C53" s="1744"/>
      <c r="D53" s="1744"/>
      <c r="E53" s="1744"/>
      <c r="F53" s="1744"/>
      <c r="G53" s="1744"/>
      <c r="H53" s="1744"/>
      <c r="I53" s="1744"/>
      <c r="J53" s="1744"/>
      <c r="K53" s="1744"/>
      <c r="L53" s="1744"/>
      <c r="M53" s="1747"/>
    </row>
    <row r="54" spans="1:13">
      <c r="A54" s="1744"/>
      <c r="B54" s="1744"/>
      <c r="C54" s="1744"/>
      <c r="D54" s="1744"/>
      <c r="E54" s="1744"/>
      <c r="F54" s="1744"/>
      <c r="G54" s="1744"/>
      <c r="H54" s="1744"/>
      <c r="I54" s="1744"/>
      <c r="J54" s="1744"/>
      <c r="K54" s="1744"/>
      <c r="L54" s="1744"/>
      <c r="M54" s="1747"/>
    </row>
    <row r="55" spans="1:13">
      <c r="A55" s="1744"/>
      <c r="B55" s="1744"/>
      <c r="C55" s="1744"/>
      <c r="D55" s="1744"/>
      <c r="E55" s="1744"/>
      <c r="F55" s="1744"/>
      <c r="G55" s="1744"/>
      <c r="H55" s="1744"/>
      <c r="I55" s="1744"/>
      <c r="J55" s="1744"/>
      <c r="K55" s="1744"/>
      <c r="L55" s="1744"/>
      <c r="M55" s="1747"/>
    </row>
    <row r="56" spans="1:13">
      <c r="A56" s="1744"/>
      <c r="B56" s="1744"/>
      <c r="C56" s="1744"/>
      <c r="D56" s="1744"/>
      <c r="E56" s="1744"/>
      <c r="F56" s="1744"/>
      <c r="G56" s="1744"/>
      <c r="H56" s="1744"/>
      <c r="I56" s="1744"/>
      <c r="J56" s="1744"/>
      <c r="K56" s="1744"/>
      <c r="L56" s="1744"/>
      <c r="M56" s="1747"/>
    </row>
    <row r="57" spans="1:13">
      <c r="A57" s="1744"/>
      <c r="B57" s="1744"/>
      <c r="C57" s="1744"/>
      <c r="D57" s="1744"/>
      <c r="E57" s="1744"/>
      <c r="F57" s="1744"/>
      <c r="G57" s="1744"/>
      <c r="H57" s="1744"/>
      <c r="I57" s="1744"/>
      <c r="J57" s="1744"/>
      <c r="K57" s="1744"/>
      <c r="L57" s="1744"/>
      <c r="M57" s="1747"/>
    </row>
    <row r="58" spans="1:13">
      <c r="A58" s="1744"/>
      <c r="B58" s="1744"/>
      <c r="C58" s="1744"/>
      <c r="D58" s="1744"/>
      <c r="E58" s="1744"/>
      <c r="F58" s="1744"/>
      <c r="G58" s="1744"/>
      <c r="H58" s="1744"/>
      <c r="I58" s="1744"/>
      <c r="J58" s="1744"/>
      <c r="K58" s="1744"/>
      <c r="L58" s="1744"/>
      <c r="M58" s="1747"/>
    </row>
    <row r="59" spans="1:13">
      <c r="A59" s="1744"/>
      <c r="B59" s="1744"/>
      <c r="C59" s="1744"/>
      <c r="D59" s="1744"/>
      <c r="E59" s="1744"/>
      <c r="F59" s="1744"/>
      <c r="G59" s="1744"/>
      <c r="H59" s="1744"/>
      <c r="I59" s="1744"/>
      <c r="J59" s="1744"/>
      <c r="K59" s="1744"/>
      <c r="L59" s="1744"/>
      <c r="M59" s="1747"/>
    </row>
    <row r="60" spans="1:13">
      <c r="A60" s="1744"/>
      <c r="B60" s="1744"/>
      <c r="C60" s="1744"/>
      <c r="D60" s="1744"/>
      <c r="E60" s="1744"/>
      <c r="F60" s="1744"/>
      <c r="G60" s="1744"/>
      <c r="H60" s="1744"/>
      <c r="I60" s="1744"/>
      <c r="J60" s="1744"/>
      <c r="K60" s="1744"/>
      <c r="L60" s="1744"/>
    </row>
    <row r="61" spans="1:13">
      <c r="A61" s="1744"/>
      <c r="B61" s="1744"/>
      <c r="C61" s="1744"/>
      <c r="D61" s="1744"/>
      <c r="E61" s="1744"/>
      <c r="F61" s="1744"/>
      <c r="G61" s="1744"/>
      <c r="H61" s="1744"/>
      <c r="I61" s="1744"/>
      <c r="J61" s="1744"/>
      <c r="K61" s="1744"/>
      <c r="L61" s="1744"/>
    </row>
    <row r="62" spans="1:13">
      <c r="A62" s="1744"/>
      <c r="B62" s="1744"/>
      <c r="C62" s="1744"/>
      <c r="D62" s="1744"/>
      <c r="E62" s="1744"/>
      <c r="F62" s="1744"/>
      <c r="G62" s="1744"/>
      <c r="H62" s="1744"/>
      <c r="I62" s="1744"/>
      <c r="J62" s="1744"/>
      <c r="K62" s="1744"/>
      <c r="L62" s="1744"/>
      <c r="M62" s="1747"/>
    </row>
    <row r="63" spans="1:13">
      <c r="A63" s="1744"/>
      <c r="B63" s="1744"/>
      <c r="C63" s="1744"/>
      <c r="D63" s="1744"/>
      <c r="E63" s="1744"/>
      <c r="F63" s="1744"/>
      <c r="G63" s="1744"/>
      <c r="H63" s="1744"/>
      <c r="I63" s="1744"/>
      <c r="J63" s="1744"/>
      <c r="K63" s="1744"/>
      <c r="L63" s="1744"/>
      <c r="M63" s="1747"/>
    </row>
    <row r="64" spans="1:13">
      <c r="A64" s="1744"/>
      <c r="B64" s="1744"/>
      <c r="C64" s="1744"/>
      <c r="D64" s="1744"/>
      <c r="E64" s="1744"/>
      <c r="F64" s="1744"/>
      <c r="G64" s="1744"/>
      <c r="H64" s="1744"/>
      <c r="I64" s="1744"/>
      <c r="J64" s="1744"/>
      <c r="K64" s="1744"/>
      <c r="L64" s="1744"/>
      <c r="M64" s="1747"/>
    </row>
    <row r="65" spans="1:13">
      <c r="A65" s="1744"/>
      <c r="B65" s="1744"/>
      <c r="C65" s="1744"/>
      <c r="D65" s="1744"/>
      <c r="E65" s="1744"/>
      <c r="F65" s="1744"/>
      <c r="G65" s="1744"/>
      <c r="H65" s="1744"/>
      <c r="I65" s="1744"/>
      <c r="J65" s="1744"/>
      <c r="K65" s="1744"/>
      <c r="L65" s="1744"/>
      <c r="M65" s="1747"/>
    </row>
    <row r="66" spans="1:13">
      <c r="A66" s="1744"/>
      <c r="B66" s="1744"/>
      <c r="C66" s="1744"/>
      <c r="D66" s="1744"/>
      <c r="E66" s="1744"/>
      <c r="F66" s="1744"/>
      <c r="G66" s="1744"/>
      <c r="H66" s="1744"/>
      <c r="I66" s="1744"/>
      <c r="J66" s="1744"/>
      <c r="K66" s="1744"/>
      <c r="L66" s="1744"/>
      <c r="M66" s="1747"/>
    </row>
    <row r="67" spans="1:13">
      <c r="A67" s="1744"/>
      <c r="B67" s="1744"/>
      <c r="C67" s="1744"/>
      <c r="D67" s="1744"/>
      <c r="E67" s="1744"/>
      <c r="F67" s="1744"/>
      <c r="G67" s="1744"/>
      <c r="H67" s="1744"/>
      <c r="I67" s="1744"/>
      <c r="J67" s="1744"/>
      <c r="K67" s="1744"/>
      <c r="L67" s="1744"/>
      <c r="M67" s="1747"/>
    </row>
    <row r="68" spans="1:13">
      <c r="A68" s="1744"/>
      <c r="B68" s="1744"/>
      <c r="C68" s="1744"/>
      <c r="D68" s="1744"/>
      <c r="E68" s="1744"/>
      <c r="F68" s="1744"/>
      <c r="G68" s="1744"/>
      <c r="H68" s="1744"/>
      <c r="I68" s="1744"/>
      <c r="J68" s="1744"/>
      <c r="K68" s="1744"/>
      <c r="L68" s="1744"/>
      <c r="M68" s="1747"/>
    </row>
    <row r="69" spans="1:13">
      <c r="A69" s="1744"/>
      <c r="B69" s="1744"/>
      <c r="C69" s="1744"/>
      <c r="D69" s="1744"/>
      <c r="E69" s="1744"/>
      <c r="F69" s="1744"/>
      <c r="G69" s="1744"/>
      <c r="H69" s="1744"/>
      <c r="I69" s="1744"/>
      <c r="J69" s="1744"/>
      <c r="K69" s="1744"/>
      <c r="L69" s="1744"/>
    </row>
    <row r="70" spans="1:13">
      <c r="A70" s="1744"/>
      <c r="B70" s="1744"/>
      <c r="C70" s="1744"/>
      <c r="D70" s="1744"/>
      <c r="E70" s="1744"/>
      <c r="F70" s="1744"/>
      <c r="G70" s="1744"/>
      <c r="H70" s="1744"/>
      <c r="I70" s="1744"/>
      <c r="J70" s="1744"/>
      <c r="K70" s="1744"/>
      <c r="L70" s="1744"/>
    </row>
    <row r="71" spans="1:13">
      <c r="A71" s="1744"/>
      <c r="B71" s="1744"/>
      <c r="C71" s="1744"/>
      <c r="D71" s="1744"/>
      <c r="E71" s="1744"/>
      <c r="F71" s="1744"/>
      <c r="G71" s="1744"/>
      <c r="H71" s="1744"/>
      <c r="I71" s="1744"/>
      <c r="J71" s="1744"/>
      <c r="K71" s="1744"/>
      <c r="L71" s="1744"/>
    </row>
    <row r="72" spans="1:13">
      <c r="A72" s="1744"/>
      <c r="B72" s="1744"/>
      <c r="C72" s="1744"/>
      <c r="D72" s="1744"/>
      <c r="E72" s="1744"/>
      <c r="F72" s="1744"/>
      <c r="G72" s="1744"/>
      <c r="H72" s="1744"/>
      <c r="I72" s="1744"/>
      <c r="J72" s="1744"/>
      <c r="K72" s="1744"/>
      <c r="L72" s="1744"/>
    </row>
    <row r="73" spans="1:13">
      <c r="A73" s="1744"/>
      <c r="B73" s="1744"/>
      <c r="C73" s="1744"/>
      <c r="D73" s="1744"/>
      <c r="E73" s="1744"/>
      <c r="F73" s="1744"/>
      <c r="G73" s="1744"/>
      <c r="H73" s="1744"/>
      <c r="I73" s="1744"/>
      <c r="J73" s="1744"/>
      <c r="K73" s="1744"/>
      <c r="L73" s="1744"/>
    </row>
    <row r="74" spans="1:13">
      <c r="A74" s="1744"/>
      <c r="B74" s="1744"/>
      <c r="C74" s="1744"/>
      <c r="D74" s="1744"/>
      <c r="E74" s="1744"/>
      <c r="F74" s="1744"/>
      <c r="G74" s="1744"/>
      <c r="H74" s="1744"/>
      <c r="I74" s="1744"/>
      <c r="J74" s="1744"/>
      <c r="K74" s="1744"/>
      <c r="L74" s="1744"/>
    </row>
    <row r="75" spans="1:13">
      <c r="A75" s="1744"/>
      <c r="B75" s="1744"/>
      <c r="C75" s="1744"/>
      <c r="D75" s="1744"/>
      <c r="E75" s="1744"/>
      <c r="F75" s="1744"/>
      <c r="G75" s="1744"/>
      <c r="H75" s="1744"/>
      <c r="I75" s="1744"/>
      <c r="J75" s="1744"/>
      <c r="K75" s="1744"/>
      <c r="L75" s="1744"/>
    </row>
  </sheetData>
  <sortState xmlns:xlrd2="http://schemas.microsoft.com/office/spreadsheetml/2017/richdata2" ref="T7:T32">
    <sortCondition ref="T7"/>
  </sortState>
  <mergeCells count="3">
    <mergeCell ref="A1:M1"/>
    <mergeCell ref="A2:M2"/>
    <mergeCell ref="A3:M3"/>
  </mergeCells>
  <printOptions horizontalCentered="1" gridLines="1"/>
  <pageMargins left="0.7" right="0.7" top="1" bottom="1" header="0.3" footer="0.3"/>
  <pageSetup scale="67" fitToWidth="0" orientation="landscape" useFirstPageNumber="1" r:id="rId1"/>
  <headerFooter scaleWithDoc="0" alignWithMargins="0">
    <oddHeader>&amp;RDocket No. UG-20___
Exhibit _____ (PCD-2)
Page 1 of 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3CFD-0D59-4A3E-967C-93B637303902}">
  <sheetPr>
    <tabColor theme="7" tint="0.79998168889431442"/>
  </sheetPr>
  <dimension ref="A1:E41"/>
  <sheetViews>
    <sheetView topLeftCell="A6" zoomScale="80" zoomScaleNormal="80" workbookViewId="0">
      <selection activeCell="F30" sqref="F30"/>
    </sheetView>
  </sheetViews>
  <sheetFormatPr defaultRowHeight="14.4"/>
  <cols>
    <col min="1" max="1" width="8.33203125" bestFit="1" customWidth="1"/>
    <col min="2" max="2" width="51.33203125" bestFit="1" customWidth="1"/>
    <col min="3" max="3" width="14.109375" bestFit="1" customWidth="1"/>
    <col min="4" max="4" width="14.44140625" customWidth="1"/>
    <col min="5" max="5" width="12.33203125" bestFit="1" customWidth="1"/>
  </cols>
  <sheetData>
    <row r="1" spans="1:5" ht="15.6">
      <c r="A1" s="1909" t="s">
        <v>100</v>
      </c>
      <c r="B1" s="1909"/>
      <c r="C1" s="1909"/>
    </row>
    <row r="2" spans="1:5" ht="15.6">
      <c r="A2" s="1909" t="s">
        <v>3308</v>
      </c>
      <c r="B2" s="1909"/>
      <c r="C2" s="1909"/>
    </row>
    <row r="3" spans="1:5" ht="15.6">
      <c r="A3" s="1910" t="s">
        <v>3257</v>
      </c>
      <c r="B3" s="1910"/>
      <c r="C3" s="1910"/>
    </row>
    <row r="4" spans="1:5">
      <c r="A4" s="1622"/>
      <c r="B4" s="1622"/>
      <c r="C4" s="1622"/>
    </row>
    <row r="5" spans="1:5">
      <c r="A5" s="1726" t="s">
        <v>649</v>
      </c>
      <c r="B5" s="1726" t="s">
        <v>2448</v>
      </c>
      <c r="C5" s="1726" t="s">
        <v>3296</v>
      </c>
    </row>
    <row r="6" spans="1:5">
      <c r="A6" s="1711"/>
      <c r="B6" s="1711" t="s">
        <v>778</v>
      </c>
      <c r="C6" s="1711" t="s">
        <v>776</v>
      </c>
    </row>
    <row r="7" spans="1:5">
      <c r="A7" s="1623">
        <v>1</v>
      </c>
      <c r="B7" s="1682" t="s">
        <v>3258</v>
      </c>
      <c r="C7" s="1622"/>
    </row>
    <row r="8" spans="1:5">
      <c r="A8" s="1623">
        <v>2</v>
      </c>
      <c r="B8" s="1727">
        <v>2020</v>
      </c>
      <c r="C8" s="1681">
        <v>2268558.5099999998</v>
      </c>
      <c r="E8" s="613"/>
    </row>
    <row r="9" spans="1:5">
      <c r="A9" s="1623">
        <v>3</v>
      </c>
      <c r="B9" s="1712" t="s">
        <v>3326</v>
      </c>
      <c r="C9" s="1801">
        <v>3554682.52</v>
      </c>
    </row>
    <row r="10" spans="1:5">
      <c r="A10" s="1623">
        <v>4</v>
      </c>
      <c r="B10" s="1712">
        <v>2018</v>
      </c>
      <c r="C10" s="1681">
        <v>1772194.64</v>
      </c>
    </row>
    <row r="11" spans="1:5">
      <c r="A11" s="1623">
        <v>5</v>
      </c>
      <c r="B11" s="1712">
        <v>2017</v>
      </c>
      <c r="C11" s="1681">
        <v>2149453.5499999998</v>
      </c>
    </row>
    <row r="12" spans="1:5">
      <c r="A12" s="1623">
        <v>6</v>
      </c>
      <c r="B12" s="1712">
        <v>2016</v>
      </c>
      <c r="C12" s="1681">
        <v>1272647.06</v>
      </c>
    </row>
    <row r="13" spans="1:5">
      <c r="A13" s="1623">
        <v>7</v>
      </c>
      <c r="B13" s="1727">
        <v>2015</v>
      </c>
      <c r="C13" s="1681">
        <v>1318757.74</v>
      </c>
    </row>
    <row r="14" spans="1:5">
      <c r="A14" s="1623">
        <v>8</v>
      </c>
      <c r="D14" s="824" t="s">
        <v>3214</v>
      </c>
    </row>
    <row r="15" spans="1:5">
      <c r="A15" s="1623">
        <v>9</v>
      </c>
      <c r="B15" s="613" t="s">
        <v>3307</v>
      </c>
      <c r="C15" s="1728">
        <f>C8</f>
        <v>2268558.5099999998</v>
      </c>
      <c r="D15" s="1728">
        <f>C9</f>
        <v>3554682.52</v>
      </c>
    </row>
    <row r="16" spans="1:5">
      <c r="A16" s="1623">
        <v>10</v>
      </c>
      <c r="B16" s="1729" t="s">
        <v>3298</v>
      </c>
      <c r="C16" s="1733">
        <v>3.0599999999999999E-2</v>
      </c>
      <c r="D16" s="1733"/>
    </row>
    <row r="17" spans="1:4">
      <c r="A17" s="1623">
        <v>11</v>
      </c>
      <c r="B17" s="1008" t="s">
        <v>3295</v>
      </c>
      <c r="C17" s="1732">
        <f>C15*C16</f>
        <v>69417.890405999991</v>
      </c>
      <c r="D17" s="1732">
        <f>C16*D15</f>
        <v>108773.285112</v>
      </c>
    </row>
    <row r="18" spans="1:4">
      <c r="A18" s="1623">
        <v>12</v>
      </c>
    </row>
    <row r="19" spans="1:4">
      <c r="A19" s="1623">
        <v>13</v>
      </c>
      <c r="B19" s="1682" t="s">
        <v>2322</v>
      </c>
      <c r="C19" s="1622"/>
    </row>
    <row r="20" spans="1:4">
      <c r="A20" s="1623">
        <v>14</v>
      </c>
      <c r="B20" s="1727">
        <v>2020</v>
      </c>
      <c r="C20" s="1681">
        <v>6341244.1399999997</v>
      </c>
    </row>
    <row r="21" spans="1:4">
      <c r="A21" s="1623">
        <v>15</v>
      </c>
      <c r="B21" s="1712" t="s">
        <v>3326</v>
      </c>
      <c r="C21" s="1801">
        <v>11449588.119999999</v>
      </c>
    </row>
    <row r="22" spans="1:4">
      <c r="A22" s="1623">
        <v>16</v>
      </c>
      <c r="B22" s="1712" t="s">
        <v>3299</v>
      </c>
      <c r="C22" s="1681">
        <v>13110950.58</v>
      </c>
    </row>
    <row r="23" spans="1:4">
      <c r="A23" s="1623">
        <v>17</v>
      </c>
      <c r="B23" s="1712">
        <v>2017</v>
      </c>
      <c r="C23" s="1681">
        <v>2932218.21</v>
      </c>
    </row>
    <row r="24" spans="1:4">
      <c r="A24" s="1623">
        <v>18</v>
      </c>
      <c r="B24" s="1712">
        <v>2016</v>
      </c>
      <c r="C24" s="1681">
        <v>4074762.29</v>
      </c>
    </row>
    <row r="25" spans="1:4">
      <c r="A25" s="1623">
        <v>19</v>
      </c>
      <c r="B25" s="1727">
        <v>2015</v>
      </c>
      <c r="C25" s="1681">
        <v>4304992.4800000004</v>
      </c>
    </row>
    <row r="26" spans="1:4">
      <c r="A26" s="1623">
        <v>20</v>
      </c>
      <c r="B26" s="613"/>
      <c r="C26" s="613"/>
    </row>
    <row r="27" spans="1:4">
      <c r="A27" s="1623">
        <v>21</v>
      </c>
      <c r="B27" s="613" t="s">
        <v>3307</v>
      </c>
      <c r="C27" s="1728">
        <f>C20</f>
        <v>6341244.1399999997</v>
      </c>
      <c r="D27" s="1728">
        <f>C21</f>
        <v>11449588.119999999</v>
      </c>
    </row>
    <row r="28" spans="1:4">
      <c r="A28" s="1623">
        <v>22</v>
      </c>
      <c r="B28" s="1729" t="s">
        <v>3298</v>
      </c>
      <c r="C28" s="1733">
        <f>C16</f>
        <v>3.0599999999999999E-2</v>
      </c>
      <c r="D28" s="1733"/>
    </row>
    <row r="29" spans="1:4">
      <c r="A29" s="1623">
        <v>23</v>
      </c>
      <c r="B29" s="1008" t="s">
        <v>3297</v>
      </c>
      <c r="C29" s="1732">
        <f>C27*C28</f>
        <v>194042.07068399998</v>
      </c>
      <c r="D29" s="1732">
        <f>C28*D27</f>
        <v>350357.39647199993</v>
      </c>
    </row>
    <row r="30" spans="1:4" s="613" customFormat="1">
      <c r="A30" s="1623">
        <v>24</v>
      </c>
      <c r="B30" s="1008"/>
      <c r="C30" s="1732"/>
    </row>
    <row r="31" spans="1:4" s="613" customFormat="1">
      <c r="A31" s="1623">
        <v>25</v>
      </c>
      <c r="B31" s="1763" t="s">
        <v>3316</v>
      </c>
      <c r="C31" s="1764">
        <f>C29+C17</f>
        <v>263459.96109</v>
      </c>
      <c r="D31" s="1764">
        <f>D29+D17</f>
        <v>459130.68158399995</v>
      </c>
    </row>
    <row r="32" spans="1:4" s="613" customFormat="1">
      <c r="A32" s="1623">
        <v>26</v>
      </c>
      <c r="B32" s="1008"/>
      <c r="C32" s="1732"/>
    </row>
    <row r="33" spans="1:5" s="613" customFormat="1">
      <c r="A33" s="1623">
        <v>27</v>
      </c>
      <c r="B33" s="1008"/>
      <c r="C33" s="1732"/>
    </row>
    <row r="34" spans="1:5">
      <c r="A34" s="1623">
        <v>28</v>
      </c>
      <c r="B34" s="1682" t="s">
        <v>3315</v>
      </c>
    </row>
    <row r="35" spans="1:5" s="613" customFormat="1">
      <c r="A35" s="1623">
        <v>29</v>
      </c>
      <c r="B35" s="613" t="s">
        <v>3313</v>
      </c>
      <c r="C35" s="1728">
        <f>'Exh 10, Plant Additions'!H200</f>
        <v>13586826.540000001</v>
      </c>
    </row>
    <row r="36" spans="1:5" s="613" customFormat="1">
      <c r="A36" s="1623">
        <v>30</v>
      </c>
      <c r="B36" s="1729" t="s">
        <v>3312</v>
      </c>
      <c r="C36" s="1762">
        <v>96234058.909999996</v>
      </c>
    </row>
    <row r="37" spans="1:5" s="613" customFormat="1">
      <c r="A37" s="1623">
        <v>31</v>
      </c>
      <c r="B37" s="613" t="s">
        <v>3314</v>
      </c>
      <c r="C37" s="1749">
        <f>C35/C36</f>
        <v>0.14118521751957558</v>
      </c>
    </row>
    <row r="38" spans="1:5">
      <c r="A38" s="1623">
        <v>32</v>
      </c>
    </row>
    <row r="39" spans="1:5" ht="15" thickBot="1">
      <c r="A39" s="1623">
        <v>33</v>
      </c>
      <c r="B39" s="1730" t="s">
        <v>3317</v>
      </c>
      <c r="C39" s="1731">
        <f>C37*C31</f>
        <v>37196.651914190566</v>
      </c>
      <c r="E39" s="404"/>
    </row>
    <row r="40" spans="1:5" ht="15" thickTop="1">
      <c r="A40" s="1623">
        <v>34</v>
      </c>
    </row>
    <row r="41" spans="1:5">
      <c r="C41" s="404"/>
      <c r="E41" s="404"/>
    </row>
  </sheetData>
  <mergeCells count="3">
    <mergeCell ref="A1:C1"/>
    <mergeCell ref="A2:C2"/>
    <mergeCell ref="A3:C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7" tint="0.79998168889431442"/>
  </sheetPr>
  <dimension ref="A1:AD188"/>
  <sheetViews>
    <sheetView view="pageBreakPreview" zoomScale="80" zoomScaleNormal="100" zoomScaleSheetLayoutView="80" workbookViewId="0">
      <pane xSplit="3" ySplit="13" topLeftCell="M15" activePane="bottomRight" state="frozen"/>
      <selection activeCell="F27" sqref="F27"/>
      <selection pane="topRight" activeCell="F27" sqref="F27"/>
      <selection pane="bottomLeft" activeCell="F27" sqref="F27"/>
      <selection pane="bottomRight" activeCell="V15" sqref="V15"/>
    </sheetView>
  </sheetViews>
  <sheetFormatPr defaultColWidth="9.109375" defaultRowHeight="15.6"/>
  <cols>
    <col min="1" max="1" width="9.33203125" style="380" bestFit="1" customWidth="1"/>
    <col min="2" max="2" width="10.44140625" style="14" bestFit="1" customWidth="1"/>
    <col min="3" max="3" width="44.33203125" style="14" customWidth="1"/>
    <col min="4" max="4" width="2.6640625" style="14" customWidth="1"/>
    <col min="5" max="5" width="20.5546875" style="14" bestFit="1" customWidth="1"/>
    <col min="6" max="6" width="25.44140625" style="14" bestFit="1" customWidth="1"/>
    <col min="7" max="7" width="26.33203125" style="14" bestFit="1" customWidth="1"/>
    <col min="8" max="8" width="14.109375" style="14" customWidth="1"/>
    <col min="9" max="9" width="18.6640625" style="365" bestFit="1" customWidth="1"/>
    <col min="10" max="10" width="16.44140625" style="365" bestFit="1" customWidth="1"/>
    <col min="11" max="11" width="22.33203125" style="240" customWidth="1"/>
    <col min="12" max="12" width="17.6640625" style="365" bestFit="1" customWidth="1"/>
    <col min="13" max="14" width="18.44140625" style="365" bestFit="1" customWidth="1"/>
    <col min="15" max="19" width="18.44140625" style="365" customWidth="1"/>
    <col min="20" max="20" width="17.33203125" style="365" bestFit="1" customWidth="1"/>
    <col min="21" max="22" width="18.44140625" style="365" bestFit="1" customWidth="1"/>
    <col min="23" max="23" width="16.88671875" style="534" bestFit="1" customWidth="1"/>
    <col min="24" max="25" width="2.109375" style="14" customWidth="1"/>
    <col min="26" max="26" width="19.109375" style="14" bestFit="1" customWidth="1"/>
    <col min="27" max="27" width="24.109375" style="14" bestFit="1" customWidth="1"/>
    <col min="28" max="28" width="9.109375" style="14"/>
    <col min="29" max="29" width="14.33203125" style="14" bestFit="1" customWidth="1"/>
    <col min="30" max="30" width="17.44140625" style="14" bestFit="1" customWidth="1"/>
    <col min="31" max="16384" width="9.109375" style="14"/>
  </cols>
  <sheetData>
    <row r="1" spans="1:29">
      <c r="C1" s="1926" t="s">
        <v>52</v>
      </c>
      <c r="D1" s="1926"/>
      <c r="E1" s="1926"/>
      <c r="F1" s="1926"/>
      <c r="G1" s="1926"/>
      <c r="K1" s="1926" t="s">
        <v>52</v>
      </c>
      <c r="L1" s="1926"/>
      <c r="M1" s="1926"/>
      <c r="N1" s="1926"/>
      <c r="O1" s="1926"/>
      <c r="P1" s="1926"/>
      <c r="Q1" s="1926"/>
      <c r="R1" s="1926"/>
      <c r="S1" s="1926"/>
      <c r="T1" s="1926"/>
      <c r="U1" s="1926"/>
      <c r="V1" s="1926"/>
      <c r="X1" s="1926"/>
      <c r="Y1" s="1926"/>
    </row>
    <row r="2" spans="1:29">
      <c r="C2" s="1926" t="s">
        <v>1824</v>
      </c>
      <c r="D2" s="1926"/>
      <c r="E2" s="1926"/>
      <c r="F2" s="1926"/>
      <c r="G2" s="1926"/>
      <c r="K2" s="1926" t="s">
        <v>1824</v>
      </c>
      <c r="L2" s="1926"/>
      <c r="M2" s="1926"/>
      <c r="N2" s="1926"/>
      <c r="O2" s="1926"/>
      <c r="P2" s="1926"/>
      <c r="Q2" s="1926"/>
      <c r="R2" s="1926"/>
      <c r="S2" s="1926"/>
      <c r="T2" s="1926"/>
      <c r="U2" s="1926"/>
      <c r="V2" s="1926"/>
      <c r="X2" s="1926"/>
      <c r="Y2" s="1926"/>
    </row>
    <row r="3" spans="1:29">
      <c r="C3" s="1926" t="s">
        <v>1259</v>
      </c>
      <c r="D3" s="1926"/>
      <c r="E3" s="1926"/>
      <c r="F3" s="1926"/>
      <c r="G3" s="1926"/>
      <c r="K3" s="1926" t="s">
        <v>1259</v>
      </c>
      <c r="L3" s="1926"/>
      <c r="M3" s="1926"/>
      <c r="N3" s="1926"/>
      <c r="O3" s="1926"/>
      <c r="P3" s="1926"/>
      <c r="Q3" s="1926"/>
      <c r="R3" s="1926"/>
      <c r="S3" s="1926"/>
      <c r="T3" s="1926"/>
      <c r="U3" s="1926"/>
      <c r="V3" s="1926"/>
      <c r="X3" s="1926"/>
      <c r="Y3" s="1926"/>
    </row>
    <row r="4" spans="1:29">
      <c r="C4" s="1926" t="s">
        <v>1069</v>
      </c>
      <c r="D4" s="1926"/>
      <c r="E4" s="1926"/>
      <c r="F4" s="1926"/>
      <c r="G4" s="1926"/>
      <c r="K4" s="1926" t="s">
        <v>743</v>
      </c>
      <c r="L4" s="1926"/>
      <c r="M4" s="1926"/>
      <c r="N4" s="1926"/>
      <c r="O4" s="1926"/>
      <c r="P4" s="1926"/>
      <c r="Q4" s="1926"/>
      <c r="R4" s="1926"/>
      <c r="S4" s="1926"/>
      <c r="T4" s="1926"/>
      <c r="U4" s="1926"/>
      <c r="V4" s="1926"/>
      <c r="X4" s="1926"/>
      <c r="Y4" s="1926"/>
    </row>
    <row r="5" spans="1:29">
      <c r="C5" s="1926" t="s">
        <v>1823</v>
      </c>
      <c r="D5" s="1926"/>
      <c r="E5" s="1926"/>
      <c r="F5" s="1926"/>
      <c r="G5" s="1926"/>
      <c r="K5" s="1926" t="s">
        <v>1823</v>
      </c>
      <c r="L5" s="1926"/>
      <c r="M5" s="1926"/>
      <c r="N5" s="1926"/>
      <c r="O5" s="1926"/>
      <c r="P5" s="1926"/>
      <c r="Q5" s="1926"/>
      <c r="R5" s="1926"/>
      <c r="S5" s="1926"/>
      <c r="T5" s="1926"/>
      <c r="U5" s="1926"/>
      <c r="V5" s="1926"/>
      <c r="X5" s="1926"/>
      <c r="Y5" s="1926"/>
    </row>
    <row r="7" spans="1:29" s="380" customFormat="1">
      <c r="A7" s="380" t="s">
        <v>994</v>
      </c>
      <c r="B7" s="380" t="s">
        <v>778</v>
      </c>
      <c r="C7" s="380" t="s">
        <v>776</v>
      </c>
      <c r="E7" s="380" t="s">
        <v>777</v>
      </c>
      <c r="F7" s="380" t="s">
        <v>780</v>
      </c>
      <c r="G7" s="380" t="s">
        <v>781</v>
      </c>
      <c r="H7" s="380" t="s">
        <v>782</v>
      </c>
      <c r="I7" s="634" t="s">
        <v>783</v>
      </c>
      <c r="J7" s="634" t="s">
        <v>784</v>
      </c>
      <c r="K7" s="635" t="s">
        <v>785</v>
      </c>
      <c r="L7" s="634" t="s">
        <v>786</v>
      </c>
      <c r="M7" s="634" t="s">
        <v>787</v>
      </c>
      <c r="N7" s="634" t="s">
        <v>788</v>
      </c>
      <c r="O7" s="634" t="s">
        <v>789</v>
      </c>
      <c r="P7" s="634" t="s">
        <v>789</v>
      </c>
      <c r="Q7" s="634" t="s">
        <v>789</v>
      </c>
      <c r="R7" s="634" t="s">
        <v>789</v>
      </c>
      <c r="S7" s="634" t="s">
        <v>789</v>
      </c>
      <c r="T7" s="634" t="s">
        <v>790</v>
      </c>
      <c r="U7" s="634" t="s">
        <v>791</v>
      </c>
      <c r="V7" s="634" t="s">
        <v>1814</v>
      </c>
      <c r="W7" s="634" t="s">
        <v>996</v>
      </c>
      <c r="X7" s="636"/>
      <c r="Y7" s="636"/>
      <c r="Z7" s="634" t="s">
        <v>997</v>
      </c>
      <c r="AA7" s="634" t="s">
        <v>998</v>
      </c>
    </row>
    <row r="8" spans="1:29" ht="31.2">
      <c r="A8" s="380">
        <v>1</v>
      </c>
      <c r="B8" s="535" t="s">
        <v>743</v>
      </c>
      <c r="C8" s="536"/>
      <c r="D8" s="216"/>
      <c r="E8" s="537"/>
      <c r="F8" s="538" t="s">
        <v>102</v>
      </c>
      <c r="G8" s="538" t="s">
        <v>103</v>
      </c>
      <c r="H8" s="538" t="s">
        <v>104</v>
      </c>
    </row>
    <row r="9" spans="1:29">
      <c r="A9" s="380">
        <v>2</v>
      </c>
      <c r="B9" s="539" t="s">
        <v>1825</v>
      </c>
      <c r="C9" s="341"/>
      <c r="D9" s="216"/>
      <c r="E9" s="749" t="s">
        <v>105</v>
      </c>
      <c r="F9" s="750">
        <f>+'State Allocation Formulas'!C21</f>
        <v>0.75170000000000003</v>
      </c>
      <c r="G9" s="751">
        <f>+'State Allocation Formulas'!C16</f>
        <v>0.74299999999999999</v>
      </c>
      <c r="H9" s="751">
        <f>+'State Allocation Formulas'!T21</f>
        <v>0.75539999999999996</v>
      </c>
    </row>
    <row r="10" spans="1:29">
      <c r="A10" s="380">
        <v>3</v>
      </c>
      <c r="B10" s="539"/>
      <c r="C10" s="341"/>
      <c r="D10" s="216"/>
      <c r="E10" s="749" t="s">
        <v>106</v>
      </c>
      <c r="F10" s="750">
        <f>+'State Allocation Formulas'!D21</f>
        <v>0.24829999999999999</v>
      </c>
      <c r="G10" s="751">
        <f>+'State Allocation Formulas'!D16</f>
        <v>0.25700000000000001</v>
      </c>
      <c r="H10" s="751">
        <f>+'State Allocation Formulas'!T22</f>
        <v>0.24460000000000004</v>
      </c>
      <c r="I10" s="130" t="s">
        <v>1808</v>
      </c>
      <c r="J10" s="130" t="s">
        <v>53</v>
      </c>
      <c r="K10" s="616" t="s">
        <v>707</v>
      </c>
      <c r="L10" s="617" t="s">
        <v>707</v>
      </c>
      <c r="M10" s="342" t="s">
        <v>1363</v>
      </c>
      <c r="N10" s="450" t="s">
        <v>707</v>
      </c>
      <c r="O10" s="1692" t="s">
        <v>3261</v>
      </c>
      <c r="P10" s="1692" t="s">
        <v>3261</v>
      </c>
      <c r="Q10" s="1692" t="s">
        <v>707</v>
      </c>
      <c r="R10" s="1692" t="s">
        <v>707</v>
      </c>
      <c r="S10" s="1692" t="s">
        <v>3261</v>
      </c>
      <c r="T10" s="130" t="s">
        <v>55</v>
      </c>
      <c r="U10" s="130" t="s">
        <v>668</v>
      </c>
      <c r="V10" s="130" t="s">
        <v>708</v>
      </c>
      <c r="W10" s="131" t="s">
        <v>723</v>
      </c>
      <c r="X10" s="82"/>
      <c r="Z10" s="132" t="s">
        <v>51</v>
      </c>
      <c r="AA10" s="132" t="s">
        <v>668</v>
      </c>
    </row>
    <row r="11" spans="1:29">
      <c r="A11" s="683">
        <v>4</v>
      </c>
      <c r="B11" s="1917" t="s">
        <v>107</v>
      </c>
      <c r="C11" s="1918"/>
      <c r="D11" s="216"/>
      <c r="E11" s="1921" t="s">
        <v>108</v>
      </c>
      <c r="F11" s="1922"/>
      <c r="G11" s="1922"/>
      <c r="I11" s="134" t="s">
        <v>733</v>
      </c>
      <c r="J11" s="134" t="s">
        <v>50</v>
      </c>
      <c r="K11" s="618" t="s">
        <v>67</v>
      </c>
      <c r="L11" s="134" t="s">
        <v>1360</v>
      </c>
      <c r="M11" s="86" t="s">
        <v>95</v>
      </c>
      <c r="N11" s="85" t="s">
        <v>1081</v>
      </c>
      <c r="O11" s="85" t="s">
        <v>3287</v>
      </c>
      <c r="P11" s="1723">
        <v>0.5</v>
      </c>
      <c r="Q11" s="85" t="s">
        <v>3253</v>
      </c>
      <c r="R11" s="85" t="s">
        <v>3294</v>
      </c>
      <c r="S11" s="85" t="s">
        <v>3262</v>
      </c>
      <c r="T11" s="134" t="s">
        <v>56</v>
      </c>
      <c r="U11" s="134" t="s">
        <v>672</v>
      </c>
      <c r="V11" s="134" t="s">
        <v>57</v>
      </c>
      <c r="W11" s="135" t="s">
        <v>724</v>
      </c>
      <c r="X11" s="86"/>
      <c r="Z11" s="132" t="s">
        <v>0</v>
      </c>
      <c r="AA11" s="132" t="s">
        <v>669</v>
      </c>
    </row>
    <row r="12" spans="1:29">
      <c r="A12" s="380">
        <v>5</v>
      </c>
      <c r="B12" s="1919"/>
      <c r="C12" s="1920"/>
      <c r="D12" s="726"/>
      <c r="E12" s="1923" t="s">
        <v>109</v>
      </c>
      <c r="F12" s="1924"/>
      <c r="G12" s="1925"/>
      <c r="I12" s="614" t="s">
        <v>54</v>
      </c>
      <c r="J12" s="614" t="s">
        <v>54</v>
      </c>
      <c r="K12" s="619"/>
      <c r="L12" s="614" t="s">
        <v>54</v>
      </c>
      <c r="M12" s="620"/>
      <c r="N12" s="621" t="s">
        <v>1082</v>
      </c>
      <c r="O12" s="1698" t="s">
        <v>3288</v>
      </c>
      <c r="P12" s="1698" t="s">
        <v>3252</v>
      </c>
      <c r="Q12" s="1698" t="s">
        <v>3291</v>
      </c>
      <c r="R12" s="1698" t="s">
        <v>3259</v>
      </c>
      <c r="S12" s="1698" t="s">
        <v>3263</v>
      </c>
      <c r="T12" s="614" t="s">
        <v>54</v>
      </c>
      <c r="U12" s="614" t="s">
        <v>54</v>
      </c>
      <c r="V12" s="614"/>
      <c r="W12" s="615" t="s">
        <v>725</v>
      </c>
      <c r="X12" s="86"/>
      <c r="AA12" s="15" t="s">
        <v>670</v>
      </c>
    </row>
    <row r="13" spans="1:29">
      <c r="A13" s="380">
        <v>6</v>
      </c>
      <c r="B13" s="1913" t="s">
        <v>110</v>
      </c>
      <c r="C13" s="1914"/>
      <c r="D13" s="540"/>
      <c r="E13" s="541" t="s">
        <v>111</v>
      </c>
      <c r="F13" s="540" t="s">
        <v>112</v>
      </c>
      <c r="G13" s="542" t="s">
        <v>113</v>
      </c>
      <c r="I13" s="543" t="s">
        <v>663</v>
      </c>
      <c r="J13" s="543" t="s">
        <v>664</v>
      </c>
      <c r="K13" s="622" t="s">
        <v>706</v>
      </c>
      <c r="L13" s="543" t="s">
        <v>732</v>
      </c>
      <c r="M13" s="543" t="s">
        <v>1361</v>
      </c>
      <c r="N13" s="543" t="s">
        <v>1362</v>
      </c>
      <c r="O13" s="543" t="s">
        <v>3260</v>
      </c>
      <c r="P13" s="543" t="s">
        <v>3286</v>
      </c>
      <c r="Q13" s="543" t="s">
        <v>3289</v>
      </c>
      <c r="R13" s="543" t="s">
        <v>3292</v>
      </c>
      <c r="S13" s="543" t="s">
        <v>3293</v>
      </c>
      <c r="T13" s="543" t="s">
        <v>665</v>
      </c>
      <c r="U13" s="543" t="s">
        <v>666</v>
      </c>
      <c r="V13" s="543" t="s">
        <v>734</v>
      </c>
      <c r="W13" s="544" t="s">
        <v>667</v>
      </c>
      <c r="X13" s="545"/>
      <c r="Y13" s="545"/>
    </row>
    <row r="14" spans="1:29">
      <c r="A14" s="683">
        <v>7</v>
      </c>
      <c r="B14" s="142" t="s">
        <v>114</v>
      </c>
      <c r="C14" s="139"/>
      <c r="D14" s="341"/>
      <c r="E14" s="539"/>
      <c r="F14" s="341"/>
      <c r="G14" s="67"/>
    </row>
    <row r="15" spans="1:29">
      <c r="A15" s="380">
        <v>8</v>
      </c>
      <c r="B15" s="140" t="s">
        <v>115</v>
      </c>
      <c r="C15" s="141" t="s">
        <v>116</v>
      </c>
      <c r="D15" s="546"/>
      <c r="E15" s="547">
        <v>120476426.38</v>
      </c>
      <c r="F15" s="548">
        <v>0</v>
      </c>
      <c r="G15" s="549">
        <f>SUM(E15:F15)</f>
        <v>120476426.38</v>
      </c>
      <c r="I15" s="240">
        <f>ROUND('Annualize CRM Adjustment'!D11, 0)</f>
        <v>-2913264</v>
      </c>
      <c r="K15" s="240">
        <f>+'Restate Revenues Adjustment'!H27</f>
        <v>14922776.155102273</v>
      </c>
      <c r="L15" s="365">
        <f>+'EOP Revenue Adjustment'!F11</f>
        <v>923295.27470448066</v>
      </c>
      <c r="V15" s="365">
        <f>+'Pro Forma Plant Additions'!E27</f>
        <v>0</v>
      </c>
      <c r="Z15" s="370">
        <f>SUM(I15:Y15)</f>
        <v>12932807.429806754</v>
      </c>
      <c r="AA15" s="370">
        <f>+G15+Z15</f>
        <v>133409233.80980675</v>
      </c>
    </row>
    <row r="16" spans="1:29">
      <c r="A16" s="380">
        <v>9</v>
      </c>
      <c r="B16" s="140" t="s">
        <v>117</v>
      </c>
      <c r="C16" s="141" t="s">
        <v>118</v>
      </c>
      <c r="D16" s="546"/>
      <c r="E16" s="547">
        <v>101005173.58</v>
      </c>
      <c r="F16" s="548">
        <v>0</v>
      </c>
      <c r="G16" s="549">
        <f>SUM(E16:F16)</f>
        <v>101005173.58</v>
      </c>
      <c r="Z16" s="370">
        <f>SUM(I16:Y16)</f>
        <v>0</v>
      </c>
      <c r="AA16" s="370">
        <f>+G16+Z16</f>
        <v>101005173.58</v>
      </c>
      <c r="AC16" s="14" t="s">
        <v>2437</v>
      </c>
    </row>
    <row r="17" spans="1:30">
      <c r="A17" s="683">
        <v>10</v>
      </c>
      <c r="B17" s="142" t="s">
        <v>119</v>
      </c>
      <c r="C17" s="139"/>
      <c r="D17" s="550"/>
      <c r="E17" s="752">
        <f t="shared" ref="E17:W17" si="0">SUM(E15:E16)</f>
        <v>221481599.95999998</v>
      </c>
      <c r="F17" s="551">
        <f t="shared" si="0"/>
        <v>0</v>
      </c>
      <c r="G17" s="552">
        <f t="shared" si="0"/>
        <v>221481599.95999998</v>
      </c>
      <c r="I17" s="552">
        <f t="shared" si="0"/>
        <v>-2913264</v>
      </c>
      <c r="J17" s="552">
        <f t="shared" si="0"/>
        <v>0</v>
      </c>
      <c r="K17" s="241">
        <f>SUM(K15:K16)</f>
        <v>14922776.155102273</v>
      </c>
      <c r="L17" s="552">
        <f t="shared" si="0"/>
        <v>923295.27470448066</v>
      </c>
      <c r="M17" s="552">
        <f t="shared" ref="M17:S17" si="1">SUM(M15:M16)</f>
        <v>0</v>
      </c>
      <c r="N17" s="552">
        <f t="shared" si="1"/>
        <v>0</v>
      </c>
      <c r="O17" s="552">
        <f t="shared" si="1"/>
        <v>0</v>
      </c>
      <c r="P17" s="552">
        <f t="shared" si="1"/>
        <v>0</v>
      </c>
      <c r="Q17" s="552">
        <f t="shared" si="1"/>
        <v>0</v>
      </c>
      <c r="R17" s="552">
        <f t="shared" si="1"/>
        <v>0</v>
      </c>
      <c r="S17" s="552">
        <f t="shared" si="1"/>
        <v>0</v>
      </c>
      <c r="T17" s="552">
        <f t="shared" si="0"/>
        <v>0</v>
      </c>
      <c r="U17" s="552">
        <f t="shared" si="0"/>
        <v>0</v>
      </c>
      <c r="V17" s="552">
        <f t="shared" si="0"/>
        <v>0</v>
      </c>
      <c r="W17" s="553">
        <f t="shared" si="0"/>
        <v>0</v>
      </c>
      <c r="X17" s="552">
        <f>SUM(X15:X16)</f>
        <v>0</v>
      </c>
      <c r="Y17" s="552">
        <f>SUM(Y15:Y16)</f>
        <v>0</v>
      </c>
      <c r="Z17" s="552">
        <f>SUM(Z15:Z16)</f>
        <v>12932807.429806754</v>
      </c>
      <c r="AA17" s="552">
        <f>SUM(AA15:AA16)</f>
        <v>234414407.38980675</v>
      </c>
      <c r="AC17" s="365">
        <f>AA17-'Exh 6, ROO Summary'!Q11</f>
        <v>0</v>
      </c>
    </row>
    <row r="18" spans="1:30">
      <c r="A18" s="380">
        <v>11</v>
      </c>
      <c r="B18" s="554"/>
      <c r="C18" s="139"/>
      <c r="D18" s="546"/>
      <c r="E18" s="547"/>
      <c r="F18" s="546"/>
      <c r="G18" s="549"/>
    </row>
    <row r="19" spans="1:30">
      <c r="A19" s="683">
        <v>12</v>
      </c>
      <c r="B19" s="142" t="s">
        <v>120</v>
      </c>
      <c r="C19" s="139"/>
      <c r="D19" s="546"/>
      <c r="E19" s="547"/>
      <c r="F19" s="546"/>
      <c r="G19" s="549"/>
    </row>
    <row r="20" spans="1:30">
      <c r="A20" s="380">
        <v>13</v>
      </c>
      <c r="B20" s="140" t="s">
        <v>121</v>
      </c>
      <c r="C20" s="141" t="s">
        <v>122</v>
      </c>
      <c r="D20" s="546"/>
      <c r="E20" s="547">
        <v>527669.76000000001</v>
      </c>
      <c r="F20" s="546">
        <v>0</v>
      </c>
      <c r="G20" s="549">
        <f t="shared" ref="G20:G26" si="2">SUM(E20:F20)</f>
        <v>527669.76000000001</v>
      </c>
      <c r="Z20" s="370">
        <f t="shared" ref="Z20:Z25" si="3">SUM(I20:Y20)</f>
        <v>0</v>
      </c>
      <c r="AA20" s="631">
        <f t="shared" ref="AA20:AA25" si="4">+G20+Z20</f>
        <v>527669.76000000001</v>
      </c>
    </row>
    <row r="21" spans="1:30">
      <c r="A21" s="683">
        <v>14</v>
      </c>
      <c r="B21" s="555" t="s">
        <v>123</v>
      </c>
      <c r="C21" s="141" t="s">
        <v>124</v>
      </c>
      <c r="D21" s="546"/>
      <c r="E21" s="547">
        <v>24094627.940000001</v>
      </c>
      <c r="F21" s="548">
        <v>0</v>
      </c>
      <c r="G21" s="549">
        <f t="shared" si="2"/>
        <v>24094627.940000001</v>
      </c>
      <c r="V21" s="365">
        <f>+'Pro Forma Plant Additions'!E14</f>
        <v>0</v>
      </c>
      <c r="Z21" s="370">
        <f t="shared" si="3"/>
        <v>0</v>
      </c>
      <c r="AA21" s="370">
        <f t="shared" si="4"/>
        <v>24094627.940000001</v>
      </c>
      <c r="AC21" s="370">
        <f>AA21-'Exh 6, ROO Summary'!Q12</f>
        <v>0</v>
      </c>
    </row>
    <row r="22" spans="1:30">
      <c r="A22" s="380">
        <v>15</v>
      </c>
      <c r="B22" s="555" t="s">
        <v>125</v>
      </c>
      <c r="C22" s="141" t="s">
        <v>126</v>
      </c>
      <c r="D22" s="546"/>
      <c r="E22" s="556">
        <v>0</v>
      </c>
      <c r="F22" s="546">
        <v>0</v>
      </c>
      <c r="G22" s="549">
        <f t="shared" si="2"/>
        <v>0</v>
      </c>
      <c r="Z22" s="370">
        <f t="shared" si="3"/>
        <v>0</v>
      </c>
      <c r="AA22" s="370">
        <f t="shared" si="4"/>
        <v>0</v>
      </c>
    </row>
    <row r="23" spans="1:30">
      <c r="A23" s="683">
        <v>16</v>
      </c>
      <c r="B23" s="555" t="s">
        <v>127</v>
      </c>
      <c r="C23" s="141" t="s">
        <v>128</v>
      </c>
      <c r="D23" s="546"/>
      <c r="E23" s="556">
        <v>0</v>
      </c>
      <c r="F23" s="546">
        <v>127945.33</v>
      </c>
      <c r="G23" s="549">
        <f t="shared" si="2"/>
        <v>127945.33</v>
      </c>
      <c r="Z23" s="370">
        <f t="shared" si="3"/>
        <v>0</v>
      </c>
      <c r="AA23" s="370">
        <f t="shared" si="4"/>
        <v>127945.33</v>
      </c>
    </row>
    <row r="24" spans="1:30">
      <c r="A24" s="380">
        <v>17</v>
      </c>
      <c r="B24" s="555" t="s">
        <v>129</v>
      </c>
      <c r="C24" s="141" t="s">
        <v>130</v>
      </c>
      <c r="D24" s="546"/>
      <c r="E24" s="547">
        <v>91288.83</v>
      </c>
      <c r="F24" s="546">
        <v>168.61</v>
      </c>
      <c r="G24" s="549">
        <f t="shared" si="2"/>
        <v>91457.44</v>
      </c>
      <c r="Z24" s="370">
        <f t="shared" si="3"/>
        <v>0</v>
      </c>
      <c r="AA24" s="370">
        <f t="shared" si="4"/>
        <v>91457.44</v>
      </c>
    </row>
    <row r="25" spans="1:30">
      <c r="A25" s="683">
        <v>18</v>
      </c>
      <c r="B25" s="140" t="s">
        <v>131</v>
      </c>
      <c r="C25" s="141" t="s">
        <v>132</v>
      </c>
      <c r="D25" s="548"/>
      <c r="E25" s="556">
        <v>0</v>
      </c>
      <c r="F25" s="548">
        <v>0</v>
      </c>
      <c r="G25" s="557">
        <f t="shared" si="2"/>
        <v>0</v>
      </c>
      <c r="Z25" s="370">
        <f t="shared" si="3"/>
        <v>0</v>
      </c>
      <c r="AA25" s="370">
        <f t="shared" si="4"/>
        <v>0</v>
      </c>
    </row>
    <row r="26" spans="1:30">
      <c r="A26" s="380">
        <v>19</v>
      </c>
      <c r="B26" s="558">
        <v>4962</v>
      </c>
      <c r="C26" s="141" t="s">
        <v>1261</v>
      </c>
      <c r="D26" s="548"/>
      <c r="E26" s="753">
        <v>1001689</v>
      </c>
      <c r="F26" s="548">
        <v>0</v>
      </c>
      <c r="G26" s="557">
        <f t="shared" si="2"/>
        <v>1001689</v>
      </c>
      <c r="O26" s="365">
        <f>'Exh 3, Revenue Adjustments'!D53</f>
        <v>406245</v>
      </c>
      <c r="Z26" s="370">
        <f>SUM(I26:Y26)</f>
        <v>406245</v>
      </c>
      <c r="AA26" s="370">
        <f>+G26+Z26</f>
        <v>1407934</v>
      </c>
    </row>
    <row r="27" spans="1:30">
      <c r="A27" s="683">
        <v>20</v>
      </c>
      <c r="B27" s="142" t="s">
        <v>133</v>
      </c>
      <c r="C27" s="139"/>
      <c r="D27" s="550"/>
      <c r="E27" s="752">
        <f>SUM(E20:E26)</f>
        <v>25715275.530000001</v>
      </c>
      <c r="F27" s="550">
        <f>SUM(F20:F26)</f>
        <v>128113.94</v>
      </c>
      <c r="G27" s="550">
        <f>SUM(G20:G26)</f>
        <v>25843389.470000003</v>
      </c>
      <c r="I27" s="552">
        <f>SUM(I20:I26)</f>
        <v>0</v>
      </c>
      <c r="J27" s="552">
        <f t="shared" ref="J27:W27" si="5">SUM(J20:J26)</f>
        <v>0</v>
      </c>
      <c r="K27" s="552">
        <f t="shared" si="5"/>
        <v>0</v>
      </c>
      <c r="L27" s="552">
        <f t="shared" si="5"/>
        <v>0</v>
      </c>
      <c r="M27" s="552">
        <f t="shared" si="5"/>
        <v>0</v>
      </c>
      <c r="N27" s="552">
        <f t="shared" si="5"/>
        <v>0</v>
      </c>
      <c r="O27" s="552">
        <f t="shared" si="5"/>
        <v>406245</v>
      </c>
      <c r="P27" s="552">
        <f t="shared" si="5"/>
        <v>0</v>
      </c>
      <c r="Q27" s="552">
        <f t="shared" si="5"/>
        <v>0</v>
      </c>
      <c r="R27" s="552">
        <f t="shared" si="5"/>
        <v>0</v>
      </c>
      <c r="S27" s="552">
        <f t="shared" si="5"/>
        <v>0</v>
      </c>
      <c r="T27" s="552">
        <f t="shared" si="5"/>
        <v>0</v>
      </c>
      <c r="U27" s="552">
        <f t="shared" si="5"/>
        <v>0</v>
      </c>
      <c r="V27" s="552">
        <f t="shared" si="5"/>
        <v>0</v>
      </c>
      <c r="W27" s="552">
        <f t="shared" si="5"/>
        <v>0</v>
      </c>
      <c r="X27" s="552">
        <f>SUM(X20:X25)</f>
        <v>0</v>
      </c>
      <c r="Y27" s="552">
        <f>SUM(Y20:Y25)</f>
        <v>0</v>
      </c>
      <c r="Z27" s="552">
        <f>SUM(Z20:Z26)</f>
        <v>406245</v>
      </c>
      <c r="AA27" s="552">
        <f>SUM(AA20:AA26)</f>
        <v>26249634.470000003</v>
      </c>
      <c r="AC27" s="365">
        <f>AA27-AA21</f>
        <v>2155006.5300000012</v>
      </c>
      <c r="AD27" s="365">
        <f>AC27-'Exh 6, ROO Summary'!Q13</f>
        <v>0</v>
      </c>
    </row>
    <row r="28" spans="1:30" ht="16.2" thickBot="1">
      <c r="A28" s="380">
        <v>21</v>
      </c>
      <c r="B28" s="142" t="s">
        <v>134</v>
      </c>
      <c r="C28" s="139"/>
      <c r="D28" s="559"/>
      <c r="E28" s="754">
        <f>E17+E27</f>
        <v>247196875.48999998</v>
      </c>
      <c r="F28" s="559">
        <f>F17+F27</f>
        <v>128113.94</v>
      </c>
      <c r="G28" s="560">
        <f>G17+G27</f>
        <v>247324989.42999998</v>
      </c>
      <c r="I28" s="560">
        <f t="shared" ref="I28:AA28" si="6">I17+I27</f>
        <v>-2913264</v>
      </c>
      <c r="J28" s="560">
        <f t="shared" si="6"/>
        <v>0</v>
      </c>
      <c r="K28" s="623">
        <f t="shared" si="6"/>
        <v>14922776.155102273</v>
      </c>
      <c r="L28" s="560">
        <f t="shared" si="6"/>
        <v>923295.27470448066</v>
      </c>
      <c r="M28" s="560">
        <f t="shared" si="6"/>
        <v>0</v>
      </c>
      <c r="N28" s="560">
        <f t="shared" si="6"/>
        <v>0</v>
      </c>
      <c r="O28" s="560">
        <f t="shared" si="6"/>
        <v>406245</v>
      </c>
      <c r="P28" s="560">
        <f t="shared" si="6"/>
        <v>0</v>
      </c>
      <c r="Q28" s="560">
        <f t="shared" si="6"/>
        <v>0</v>
      </c>
      <c r="R28" s="560">
        <f t="shared" si="6"/>
        <v>0</v>
      </c>
      <c r="S28" s="560">
        <f t="shared" si="6"/>
        <v>0</v>
      </c>
      <c r="T28" s="560">
        <f t="shared" si="6"/>
        <v>0</v>
      </c>
      <c r="U28" s="560">
        <f t="shared" si="6"/>
        <v>0</v>
      </c>
      <c r="V28" s="560">
        <f t="shared" si="6"/>
        <v>0</v>
      </c>
      <c r="W28" s="561">
        <f t="shared" si="6"/>
        <v>0</v>
      </c>
      <c r="X28" s="560">
        <f t="shared" si="6"/>
        <v>0</v>
      </c>
      <c r="Y28" s="560">
        <f t="shared" si="6"/>
        <v>0</v>
      </c>
      <c r="Z28" s="560">
        <f t="shared" si="6"/>
        <v>13339052.429806754</v>
      </c>
      <c r="AA28" s="560">
        <f t="shared" si="6"/>
        <v>260664041.85980675</v>
      </c>
      <c r="AC28" s="365">
        <f>AA28-'Exh 6, ROO Summary'!Q14</f>
        <v>0</v>
      </c>
    </row>
    <row r="29" spans="1:30" ht="16.2" thickTop="1">
      <c r="A29" s="683">
        <v>22</v>
      </c>
      <c r="B29" s="138" t="s">
        <v>49</v>
      </c>
      <c r="C29" s="139" t="s">
        <v>49</v>
      </c>
      <c r="D29" s="546"/>
      <c r="E29" s="547"/>
      <c r="F29" s="546"/>
      <c r="G29" s="549"/>
    </row>
    <row r="30" spans="1:30">
      <c r="A30" s="380">
        <v>23</v>
      </c>
      <c r="B30" s="142" t="s">
        <v>135</v>
      </c>
      <c r="C30" s="139"/>
      <c r="D30" s="546"/>
      <c r="E30" s="547"/>
      <c r="F30" s="546"/>
      <c r="G30" s="549"/>
    </row>
    <row r="31" spans="1:30">
      <c r="A31" s="683">
        <v>24</v>
      </c>
      <c r="B31" s="140" t="s">
        <v>136</v>
      </c>
      <c r="C31" s="141" t="s">
        <v>137</v>
      </c>
      <c r="D31" s="546"/>
      <c r="E31" s="547">
        <v>183154598.38</v>
      </c>
      <c r="F31" s="548">
        <v>0</v>
      </c>
      <c r="G31" s="549">
        <f t="shared" ref="G31:G36" si="7">SUM(E31:F31)</f>
        <v>183154598.38</v>
      </c>
      <c r="Z31" s="370">
        <f t="shared" ref="Z31:Z36" si="8">SUM(I31:Y31)</f>
        <v>0</v>
      </c>
      <c r="AA31" s="370">
        <f t="shared" ref="AA31:AA36" si="9">+G31+Z31</f>
        <v>183154598.38</v>
      </c>
    </row>
    <row r="32" spans="1:30">
      <c r="A32" s="380">
        <v>25</v>
      </c>
      <c r="B32" s="140" t="s">
        <v>138</v>
      </c>
      <c r="C32" s="141" t="s">
        <v>139</v>
      </c>
      <c r="D32" s="548"/>
      <c r="E32" s="556">
        <v>0</v>
      </c>
      <c r="F32" s="548">
        <v>0</v>
      </c>
      <c r="G32" s="557">
        <f t="shared" si="7"/>
        <v>0</v>
      </c>
      <c r="Z32" s="370">
        <f t="shared" si="8"/>
        <v>0</v>
      </c>
      <c r="AA32" s="370">
        <f t="shared" si="9"/>
        <v>0</v>
      </c>
    </row>
    <row r="33" spans="1:29">
      <c r="A33" s="683">
        <v>26</v>
      </c>
      <c r="B33" s="140" t="s">
        <v>140</v>
      </c>
      <c r="C33" s="141" t="s">
        <v>141</v>
      </c>
      <c r="D33" s="546"/>
      <c r="E33" s="547">
        <v>-56334340.969999999</v>
      </c>
      <c r="F33" s="548">
        <v>0</v>
      </c>
      <c r="G33" s="549">
        <f t="shared" si="7"/>
        <v>-56334340.969999999</v>
      </c>
      <c r="Z33" s="370">
        <f t="shared" si="8"/>
        <v>0</v>
      </c>
      <c r="AA33" s="370">
        <f t="shared" si="9"/>
        <v>-56334340.969999999</v>
      </c>
    </row>
    <row r="34" spans="1:29">
      <c r="A34" s="380">
        <v>27</v>
      </c>
      <c r="B34" s="140" t="s">
        <v>142</v>
      </c>
      <c r="C34" s="141" t="s">
        <v>143</v>
      </c>
      <c r="D34" s="546"/>
      <c r="E34" s="547">
        <v>6419366.4000000004</v>
      </c>
      <c r="F34" s="548">
        <v>0</v>
      </c>
      <c r="G34" s="549">
        <f t="shared" si="7"/>
        <v>6419366.4000000004</v>
      </c>
      <c r="Z34" s="370">
        <f t="shared" si="8"/>
        <v>0</v>
      </c>
      <c r="AA34" s="370">
        <f t="shared" si="9"/>
        <v>6419366.4000000004</v>
      </c>
    </row>
    <row r="35" spans="1:29">
      <c r="A35" s="683">
        <v>28</v>
      </c>
      <c r="B35" s="140" t="s">
        <v>144</v>
      </c>
      <c r="C35" s="141" t="s">
        <v>145</v>
      </c>
      <c r="D35" s="546"/>
      <c r="E35" s="547">
        <v>-8003476.1100000003</v>
      </c>
      <c r="F35" s="548">
        <v>0</v>
      </c>
      <c r="G35" s="549">
        <f t="shared" si="7"/>
        <v>-8003476.1100000003</v>
      </c>
      <c r="Z35" s="370">
        <f t="shared" si="8"/>
        <v>0</v>
      </c>
      <c r="AA35" s="370">
        <f t="shared" si="9"/>
        <v>-8003476.1100000003</v>
      </c>
    </row>
    <row r="36" spans="1:29">
      <c r="A36" s="380">
        <v>29</v>
      </c>
      <c r="B36" s="140" t="s">
        <v>146</v>
      </c>
      <c r="C36" s="141" t="s">
        <v>147</v>
      </c>
      <c r="D36" s="546"/>
      <c r="E36" s="547">
        <v>-70308.52</v>
      </c>
      <c r="F36" s="548">
        <v>0</v>
      </c>
      <c r="G36" s="549">
        <f t="shared" si="7"/>
        <v>-70308.52</v>
      </c>
      <c r="Z36" s="370">
        <f t="shared" si="8"/>
        <v>0</v>
      </c>
      <c r="AA36" s="370">
        <f t="shared" si="9"/>
        <v>-70308.52</v>
      </c>
    </row>
    <row r="37" spans="1:29">
      <c r="A37" s="683">
        <v>30</v>
      </c>
      <c r="B37" s="142" t="s">
        <v>148</v>
      </c>
      <c r="C37" s="139"/>
      <c r="D37" s="550"/>
      <c r="E37" s="752">
        <f t="shared" ref="E37:W37" si="10">SUM(E31:E36)</f>
        <v>125165839.18000001</v>
      </c>
      <c r="F37" s="551">
        <f t="shared" si="10"/>
        <v>0</v>
      </c>
      <c r="G37" s="552">
        <f t="shared" si="10"/>
        <v>125165839.18000001</v>
      </c>
      <c r="I37" s="552">
        <f t="shared" si="10"/>
        <v>0</v>
      </c>
      <c r="J37" s="552">
        <f t="shared" si="10"/>
        <v>0</v>
      </c>
      <c r="K37" s="241">
        <f>SUM(K31:K36)</f>
        <v>0</v>
      </c>
      <c r="L37" s="552">
        <f t="shared" si="10"/>
        <v>0</v>
      </c>
      <c r="M37" s="552">
        <f t="shared" ref="M37:S37" si="11">SUM(M31:M36)</f>
        <v>0</v>
      </c>
      <c r="N37" s="552">
        <f t="shared" si="11"/>
        <v>0</v>
      </c>
      <c r="O37" s="552">
        <f t="shared" si="11"/>
        <v>0</v>
      </c>
      <c r="P37" s="552">
        <f t="shared" si="11"/>
        <v>0</v>
      </c>
      <c r="Q37" s="552">
        <f t="shared" si="11"/>
        <v>0</v>
      </c>
      <c r="R37" s="552">
        <f t="shared" si="11"/>
        <v>0</v>
      </c>
      <c r="S37" s="552">
        <f t="shared" si="11"/>
        <v>0</v>
      </c>
      <c r="T37" s="552">
        <f t="shared" si="10"/>
        <v>0</v>
      </c>
      <c r="U37" s="552">
        <f t="shared" si="10"/>
        <v>0</v>
      </c>
      <c r="V37" s="552">
        <f t="shared" si="10"/>
        <v>0</v>
      </c>
      <c r="W37" s="553">
        <f t="shared" si="10"/>
        <v>0</v>
      </c>
      <c r="X37" s="552">
        <f>SUM(X31:X36)</f>
        <v>0</v>
      </c>
      <c r="Y37" s="552">
        <f>SUM(Y31:Y36)</f>
        <v>0</v>
      </c>
      <c r="Z37" s="552">
        <f>SUM(Z31:Z36)</f>
        <v>0</v>
      </c>
      <c r="AA37" s="552">
        <f>SUM(AA31:AA36)</f>
        <v>125165839.18000001</v>
      </c>
      <c r="AC37" s="365">
        <f>AA37-'Exh 6, ROO Summary'!Q17</f>
        <v>0</v>
      </c>
    </row>
    <row r="38" spans="1:29">
      <c r="A38" s="380">
        <v>31</v>
      </c>
      <c r="B38" s="138"/>
      <c r="C38" s="139"/>
      <c r="D38" s="546"/>
      <c r="E38" s="547"/>
      <c r="F38" s="546"/>
      <c r="G38" s="549"/>
    </row>
    <row r="39" spans="1:29">
      <c r="A39" s="683">
        <v>32</v>
      </c>
      <c r="B39" s="142" t="s">
        <v>149</v>
      </c>
      <c r="C39" s="139"/>
      <c r="D39" s="546"/>
      <c r="E39" s="547"/>
      <c r="F39" s="546"/>
      <c r="G39" s="549"/>
    </row>
    <row r="40" spans="1:29">
      <c r="A40" s="380">
        <v>33</v>
      </c>
      <c r="B40" s="140" t="s">
        <v>150</v>
      </c>
      <c r="C40" s="141" t="s">
        <v>151</v>
      </c>
      <c r="D40" s="548"/>
      <c r="E40" s="556">
        <v>0</v>
      </c>
      <c r="F40" s="548">
        <v>0</v>
      </c>
      <c r="G40" s="557">
        <v>0</v>
      </c>
      <c r="Z40" s="370">
        <f t="shared" ref="Z40:Z50" si="12">SUM(I40:Y40)</f>
        <v>0</v>
      </c>
      <c r="AA40" s="370">
        <f t="shared" ref="AA40:AA50" si="13">+G40+Z40</f>
        <v>0</v>
      </c>
    </row>
    <row r="41" spans="1:29">
      <c r="A41" s="683">
        <v>34</v>
      </c>
      <c r="B41" s="140" t="s">
        <v>152</v>
      </c>
      <c r="C41" s="141" t="s">
        <v>153</v>
      </c>
      <c r="D41" s="548"/>
      <c r="E41" s="556">
        <v>0</v>
      </c>
      <c r="F41" s="548">
        <v>0</v>
      </c>
      <c r="G41" s="557">
        <v>0</v>
      </c>
      <c r="Z41" s="370">
        <f t="shared" si="12"/>
        <v>0</v>
      </c>
      <c r="AA41" s="370">
        <f t="shared" si="13"/>
        <v>0</v>
      </c>
    </row>
    <row r="42" spans="1:29">
      <c r="A42" s="380">
        <v>35</v>
      </c>
      <c r="B42" s="140" t="s">
        <v>154</v>
      </c>
      <c r="C42" s="141" t="s">
        <v>155</v>
      </c>
      <c r="D42" s="548"/>
      <c r="E42" s="556">
        <v>0</v>
      </c>
      <c r="F42" s="548">
        <v>0</v>
      </c>
      <c r="G42" s="557">
        <v>0</v>
      </c>
      <c r="Z42" s="370">
        <f t="shared" si="12"/>
        <v>0</v>
      </c>
      <c r="AA42" s="370">
        <f t="shared" si="13"/>
        <v>0</v>
      </c>
    </row>
    <row r="43" spans="1:29">
      <c r="A43" s="683">
        <v>36</v>
      </c>
      <c r="B43" s="140" t="s">
        <v>156</v>
      </c>
      <c r="C43" s="141" t="s">
        <v>157</v>
      </c>
      <c r="D43" s="548"/>
      <c r="E43" s="556">
        <v>0</v>
      </c>
      <c r="F43" s="548">
        <v>0</v>
      </c>
      <c r="G43" s="557">
        <v>0</v>
      </c>
      <c r="Z43" s="370">
        <f t="shared" si="12"/>
        <v>0</v>
      </c>
      <c r="AA43" s="370">
        <f t="shared" si="13"/>
        <v>0</v>
      </c>
    </row>
    <row r="44" spans="1:29">
      <c r="A44" s="380">
        <v>37</v>
      </c>
      <c r="B44" s="140" t="s">
        <v>158</v>
      </c>
      <c r="C44" s="141" t="s">
        <v>159</v>
      </c>
      <c r="D44" s="548"/>
      <c r="E44" s="556">
        <v>0</v>
      </c>
      <c r="F44" s="548">
        <v>0</v>
      </c>
      <c r="G44" s="557">
        <v>0</v>
      </c>
      <c r="Z44" s="370">
        <f t="shared" si="12"/>
        <v>0</v>
      </c>
      <c r="AA44" s="370">
        <f t="shared" si="13"/>
        <v>0</v>
      </c>
    </row>
    <row r="45" spans="1:29">
      <c r="A45" s="683">
        <v>38</v>
      </c>
      <c r="B45" s="140" t="s">
        <v>160</v>
      </c>
      <c r="C45" s="141" t="s">
        <v>161</v>
      </c>
      <c r="D45" s="548"/>
      <c r="E45" s="556">
        <v>0</v>
      </c>
      <c r="F45" s="548">
        <v>0</v>
      </c>
      <c r="G45" s="557">
        <v>0</v>
      </c>
      <c r="Z45" s="370">
        <f t="shared" si="12"/>
        <v>0</v>
      </c>
      <c r="AA45" s="370">
        <f t="shared" si="13"/>
        <v>0</v>
      </c>
    </row>
    <row r="46" spans="1:29">
      <c r="A46" s="380">
        <v>39</v>
      </c>
      <c r="B46" s="140" t="s">
        <v>162</v>
      </c>
      <c r="C46" s="141" t="s">
        <v>163</v>
      </c>
      <c r="D46" s="548"/>
      <c r="E46" s="562">
        <v>0</v>
      </c>
      <c r="F46" s="548">
        <v>0</v>
      </c>
      <c r="G46" s="557">
        <v>0</v>
      </c>
      <c r="Z46" s="370">
        <f t="shared" si="12"/>
        <v>0</v>
      </c>
      <c r="AA46" s="370">
        <f t="shared" si="13"/>
        <v>0</v>
      </c>
    </row>
    <row r="47" spans="1:29">
      <c r="A47" s="683">
        <v>40</v>
      </c>
      <c r="B47" s="140" t="s">
        <v>164</v>
      </c>
      <c r="C47" s="141" t="s">
        <v>165</v>
      </c>
      <c r="D47" s="548"/>
      <c r="E47" s="556">
        <v>0</v>
      </c>
      <c r="F47" s="548">
        <v>0</v>
      </c>
      <c r="G47" s="557">
        <v>0</v>
      </c>
      <c r="Z47" s="370">
        <f t="shared" si="12"/>
        <v>0</v>
      </c>
      <c r="AA47" s="370">
        <f t="shared" si="13"/>
        <v>0</v>
      </c>
    </row>
    <row r="48" spans="1:29">
      <c r="A48" s="380">
        <v>41</v>
      </c>
      <c r="B48" s="140" t="s">
        <v>166</v>
      </c>
      <c r="C48" s="141" t="s">
        <v>167</v>
      </c>
      <c r="D48" s="548"/>
      <c r="E48" s="556">
        <v>0</v>
      </c>
      <c r="F48" s="548">
        <v>0</v>
      </c>
      <c r="G48" s="557">
        <v>0</v>
      </c>
      <c r="Z48" s="370">
        <f t="shared" si="12"/>
        <v>0</v>
      </c>
      <c r="AA48" s="370">
        <f t="shared" si="13"/>
        <v>0</v>
      </c>
    </row>
    <row r="49" spans="1:29">
      <c r="A49" s="683">
        <v>42</v>
      </c>
      <c r="B49" s="140" t="s">
        <v>168</v>
      </c>
      <c r="C49" s="141" t="s">
        <v>169</v>
      </c>
      <c r="D49" s="548"/>
      <c r="E49" s="556">
        <v>0</v>
      </c>
      <c r="F49" s="548">
        <v>0</v>
      </c>
      <c r="G49" s="557">
        <v>0</v>
      </c>
      <c r="Z49" s="370">
        <f t="shared" si="12"/>
        <v>0</v>
      </c>
      <c r="AA49" s="370">
        <f t="shared" si="13"/>
        <v>0</v>
      </c>
    </row>
    <row r="50" spans="1:29">
      <c r="A50" s="380">
        <v>43</v>
      </c>
      <c r="B50" s="140" t="s">
        <v>170</v>
      </c>
      <c r="C50" s="141" t="s">
        <v>171</v>
      </c>
      <c r="D50" s="548"/>
      <c r="E50" s="556">
        <v>0</v>
      </c>
      <c r="F50" s="548">
        <v>0</v>
      </c>
      <c r="G50" s="557">
        <v>0</v>
      </c>
      <c r="Z50" s="370">
        <f t="shared" si="12"/>
        <v>0</v>
      </c>
      <c r="AA50" s="370">
        <f t="shared" si="13"/>
        <v>0</v>
      </c>
    </row>
    <row r="51" spans="1:29">
      <c r="A51" s="683">
        <v>44</v>
      </c>
      <c r="B51" s="142" t="s">
        <v>172</v>
      </c>
      <c r="C51" s="563"/>
      <c r="D51" s="551"/>
      <c r="E51" s="564">
        <f>SUM(E40:E50)</f>
        <v>0</v>
      </c>
      <c r="F51" s="551">
        <f>SUM(F40:F50)</f>
        <v>0</v>
      </c>
      <c r="G51" s="241">
        <f>SUM(G40:G50)</f>
        <v>0</v>
      </c>
      <c r="I51" s="552">
        <f t="shared" ref="I51:W51" si="14">SUM(I40:I50)</f>
        <v>0</v>
      </c>
      <c r="J51" s="552">
        <f t="shared" si="14"/>
        <v>0</v>
      </c>
      <c r="K51" s="241">
        <f>SUM(K40:K50)</f>
        <v>0</v>
      </c>
      <c r="L51" s="552">
        <f t="shared" si="14"/>
        <v>0</v>
      </c>
      <c r="M51" s="552">
        <f t="shared" ref="M51:S51" si="15">SUM(M40:M50)</f>
        <v>0</v>
      </c>
      <c r="N51" s="552">
        <f t="shared" si="15"/>
        <v>0</v>
      </c>
      <c r="O51" s="552">
        <f t="shared" si="15"/>
        <v>0</v>
      </c>
      <c r="P51" s="552">
        <f t="shared" si="15"/>
        <v>0</v>
      </c>
      <c r="Q51" s="552">
        <f t="shared" si="15"/>
        <v>0</v>
      </c>
      <c r="R51" s="552">
        <f t="shared" si="15"/>
        <v>0</v>
      </c>
      <c r="S51" s="552">
        <f t="shared" si="15"/>
        <v>0</v>
      </c>
      <c r="T51" s="552">
        <f t="shared" si="14"/>
        <v>0</v>
      </c>
      <c r="U51" s="552">
        <f t="shared" si="14"/>
        <v>0</v>
      </c>
      <c r="V51" s="552">
        <f t="shared" si="14"/>
        <v>0</v>
      </c>
      <c r="W51" s="553">
        <f t="shared" si="14"/>
        <v>0</v>
      </c>
      <c r="X51" s="241"/>
      <c r="Y51" s="241"/>
      <c r="Z51" s="241">
        <f>SUM(Z40:Z50)</f>
        <v>0</v>
      </c>
      <c r="AA51" s="241">
        <f>SUM(AA40:AA50)</f>
        <v>0</v>
      </c>
    </row>
    <row r="52" spans="1:29">
      <c r="A52" s="380">
        <v>45</v>
      </c>
      <c r="B52" s="138"/>
      <c r="C52" s="139"/>
      <c r="D52" s="546"/>
      <c r="E52" s="547"/>
      <c r="F52" s="546"/>
      <c r="G52" s="549"/>
      <c r="I52" s="549"/>
      <c r="J52" s="549"/>
      <c r="K52" s="557"/>
      <c r="L52" s="549"/>
      <c r="M52" s="549"/>
      <c r="N52" s="549"/>
      <c r="O52" s="549"/>
      <c r="P52" s="549"/>
      <c r="Q52" s="549"/>
      <c r="R52" s="549"/>
      <c r="S52" s="549"/>
      <c r="T52" s="549"/>
      <c r="U52" s="549"/>
      <c r="V52" s="549"/>
      <c r="W52" s="565"/>
      <c r="X52" s="549"/>
      <c r="Y52" s="549"/>
      <c r="Z52" s="549"/>
      <c r="AA52" s="549"/>
    </row>
    <row r="53" spans="1:29">
      <c r="A53" s="683">
        <v>46</v>
      </c>
      <c r="B53" s="140" t="s">
        <v>173</v>
      </c>
      <c r="C53" s="141" t="s">
        <v>26</v>
      </c>
      <c r="D53" s="367"/>
      <c r="E53" s="755">
        <v>20632282.93</v>
      </c>
      <c r="F53" s="756">
        <v>0</v>
      </c>
      <c r="G53" s="566">
        <f>SUM(E53:F53)</f>
        <v>20632282.93</v>
      </c>
      <c r="I53" s="624">
        <f>+I28*(+'Exh 8, Conversion Factor'!C9+'Exh 8, Conversion Factor'!C10)</f>
        <v>-118045.45728</v>
      </c>
      <c r="J53" s="624">
        <f>+J28*(+'Exh 8, Conversion Factor'!B9+'Exh 8, Conversion Factor'!B10)</f>
        <v>0</v>
      </c>
      <c r="K53" s="624">
        <f>+K28*(+'Exh 8, Conversion Factor'!C9+'Exh 8, Conversion Factor'!C10)</f>
        <v>604670.88980474416</v>
      </c>
      <c r="L53" s="624">
        <f>+L28*(+'Exh 8, Conversion Factor'!$C$9+'Exh 8, Conversion Factor'!$C$10)</f>
        <v>37411.924531025557</v>
      </c>
      <c r="M53" s="624">
        <f>+M28*(+'Exh 8, Conversion Factor'!$C$9+'Exh 8, Conversion Factor'!$C$10)</f>
        <v>0</v>
      </c>
      <c r="N53" s="624">
        <f>+N28*(+'Exh 8, Conversion Factor'!$C$9+'Exh 8, Conversion Factor'!$C$10)</f>
        <v>0</v>
      </c>
      <c r="O53" s="624">
        <f>+O28*(+'Exh 8, Conversion Factor'!$C$9+'Exh 8, Conversion Factor'!$C$10)</f>
        <v>16461.047399999999</v>
      </c>
      <c r="P53" s="624">
        <f>+P28*(+'Exh 8, Conversion Factor'!$C$9+'Exh 8, Conversion Factor'!$C$10)</f>
        <v>0</v>
      </c>
      <c r="Q53" s="624">
        <f>+Q28*(+'Exh 8, Conversion Factor'!$C$9+'Exh 8, Conversion Factor'!$C$10)</f>
        <v>0</v>
      </c>
      <c r="R53" s="624">
        <f>+R28*(+'Exh 8, Conversion Factor'!$C$9+'Exh 8, Conversion Factor'!$C$10)</f>
        <v>0</v>
      </c>
      <c r="S53" s="624">
        <f>+S28*(+'Exh 8, Conversion Factor'!$C$9+'Exh 8, Conversion Factor'!$C$10)</f>
        <v>0</v>
      </c>
      <c r="T53" s="624">
        <f>+T28*(+'Exh 8, Conversion Factor'!$C$9+'Exh 8, Conversion Factor'!$C$10)</f>
        <v>0</v>
      </c>
      <c r="U53" s="624">
        <f>+U28*(+'Exh 8, Conversion Factor'!$C$9+'Exh 8, Conversion Factor'!$C$10)</f>
        <v>0</v>
      </c>
      <c r="V53" s="624">
        <f>+V28*(+'Exh 8, Conversion Factor'!$C$9+'Exh 8, Conversion Factor'!$C$10)</f>
        <v>0</v>
      </c>
      <c r="W53" s="567">
        <v>0</v>
      </c>
      <c r="X53" s="566"/>
      <c r="Y53" s="566"/>
      <c r="Z53" s="629">
        <f>SUM(I53:Y53)</f>
        <v>540498.40445576981</v>
      </c>
      <c r="AA53" s="630">
        <f>+G53+Z53</f>
        <v>21172781.33445577</v>
      </c>
      <c r="AC53" s="370">
        <f>AA53-'Exh 6, ROO Summary'!Q18</f>
        <v>0</v>
      </c>
    </row>
    <row r="54" spans="1:29" ht="16.2" thickBot="1">
      <c r="A54" s="380">
        <v>47</v>
      </c>
      <c r="B54" s="142" t="s">
        <v>174</v>
      </c>
      <c r="C54" s="139"/>
      <c r="D54" s="559"/>
      <c r="E54" s="754">
        <f>E28-E37-E53</f>
        <v>101398753.37999997</v>
      </c>
      <c r="F54" s="757">
        <f>F28-F37-F53</f>
        <v>128113.94</v>
      </c>
      <c r="G54" s="560">
        <f>G28-G37-G53</f>
        <v>101526867.31999996</v>
      </c>
      <c r="I54" s="560">
        <f t="shared" ref="I54:AA54" si="16">I28-I37-I53</f>
        <v>-2795218.5427199998</v>
      </c>
      <c r="J54" s="560">
        <f t="shared" si="16"/>
        <v>0</v>
      </c>
      <c r="K54" s="623">
        <f t="shared" si="16"/>
        <v>14318105.265297528</v>
      </c>
      <c r="L54" s="560">
        <f t="shared" si="16"/>
        <v>885883.35017345508</v>
      </c>
      <c r="M54" s="560">
        <f t="shared" si="16"/>
        <v>0</v>
      </c>
      <c r="N54" s="560">
        <f t="shared" si="16"/>
        <v>0</v>
      </c>
      <c r="O54" s="560">
        <f t="shared" si="16"/>
        <v>389783.95260000002</v>
      </c>
      <c r="P54" s="560">
        <f t="shared" si="16"/>
        <v>0</v>
      </c>
      <c r="Q54" s="560">
        <f t="shared" si="16"/>
        <v>0</v>
      </c>
      <c r="R54" s="560">
        <f t="shared" si="16"/>
        <v>0</v>
      </c>
      <c r="S54" s="560">
        <f t="shared" si="16"/>
        <v>0</v>
      </c>
      <c r="T54" s="560">
        <f t="shared" si="16"/>
        <v>0</v>
      </c>
      <c r="U54" s="560">
        <f t="shared" si="16"/>
        <v>0</v>
      </c>
      <c r="V54" s="560">
        <f t="shared" si="16"/>
        <v>0</v>
      </c>
      <c r="W54" s="561">
        <f t="shared" si="16"/>
        <v>0</v>
      </c>
      <c r="X54" s="560">
        <f t="shared" si="16"/>
        <v>0</v>
      </c>
      <c r="Y54" s="560">
        <f t="shared" si="16"/>
        <v>0</v>
      </c>
      <c r="Z54" s="560">
        <f t="shared" si="16"/>
        <v>12798554.025350984</v>
      </c>
      <c r="AA54" s="560">
        <f t="shared" si="16"/>
        <v>114325421.34535097</v>
      </c>
    </row>
    <row r="55" spans="1:29" ht="16.2" thickTop="1">
      <c r="A55" s="683">
        <v>48</v>
      </c>
      <c r="B55" s="138"/>
      <c r="C55" s="139"/>
      <c r="D55" s="546"/>
      <c r="E55" s="547"/>
      <c r="F55" s="546"/>
      <c r="G55" s="549"/>
    </row>
    <row r="56" spans="1:29">
      <c r="A56" s="380">
        <v>49</v>
      </c>
      <c r="B56" s="142" t="s">
        <v>175</v>
      </c>
      <c r="C56" s="139"/>
      <c r="D56" s="546"/>
      <c r="E56" s="547"/>
      <c r="F56" s="546"/>
      <c r="G56" s="549"/>
    </row>
    <row r="57" spans="1:29">
      <c r="A57" s="683">
        <v>50</v>
      </c>
      <c r="B57" s="568">
        <v>813</v>
      </c>
      <c r="C57" s="141" t="s">
        <v>176</v>
      </c>
      <c r="D57" s="546"/>
      <c r="E57" s="556">
        <v>3448.67</v>
      </c>
      <c r="F57" s="548">
        <v>316579.44</v>
      </c>
      <c r="G57" s="549">
        <f>SUM(E57:F57)</f>
        <v>320028.11</v>
      </c>
      <c r="M57" s="357"/>
      <c r="U57" s="357">
        <f>+'Restate &amp; Pro Forma Wage Adjust'!Q20+'Restate &amp; Pro Forma Wage Adjust'!Q21</f>
        <v>5778.6633749999992</v>
      </c>
      <c r="Z57" s="370">
        <f>SUM(I57:Y57)</f>
        <v>5778.6633749999992</v>
      </c>
      <c r="AA57" s="370">
        <f>+G57+Z57</f>
        <v>325806.77337499999</v>
      </c>
      <c r="AC57" s="370">
        <f>AA57-'Exh 6, ROO Summary'!Q19</f>
        <v>0</v>
      </c>
    </row>
    <row r="58" spans="1:29">
      <c r="A58" s="380">
        <v>51</v>
      </c>
      <c r="B58" s="568"/>
      <c r="C58" s="141"/>
      <c r="D58" s="546"/>
      <c r="E58" s="556"/>
      <c r="F58" s="548"/>
      <c r="G58" s="549"/>
    </row>
    <row r="59" spans="1:29">
      <c r="A59" s="683">
        <v>52</v>
      </c>
      <c r="B59" s="142" t="s">
        <v>177</v>
      </c>
      <c r="C59" s="139"/>
      <c r="D59" s="546"/>
      <c r="E59" s="547"/>
      <c r="F59" s="546"/>
      <c r="G59" s="549"/>
    </row>
    <row r="60" spans="1:29">
      <c r="A60" s="380">
        <v>53</v>
      </c>
      <c r="B60" s="142" t="s">
        <v>178</v>
      </c>
      <c r="C60" s="139"/>
      <c r="D60" s="546"/>
      <c r="E60" s="547"/>
      <c r="F60" s="546"/>
      <c r="G60" s="549"/>
    </row>
    <row r="61" spans="1:29">
      <c r="A61" s="683">
        <v>54</v>
      </c>
      <c r="B61" s="140" t="s">
        <v>179</v>
      </c>
      <c r="C61" s="141" t="s">
        <v>180</v>
      </c>
      <c r="D61" s="546"/>
      <c r="E61" s="556">
        <v>1157305.51</v>
      </c>
      <c r="F61" s="548">
        <v>907290.82</v>
      </c>
      <c r="G61" s="549">
        <f t="shared" ref="G61:G71" si="17">SUM(E61:F61)</f>
        <v>2064596.33</v>
      </c>
      <c r="M61" s="357">
        <f>+'Restate &amp; Pro Forma Wage Adjust'!P44</f>
        <v>0</v>
      </c>
      <c r="U61" s="357">
        <f>+'Restate &amp; Pro Forma Wage Adjust'!Q22+'Restate &amp; Pro Forma Wage Adjust'!Q44</f>
        <v>59711.780679999996</v>
      </c>
      <c r="W61" s="534">
        <f>'MAOP UG-160787 Deferral'!F16</f>
        <v>800404.5149999999</v>
      </c>
      <c r="Z61" s="370">
        <f>SUM(I61:Y61)</f>
        <v>860116.29567999986</v>
      </c>
      <c r="AA61" s="370">
        <f>+G61+Z61</f>
        <v>2924712.6256800001</v>
      </c>
    </row>
    <row r="62" spans="1:29">
      <c r="A62" s="380">
        <v>55</v>
      </c>
      <c r="B62" s="140" t="s">
        <v>181</v>
      </c>
      <c r="C62" s="141" t="s">
        <v>182</v>
      </c>
      <c r="D62" s="546"/>
      <c r="E62" s="556">
        <v>65379.199999999997</v>
      </c>
      <c r="F62" s="548">
        <v>238694.68</v>
      </c>
      <c r="G62" s="549">
        <f t="shared" si="17"/>
        <v>304073.88</v>
      </c>
      <c r="M62" s="357">
        <f>+'Restate &amp; Pro Forma Wage Adjust'!P23+'Restate &amp; Pro Forma Wage Adjust'!P45</f>
        <v>581.33039999999994</v>
      </c>
      <c r="U62" s="357">
        <f>+'Restate &amp; Pro Forma Wage Adjust'!Q23+'Restate &amp; Pro Forma Wage Adjust'!Q45</f>
        <v>8805.5314920000001</v>
      </c>
      <c r="Z62" s="370">
        <f t="shared" ref="Z62:Z71" si="18">SUM(I62:Y62)</f>
        <v>9386.8618920000008</v>
      </c>
      <c r="AA62" s="370">
        <f t="shared" ref="AA62:AA71" si="19">+G62+Z62</f>
        <v>313460.74189200002</v>
      </c>
    </row>
    <row r="63" spans="1:29">
      <c r="A63" s="683">
        <v>56</v>
      </c>
      <c r="B63" s="555" t="s">
        <v>183</v>
      </c>
      <c r="C63" s="141" t="s">
        <v>184</v>
      </c>
      <c r="D63" s="548"/>
      <c r="E63" s="556">
        <v>37041.43</v>
      </c>
      <c r="F63" s="548">
        <v>0</v>
      </c>
      <c r="G63" s="549">
        <f t="shared" si="17"/>
        <v>37041.43</v>
      </c>
      <c r="M63" s="357">
        <f>+'Restate &amp; Pro Forma Wage Adjust'!P46</f>
        <v>143.70779999999999</v>
      </c>
      <c r="U63" s="357">
        <f>+'Restate &amp; Pro Forma Wage Adjust'!Q46</f>
        <v>658.44473400000004</v>
      </c>
      <c r="Z63" s="370">
        <f t="shared" si="18"/>
        <v>802.15253400000006</v>
      </c>
      <c r="AA63" s="370">
        <f t="shared" si="19"/>
        <v>37843.582534000001</v>
      </c>
    </row>
    <row r="64" spans="1:29">
      <c r="A64" s="380">
        <v>57</v>
      </c>
      <c r="B64" s="555" t="s">
        <v>185</v>
      </c>
      <c r="C64" s="141" t="s">
        <v>186</v>
      </c>
      <c r="D64" s="546"/>
      <c r="E64" s="556">
        <v>3541583.32</v>
      </c>
      <c r="F64" s="548">
        <v>539375.5</v>
      </c>
      <c r="G64" s="549">
        <f t="shared" si="17"/>
        <v>4080958.82</v>
      </c>
      <c r="M64" s="357">
        <f>+'Restate &amp; Pro Forma Wage Adjust'!P47</f>
        <v>15578.269799999998</v>
      </c>
      <c r="U64" s="357">
        <f>+'Restate &amp; Pro Forma Wage Adjust'!Q24+'Restate &amp; Pro Forma Wage Adjust'!Q47</f>
        <v>76276.004338999992</v>
      </c>
      <c r="X64" s="357"/>
      <c r="Z64" s="370">
        <f t="shared" si="18"/>
        <v>91854.274138999986</v>
      </c>
      <c r="AA64" s="370">
        <f t="shared" si="19"/>
        <v>4172813.0941389999</v>
      </c>
    </row>
    <row r="65" spans="1:29">
      <c r="A65" s="683">
        <v>58</v>
      </c>
      <c r="B65" s="140" t="s">
        <v>187</v>
      </c>
      <c r="C65" s="141" t="s">
        <v>188</v>
      </c>
      <c r="D65" s="546"/>
      <c r="E65" s="556">
        <v>315954.13</v>
      </c>
      <c r="F65" s="548">
        <v>88265.32</v>
      </c>
      <c r="G65" s="549">
        <f t="shared" si="17"/>
        <v>404219.45</v>
      </c>
      <c r="M65" s="357">
        <f>+'Restate &amp; Pro Forma Wage Adjust'!P48</f>
        <v>1505.0943</v>
      </c>
      <c r="U65" s="357">
        <f>+'Restate &amp; Pro Forma Wage Adjust'!Q48+'Restate &amp; Pro Forma Wage Adjust'!Q25</f>
        <v>5044.1779289999995</v>
      </c>
      <c r="Z65" s="370">
        <f t="shared" si="18"/>
        <v>6549.2722289999992</v>
      </c>
      <c r="AA65" s="370">
        <f t="shared" si="19"/>
        <v>410768.72222900001</v>
      </c>
    </row>
    <row r="66" spans="1:29">
      <c r="A66" s="380">
        <v>59</v>
      </c>
      <c r="B66" s="140" t="s">
        <v>189</v>
      </c>
      <c r="C66" s="141" t="s">
        <v>190</v>
      </c>
      <c r="D66" s="546"/>
      <c r="E66" s="556">
        <v>123534.78</v>
      </c>
      <c r="F66" s="548">
        <v>3380.28</v>
      </c>
      <c r="G66" s="549">
        <f t="shared" si="17"/>
        <v>126915.06</v>
      </c>
      <c r="M66" s="357">
        <f>+'Restate &amp; Pro Forma Wage Adjust'!P49</f>
        <v>704.02289999999994</v>
      </c>
      <c r="U66" s="357">
        <f>+'Restate &amp; Pro Forma Wage Adjust'!Q49</f>
        <v>2639.4168869999994</v>
      </c>
      <c r="Z66" s="370">
        <f t="shared" si="18"/>
        <v>3343.4397869999993</v>
      </c>
      <c r="AA66" s="370">
        <f t="shared" si="19"/>
        <v>130258.49978699999</v>
      </c>
    </row>
    <row r="67" spans="1:29">
      <c r="A67" s="683">
        <v>60</v>
      </c>
      <c r="B67" s="140" t="s">
        <v>191</v>
      </c>
      <c r="C67" s="141" t="s">
        <v>192</v>
      </c>
      <c r="D67" s="546"/>
      <c r="E67" s="556">
        <v>1097839.44</v>
      </c>
      <c r="F67" s="548">
        <v>0</v>
      </c>
      <c r="G67" s="549">
        <f t="shared" si="17"/>
        <v>1097839.44</v>
      </c>
      <c r="M67" s="357">
        <f>+'Restate &amp; Pro Forma Wage Adjust'!P50</f>
        <v>6893.2955999999995</v>
      </c>
      <c r="U67" s="357">
        <f>+'Restate &amp; Pro Forma Wage Adjust'!Q50</f>
        <v>27665.593667999998</v>
      </c>
      <c r="Z67" s="370">
        <f t="shared" si="18"/>
        <v>34558.889267999999</v>
      </c>
      <c r="AA67" s="370">
        <f t="shared" si="19"/>
        <v>1132398.3292679999</v>
      </c>
    </row>
    <row r="68" spans="1:29">
      <c r="A68" s="380">
        <v>61</v>
      </c>
      <c r="B68" s="140" t="s">
        <v>193</v>
      </c>
      <c r="C68" s="141" t="s">
        <v>194</v>
      </c>
      <c r="D68" s="546"/>
      <c r="E68" s="556">
        <v>674150</v>
      </c>
      <c r="F68" s="548">
        <v>0</v>
      </c>
      <c r="G68" s="549">
        <f t="shared" si="17"/>
        <v>674150</v>
      </c>
      <c r="M68" s="357">
        <f>+'Restate &amp; Pro Forma Wage Adjust'!P51</f>
        <v>5388.3848999999991</v>
      </c>
      <c r="U68" s="357">
        <f>+'Restate &amp; Pro Forma Wage Adjust'!Q51</f>
        <v>18622.761746999997</v>
      </c>
      <c r="Z68" s="370">
        <f t="shared" si="18"/>
        <v>24011.146646999994</v>
      </c>
      <c r="AA68" s="370">
        <f t="shared" si="19"/>
        <v>698161.14664699999</v>
      </c>
    </row>
    <row r="69" spans="1:29">
      <c r="A69" s="683">
        <v>62</v>
      </c>
      <c r="B69" s="140" t="s">
        <v>195</v>
      </c>
      <c r="C69" s="141" t="s">
        <v>196</v>
      </c>
      <c r="D69" s="546"/>
      <c r="E69" s="556">
        <v>3966282.22</v>
      </c>
      <c r="F69" s="548">
        <v>830916.13</v>
      </c>
      <c r="G69" s="549">
        <f t="shared" si="17"/>
        <v>4797198.3500000006</v>
      </c>
      <c r="M69" s="357">
        <f>+'Restate &amp; Pro Forma Wage Adjust'!P52</f>
        <v>21196.826700000001</v>
      </c>
      <c r="U69" s="357">
        <f>+'Restate &amp; Pro Forma Wage Adjust'!Q26+'Restate &amp; Pro Forma Wage Adjust'!Q52</f>
        <v>91463.986665999997</v>
      </c>
      <c r="Z69" s="370">
        <f t="shared" si="18"/>
        <v>112660.813366</v>
      </c>
      <c r="AA69" s="370">
        <f t="shared" si="19"/>
        <v>4909859.1633660002</v>
      </c>
    </row>
    <row r="70" spans="1:29">
      <c r="A70" s="380">
        <v>63</v>
      </c>
      <c r="B70" s="140" t="s">
        <v>197</v>
      </c>
      <c r="C70" s="141" t="s">
        <v>198</v>
      </c>
      <c r="D70" s="546"/>
      <c r="E70" s="556">
        <v>101842.75</v>
      </c>
      <c r="F70" s="548">
        <v>3782.4</v>
      </c>
      <c r="G70" s="549">
        <f t="shared" si="17"/>
        <v>105625.15</v>
      </c>
      <c r="Z70" s="370">
        <f t="shared" si="18"/>
        <v>0</v>
      </c>
      <c r="AA70" s="370">
        <f>+G70+Z70</f>
        <v>105625.15</v>
      </c>
    </row>
    <row r="71" spans="1:29">
      <c r="A71" s="683">
        <v>64</v>
      </c>
      <c r="B71" s="140" t="s">
        <v>199</v>
      </c>
      <c r="C71" s="141" t="s">
        <v>200</v>
      </c>
      <c r="D71" s="548"/>
      <c r="E71" s="556">
        <v>0</v>
      </c>
      <c r="F71" s="548">
        <v>0</v>
      </c>
      <c r="G71" s="549">
        <f t="shared" si="17"/>
        <v>0</v>
      </c>
      <c r="Z71" s="370">
        <f t="shared" si="18"/>
        <v>0</v>
      </c>
      <c r="AA71" s="370">
        <f t="shared" si="19"/>
        <v>0</v>
      </c>
    </row>
    <row r="72" spans="1:29">
      <c r="A72" s="380">
        <v>65</v>
      </c>
      <c r="B72" s="138"/>
      <c r="C72" s="569" t="s">
        <v>201</v>
      </c>
      <c r="D72" s="550"/>
      <c r="E72" s="752">
        <f>SUM(E61:E71)</f>
        <v>11080912.780000001</v>
      </c>
      <c r="F72" s="550">
        <f>SUM(F61:F71)</f>
        <v>2611705.13</v>
      </c>
      <c r="G72" s="552">
        <f>SUM(G61:G71)</f>
        <v>13692617.910000002</v>
      </c>
      <c r="I72" s="552">
        <f>SUM(I61:I71)</f>
        <v>0</v>
      </c>
      <c r="J72" s="552">
        <f>SUM(J61:J71)</f>
        <v>0</v>
      </c>
      <c r="K72" s="241">
        <f>SUM(K61:K71)</f>
        <v>0</v>
      </c>
      <c r="L72" s="552">
        <f>SUM(L61:L71)</f>
        <v>0</v>
      </c>
      <c r="M72" s="719">
        <f>SUM(M61:M71)</f>
        <v>51990.932399999991</v>
      </c>
      <c r="N72" s="552">
        <f t="shared" ref="N72:T72" si="20">SUM(N61:N71)</f>
        <v>0</v>
      </c>
      <c r="O72" s="552">
        <f t="shared" si="20"/>
        <v>0</v>
      </c>
      <c r="P72" s="552">
        <f t="shared" si="20"/>
        <v>0</v>
      </c>
      <c r="Q72" s="552">
        <f t="shared" si="20"/>
        <v>0</v>
      </c>
      <c r="R72" s="552">
        <f t="shared" si="20"/>
        <v>0</v>
      </c>
      <c r="S72" s="552">
        <f t="shared" si="20"/>
        <v>0</v>
      </c>
      <c r="T72" s="552">
        <f t="shared" si="20"/>
        <v>0</v>
      </c>
      <c r="U72" s="719">
        <f t="shared" ref="U72:AA72" si="21">SUM(U61:U71)</f>
        <v>290887.69814199995</v>
      </c>
      <c r="V72" s="552">
        <f t="shared" si="21"/>
        <v>0</v>
      </c>
      <c r="W72" s="553">
        <f t="shared" si="21"/>
        <v>800404.5149999999</v>
      </c>
      <c r="X72" s="552">
        <f t="shared" si="21"/>
        <v>0</v>
      </c>
      <c r="Y72" s="552">
        <f t="shared" si="21"/>
        <v>0</v>
      </c>
      <c r="Z72" s="552">
        <f t="shared" si="21"/>
        <v>1143283.1455419997</v>
      </c>
      <c r="AA72" s="552">
        <f t="shared" si="21"/>
        <v>14835901.055542002</v>
      </c>
      <c r="AC72" s="365"/>
    </row>
    <row r="73" spans="1:29">
      <c r="A73" s="683">
        <v>66</v>
      </c>
      <c r="B73" s="138"/>
      <c r="C73" s="139"/>
      <c r="D73" s="546"/>
      <c r="E73" s="547"/>
      <c r="F73" s="546"/>
      <c r="G73" s="549"/>
      <c r="AC73" s="365"/>
    </row>
    <row r="74" spans="1:29">
      <c r="A74" s="380">
        <v>67</v>
      </c>
      <c r="B74" s="142" t="s">
        <v>202</v>
      </c>
      <c r="C74" s="139"/>
      <c r="D74" s="546"/>
      <c r="E74" s="547"/>
      <c r="F74" s="546"/>
      <c r="G74" s="549"/>
      <c r="AC74" s="365"/>
    </row>
    <row r="75" spans="1:29">
      <c r="A75" s="683">
        <v>68</v>
      </c>
      <c r="B75" s="140" t="s">
        <v>203</v>
      </c>
      <c r="C75" s="141" t="s">
        <v>204</v>
      </c>
      <c r="D75" s="548"/>
      <c r="E75" s="556">
        <v>892055.92999999993</v>
      </c>
      <c r="F75" s="548">
        <v>208638.59</v>
      </c>
      <c r="G75" s="557">
        <f t="shared" ref="G75:G83" si="22">SUM(E75:F75)</f>
        <v>1100694.52</v>
      </c>
      <c r="M75" s="357"/>
      <c r="U75" s="357">
        <f>+'Restate &amp; Pro Forma Wage Adjust'!Q27</f>
        <v>31932.312479999997</v>
      </c>
      <c r="Z75" s="370">
        <f>SUM(I75:Y75)</f>
        <v>31932.312479999997</v>
      </c>
      <c r="AA75" s="370">
        <f t="shared" ref="AA75:AA82" si="23">+G75+Z75</f>
        <v>1132626.8324800001</v>
      </c>
    </row>
    <row r="76" spans="1:29">
      <c r="A76" s="380">
        <v>69</v>
      </c>
      <c r="B76" s="140" t="s">
        <v>205</v>
      </c>
      <c r="C76" s="141" t="s">
        <v>206</v>
      </c>
      <c r="D76" s="546"/>
      <c r="E76" s="556">
        <v>1106.0299999999988</v>
      </c>
      <c r="F76" s="548">
        <v>0</v>
      </c>
      <c r="G76" s="549">
        <f t="shared" si="22"/>
        <v>1106.0299999999988</v>
      </c>
      <c r="M76" s="357"/>
      <c r="Z76" s="370">
        <f t="shared" ref="Z76:Z83" si="24">SUM(I76:Y76)</f>
        <v>0</v>
      </c>
      <c r="AA76" s="370">
        <f t="shared" si="23"/>
        <v>1106.0299999999988</v>
      </c>
    </row>
    <row r="77" spans="1:29">
      <c r="A77" s="683">
        <v>70</v>
      </c>
      <c r="B77" s="140" t="s">
        <v>207</v>
      </c>
      <c r="C77" s="141" t="s">
        <v>208</v>
      </c>
      <c r="D77" s="546"/>
      <c r="E77" s="556">
        <v>1610202.8900000001</v>
      </c>
      <c r="F77" s="548">
        <v>67297.100000000006</v>
      </c>
      <c r="G77" s="549">
        <f t="shared" si="22"/>
        <v>1677499.9900000002</v>
      </c>
      <c r="M77" s="357">
        <f>+'Restate &amp; Pro Forma Wage Adjust'!P53</f>
        <v>3799.8284999999996</v>
      </c>
      <c r="U77" s="357">
        <f>+'Restate &amp; Pro Forma Wage Adjust'!Q28+'Restate &amp; Pro Forma Wage Adjust'!Q53+'Restate &amp; Pro Forma Wage Adjust'!Q29</f>
        <v>16155.966664999996</v>
      </c>
      <c r="Z77" s="370">
        <f t="shared" si="24"/>
        <v>19955.795164999996</v>
      </c>
      <c r="AA77" s="370">
        <f t="shared" si="23"/>
        <v>1697455.7851650002</v>
      </c>
    </row>
    <row r="78" spans="1:29">
      <c r="A78" s="380">
        <v>71</v>
      </c>
      <c r="B78" s="555" t="s">
        <v>209</v>
      </c>
      <c r="C78" s="141" t="s">
        <v>184</v>
      </c>
      <c r="D78" s="548"/>
      <c r="E78" s="556">
        <v>73744.02</v>
      </c>
      <c r="F78" s="548">
        <v>0</v>
      </c>
      <c r="G78" s="557">
        <f t="shared" si="22"/>
        <v>73744.02</v>
      </c>
      <c r="M78" s="357">
        <f>+'Restate &amp; Pro Forma Wage Adjust'!P54</f>
        <v>409.60559999999998</v>
      </c>
      <c r="U78" s="357">
        <f>+'Restate &amp; Pro Forma Wage Adjust'!Q54</f>
        <v>1716.7645679999998</v>
      </c>
      <c r="Z78" s="370">
        <f t="shared" si="24"/>
        <v>2126.3701679999999</v>
      </c>
      <c r="AA78" s="370">
        <f t="shared" si="23"/>
        <v>75870.390167999998</v>
      </c>
    </row>
    <row r="79" spans="1:29">
      <c r="A79" s="683">
        <v>72</v>
      </c>
      <c r="B79" s="140" t="s">
        <v>210</v>
      </c>
      <c r="C79" s="141" t="s">
        <v>211</v>
      </c>
      <c r="D79" s="546"/>
      <c r="E79" s="556">
        <v>391998.68</v>
      </c>
      <c r="F79" s="546">
        <v>1029.1999999999971</v>
      </c>
      <c r="G79" s="549">
        <f t="shared" si="22"/>
        <v>393027.88</v>
      </c>
      <c r="M79" s="357">
        <f>+'Restate &amp; Pro Forma Wage Adjust'!P55</f>
        <v>2142.0381000000002</v>
      </c>
      <c r="U79" s="357">
        <f>+'Restate &amp; Pro Forma Wage Adjust'!Q30+'Restate &amp; Pro Forma Wage Adjust'!Q55</f>
        <v>7188.1861579999995</v>
      </c>
      <c r="Z79" s="370">
        <f t="shared" si="24"/>
        <v>9330.2242580000002</v>
      </c>
      <c r="AA79" s="370">
        <f t="shared" si="23"/>
        <v>402358.10425799998</v>
      </c>
    </row>
    <row r="80" spans="1:29">
      <c r="A80" s="380">
        <v>73</v>
      </c>
      <c r="B80" s="140" t="s">
        <v>212</v>
      </c>
      <c r="C80" s="141" t="s">
        <v>213</v>
      </c>
      <c r="D80" s="546"/>
      <c r="E80" s="556">
        <v>41236.550000000003</v>
      </c>
      <c r="F80" s="546">
        <v>5965.46</v>
      </c>
      <c r="G80" s="549">
        <f t="shared" si="22"/>
        <v>47202.01</v>
      </c>
      <c r="M80" s="357">
        <f>+'Restate &amp; Pro Forma Wage Adjust'!P56</f>
        <v>90.617699999999999</v>
      </c>
      <c r="U80" s="357">
        <f>+'Restate &amp; Pro Forma Wage Adjust'!Q56</f>
        <v>771.93893099999991</v>
      </c>
      <c r="Z80" s="370">
        <f t="shared" si="24"/>
        <v>862.55663099999992</v>
      </c>
      <c r="AA80" s="370">
        <f t="shared" si="23"/>
        <v>48064.566631000002</v>
      </c>
    </row>
    <row r="81" spans="1:29">
      <c r="A81" s="683">
        <v>74</v>
      </c>
      <c r="B81" s="140" t="s">
        <v>214</v>
      </c>
      <c r="C81" s="141" t="s">
        <v>94</v>
      </c>
      <c r="D81" s="546"/>
      <c r="E81" s="556">
        <v>1334268.1200000001</v>
      </c>
      <c r="F81" s="546">
        <v>194.89</v>
      </c>
      <c r="G81" s="549">
        <f t="shared" si="22"/>
        <v>1334463.01</v>
      </c>
      <c r="M81" s="357">
        <f>+'Restate &amp; Pro Forma Wage Adjust'!P31+'Restate &amp; Pro Forma Wage Adjust'!P57</f>
        <v>6120.2408999999998</v>
      </c>
      <c r="U81" s="357">
        <f>+'Restate &amp; Pro Forma Wage Adjust'!Q31+'Restate &amp; Pro Forma Wage Adjust'!Q57</f>
        <v>25798.291362</v>
      </c>
      <c r="Z81" s="370">
        <f t="shared" si="24"/>
        <v>31918.532262000001</v>
      </c>
      <c r="AA81" s="370">
        <f t="shared" si="23"/>
        <v>1366381.542262</v>
      </c>
    </row>
    <row r="82" spans="1:29">
      <c r="A82" s="380">
        <v>75</v>
      </c>
      <c r="B82" s="140" t="s">
        <v>215</v>
      </c>
      <c r="C82" s="141" t="s">
        <v>216</v>
      </c>
      <c r="D82" s="546"/>
      <c r="E82" s="556">
        <v>648444.97</v>
      </c>
      <c r="F82" s="546">
        <v>343720.76</v>
      </c>
      <c r="G82" s="549">
        <f t="shared" si="22"/>
        <v>992165.73</v>
      </c>
      <c r="M82" s="357">
        <f>+'Restate &amp; Pro Forma Wage Adjust'!P58</f>
        <v>5123.9760000000006</v>
      </c>
      <c r="U82" s="357">
        <f>+'Restate &amp; Pro Forma Wage Adjust'!Q58</f>
        <v>20849.390579999999</v>
      </c>
      <c r="Z82" s="370">
        <f t="shared" si="24"/>
        <v>25973.366580000002</v>
      </c>
      <c r="AA82" s="370">
        <f t="shared" si="23"/>
        <v>1018139.09658</v>
      </c>
      <c r="AC82" s="365"/>
    </row>
    <row r="83" spans="1:29">
      <c r="A83" s="683">
        <v>76</v>
      </c>
      <c r="B83" s="140" t="s">
        <v>217</v>
      </c>
      <c r="C83" s="141" t="s">
        <v>218</v>
      </c>
      <c r="D83" s="546"/>
      <c r="E83" s="556">
        <v>1036148.03</v>
      </c>
      <c r="F83" s="546">
        <v>65610.59</v>
      </c>
      <c r="G83" s="549">
        <f t="shared" si="22"/>
        <v>1101758.6200000001</v>
      </c>
      <c r="M83" s="357">
        <f>+'Restate &amp; Pro Forma Wage Adjust'!P59</f>
        <v>7487.6003999999994</v>
      </c>
      <c r="U83" s="357">
        <f>+'Restate &amp; Pro Forma Wage Adjust'!Q32+'Restate &amp; Pro Forma Wage Adjust'!Q59</f>
        <v>26619.554331999996</v>
      </c>
      <c r="Z83" s="370">
        <f t="shared" si="24"/>
        <v>34107.154731999995</v>
      </c>
      <c r="AA83" s="718">
        <f>+G83+Z83</f>
        <v>1135865.7747320002</v>
      </c>
    </row>
    <row r="84" spans="1:29">
      <c r="A84" s="380">
        <v>77</v>
      </c>
      <c r="B84" s="138"/>
      <c r="C84" s="569" t="s">
        <v>219</v>
      </c>
      <c r="D84" s="550"/>
      <c r="E84" s="752">
        <f>SUM(E75:E83)</f>
        <v>6029205.2200000007</v>
      </c>
      <c r="F84" s="550">
        <f>SUM(F75:F83)</f>
        <v>692456.59</v>
      </c>
      <c r="G84" s="552">
        <f>SUM(G75:G83)</f>
        <v>6721661.8099999996</v>
      </c>
      <c r="I84" s="552">
        <f t="shared" ref="I84:T84" si="25">SUM(I75:I83)</f>
        <v>0</v>
      </c>
      <c r="J84" s="552">
        <f t="shared" si="25"/>
        <v>0</v>
      </c>
      <c r="K84" s="241">
        <f t="shared" si="25"/>
        <v>0</v>
      </c>
      <c r="L84" s="552">
        <f t="shared" si="25"/>
        <v>0</v>
      </c>
      <c r="M84" s="719">
        <f>SUM(M75:M83)</f>
        <v>25173.907199999998</v>
      </c>
      <c r="N84" s="552">
        <f t="shared" si="25"/>
        <v>0</v>
      </c>
      <c r="O84" s="552">
        <f t="shared" si="25"/>
        <v>0</v>
      </c>
      <c r="P84" s="552">
        <f t="shared" si="25"/>
        <v>0</v>
      </c>
      <c r="Q84" s="552">
        <f t="shared" si="25"/>
        <v>0</v>
      </c>
      <c r="R84" s="552">
        <f t="shared" si="25"/>
        <v>0</v>
      </c>
      <c r="S84" s="552">
        <f t="shared" si="25"/>
        <v>0</v>
      </c>
      <c r="T84" s="552">
        <f t="shared" si="25"/>
        <v>0</v>
      </c>
      <c r="U84" s="719">
        <f t="shared" ref="U84:AA84" si="26">SUM(U75:U83)</f>
        <v>131032.405076</v>
      </c>
      <c r="V84" s="552">
        <f t="shared" si="26"/>
        <v>0</v>
      </c>
      <c r="W84" s="553">
        <f t="shared" si="26"/>
        <v>0</v>
      </c>
      <c r="X84" s="552">
        <f t="shared" si="26"/>
        <v>0</v>
      </c>
      <c r="Y84" s="552">
        <f t="shared" si="26"/>
        <v>0</v>
      </c>
      <c r="Z84" s="552">
        <f t="shared" si="26"/>
        <v>156206.31227599998</v>
      </c>
      <c r="AA84" s="552">
        <f t="shared" si="26"/>
        <v>6877868.1222760007</v>
      </c>
      <c r="AC84" s="452"/>
    </row>
    <row r="85" spans="1:29">
      <c r="A85" s="683">
        <v>78</v>
      </c>
      <c r="B85" s="142" t="s">
        <v>220</v>
      </c>
      <c r="C85" s="139"/>
      <c r="D85" s="367"/>
      <c r="E85" s="755">
        <f>E72+E84</f>
        <v>17110118</v>
      </c>
      <c r="F85" s="367">
        <f>F72+F84</f>
        <v>3304161.7199999997</v>
      </c>
      <c r="G85" s="566">
        <f>G72+G84</f>
        <v>20414279.720000003</v>
      </c>
      <c r="I85" s="566">
        <f t="shared" ref="I85:T85" si="27">I72+I84</f>
        <v>0</v>
      </c>
      <c r="J85" s="566">
        <f t="shared" si="27"/>
        <v>0</v>
      </c>
      <c r="K85" s="624">
        <f t="shared" si="27"/>
        <v>0</v>
      </c>
      <c r="L85" s="566">
        <f t="shared" si="27"/>
        <v>0</v>
      </c>
      <c r="M85" s="1770">
        <f>M72+M84</f>
        <v>77164.839599999992</v>
      </c>
      <c r="N85" s="566">
        <f t="shared" si="27"/>
        <v>0</v>
      </c>
      <c r="O85" s="566">
        <f t="shared" si="27"/>
        <v>0</v>
      </c>
      <c r="P85" s="566">
        <f>P72+P84</f>
        <v>0</v>
      </c>
      <c r="Q85" s="566">
        <f>Q72+Q84</f>
        <v>0</v>
      </c>
      <c r="R85" s="566">
        <f>R72+R84</f>
        <v>0</v>
      </c>
      <c r="S85" s="566">
        <f>S72+S84</f>
        <v>0</v>
      </c>
      <c r="T85" s="566">
        <f t="shared" si="27"/>
        <v>0</v>
      </c>
      <c r="U85" s="1770">
        <f>U72+U84</f>
        <v>421920.10321799992</v>
      </c>
      <c r="V85" s="566">
        <f t="shared" ref="V85:AA85" si="28">V72+V84</f>
        <v>0</v>
      </c>
      <c r="W85" s="567">
        <f t="shared" si="28"/>
        <v>800404.5149999999</v>
      </c>
      <c r="X85" s="566">
        <f t="shared" si="28"/>
        <v>0</v>
      </c>
      <c r="Y85" s="566">
        <f t="shared" si="28"/>
        <v>0</v>
      </c>
      <c r="Z85" s="566">
        <f t="shared" si="28"/>
        <v>1299489.4578179996</v>
      </c>
      <c r="AA85" s="566">
        <f t="shared" si="28"/>
        <v>21713769.177818</v>
      </c>
      <c r="AC85" s="365">
        <f>AA85-'Exh 6, ROO Summary'!Q20</f>
        <v>0</v>
      </c>
    </row>
    <row r="86" spans="1:29">
      <c r="A86" s="380">
        <v>79</v>
      </c>
      <c r="B86" s="138"/>
      <c r="C86" s="139"/>
      <c r="D86" s="546"/>
      <c r="E86" s="547"/>
      <c r="F86" s="546"/>
      <c r="G86" s="549"/>
      <c r="AC86" s="365"/>
    </row>
    <row r="87" spans="1:29">
      <c r="A87" s="683">
        <v>80</v>
      </c>
      <c r="B87" s="142" t="s">
        <v>221</v>
      </c>
      <c r="C87" s="139"/>
      <c r="D87" s="546"/>
      <c r="E87" s="547"/>
      <c r="F87" s="546"/>
      <c r="G87" s="549"/>
    </row>
    <row r="88" spans="1:29">
      <c r="A88" s="380">
        <v>81</v>
      </c>
      <c r="B88" s="140" t="s">
        <v>222</v>
      </c>
      <c r="C88" s="141" t="s">
        <v>223</v>
      </c>
      <c r="D88" s="546"/>
      <c r="E88" s="556">
        <v>996</v>
      </c>
      <c r="F88" s="546">
        <v>108519.03999999999</v>
      </c>
      <c r="G88" s="549">
        <f>SUM(E88:F88)</f>
        <v>109515.04</v>
      </c>
      <c r="U88" s="357">
        <f>+'Restate &amp; Pro Forma Wage Adjust'!Q33</f>
        <v>3335.3073599999998</v>
      </c>
      <c r="Z88" s="370">
        <f>SUM(I88:Y88)</f>
        <v>3335.3073599999998</v>
      </c>
      <c r="AA88" s="370">
        <f>+G88+Z88</f>
        <v>112850.34736</v>
      </c>
    </row>
    <row r="89" spans="1:29">
      <c r="A89" s="683">
        <v>82</v>
      </c>
      <c r="B89" s="140" t="s">
        <v>224</v>
      </c>
      <c r="C89" s="141" t="s">
        <v>225</v>
      </c>
      <c r="D89" s="546"/>
      <c r="E89" s="556">
        <v>413011.73</v>
      </c>
      <c r="F89" s="546">
        <v>157749.41</v>
      </c>
      <c r="G89" s="549">
        <f>SUM(E89:F89)</f>
        <v>570761.14</v>
      </c>
      <c r="M89" s="357">
        <f>+'Restate &amp; Pro Forma Wage Adjust'!P60</f>
        <v>2671.8998999999999</v>
      </c>
      <c r="U89" s="357">
        <f>+'Restate &amp; Pro Forma Wage Adjust'!Q34+'Restate &amp; Pro Forma Wage Adjust'!Q60</f>
        <v>13712.555661999999</v>
      </c>
      <c r="Z89" s="370">
        <f>SUM(I89:Y89)</f>
        <v>16384.455561999999</v>
      </c>
      <c r="AA89" s="370">
        <f>+G89+Z89</f>
        <v>587145.59556200006</v>
      </c>
    </row>
    <row r="90" spans="1:29">
      <c r="A90" s="380">
        <v>83</v>
      </c>
      <c r="B90" s="140" t="s">
        <v>226</v>
      </c>
      <c r="C90" s="141" t="s">
        <v>227</v>
      </c>
      <c r="D90" s="546"/>
      <c r="E90" s="556">
        <v>424249</v>
      </c>
      <c r="F90" s="546">
        <v>3656426.6</v>
      </c>
      <c r="G90" s="549">
        <f>SUM(E90:F90)</f>
        <v>4080675.6</v>
      </c>
      <c r="M90" s="357">
        <f>+'Restate &amp; Pro Forma Wage Adjust'!P61</f>
        <v>687.55470000000003</v>
      </c>
      <c r="U90" s="357">
        <f>+'Restate &amp; Pro Forma Wage Adjust'!Q35+'Restate &amp; Pro Forma Wage Adjust'!Q61</f>
        <v>85111.463990999997</v>
      </c>
      <c r="Z90" s="370">
        <f>SUM(I90:Y90)</f>
        <v>85799.01869099999</v>
      </c>
      <c r="AA90" s="370">
        <f>+G90+Z90</f>
        <v>4166474.6186910002</v>
      </c>
    </row>
    <row r="91" spans="1:29">
      <c r="A91" s="683">
        <v>84</v>
      </c>
      <c r="B91" s="140" t="s">
        <v>228</v>
      </c>
      <c r="C91" s="141" t="s">
        <v>16</v>
      </c>
      <c r="D91" s="546"/>
      <c r="E91" s="556">
        <v>964263.95</v>
      </c>
      <c r="F91" s="546">
        <v>29953.66</v>
      </c>
      <c r="G91" s="549">
        <f>SUM(E91:F91)</f>
        <v>994217.61</v>
      </c>
      <c r="I91" s="240">
        <f>+I28*'Exh 8, Conversion Factor'!$C$8</f>
        <v>-11710.981482519415</v>
      </c>
      <c r="J91" s="240">
        <f>+J28*'Exh 8, Conversion Factor'!$C$8</f>
        <v>0</v>
      </c>
      <c r="K91" s="240">
        <f>+K28*'Exh 8, Conversion Factor'!$C$8</f>
        <v>59987.819579751442</v>
      </c>
      <c r="L91" s="240">
        <f>+L28*'Exh 8, Conversion Factor'!$C$8</f>
        <v>3711.5393129362292</v>
      </c>
      <c r="M91" s="240">
        <f>+M28*'Exh 8, Conversion Factor'!$C$8</f>
        <v>0</v>
      </c>
      <c r="N91" s="240">
        <f>+N28*'Exh 8, Conversion Factor'!$C$8</f>
        <v>0</v>
      </c>
      <c r="O91" s="240">
        <f>+O28*'Exh 8, Conversion Factor'!$C$8</f>
        <v>1633.0575163686162</v>
      </c>
      <c r="P91" s="240">
        <f>+P28*'Exh 8, Conversion Factor'!$C$8</f>
        <v>0</v>
      </c>
      <c r="Q91" s="240">
        <f>+Q28*'Exh 8, Conversion Factor'!$C$8</f>
        <v>0</v>
      </c>
      <c r="R91" s="240">
        <f>+R28*'Exh 8, Conversion Factor'!$C$8</f>
        <v>0</v>
      </c>
      <c r="S91" s="240">
        <f>+S28*'Exh 8, Conversion Factor'!$C$8</f>
        <v>0</v>
      </c>
      <c r="T91" s="240">
        <f>+T28*'Exh 8, Conversion Factor'!$C$8</f>
        <v>0</v>
      </c>
      <c r="U91" s="240">
        <f>+U28*'Exh 8, Conversion Factor'!$C$8</f>
        <v>0</v>
      </c>
      <c r="V91" s="240">
        <f>+V28*'Exh 8, Conversion Factor'!$C$8</f>
        <v>0</v>
      </c>
      <c r="W91" s="240">
        <f>+W28*'Exh 8, Conversion Factor'!$C$8</f>
        <v>0</v>
      </c>
      <c r="Z91" s="370">
        <f>SUM(I91:Y91)</f>
        <v>53621.434926536873</v>
      </c>
      <c r="AA91" s="370">
        <f>+G91+Z91</f>
        <v>1047839.0449265369</v>
      </c>
    </row>
    <row r="92" spans="1:29">
      <c r="A92" s="380">
        <v>85</v>
      </c>
      <c r="B92" s="140" t="s">
        <v>229</v>
      </c>
      <c r="C92" s="141" t="s">
        <v>230</v>
      </c>
      <c r="D92" s="546"/>
      <c r="E92" s="556">
        <v>0</v>
      </c>
      <c r="F92" s="546">
        <v>99081.279999999999</v>
      </c>
      <c r="G92" s="549">
        <f>SUM(E92:F92)</f>
        <v>99081.279999999999</v>
      </c>
      <c r="Z92" s="370">
        <f>SUM(I92:Y92)</f>
        <v>0</v>
      </c>
      <c r="AA92" s="370">
        <f>+G92+Z92</f>
        <v>99081.279999999999</v>
      </c>
    </row>
    <row r="93" spans="1:29">
      <c r="A93" s="683">
        <v>86</v>
      </c>
      <c r="B93" s="142" t="s">
        <v>231</v>
      </c>
      <c r="C93" s="139"/>
      <c r="D93" s="550"/>
      <c r="E93" s="752">
        <f>SUM(E88:E92)</f>
        <v>1802520.68</v>
      </c>
      <c r="F93" s="550">
        <f>SUM(F88:F92)</f>
        <v>4051729.99</v>
      </c>
      <c r="G93" s="552">
        <f>SUM(G88:G92)</f>
        <v>5854250.6700000009</v>
      </c>
      <c r="I93" s="552">
        <f t="shared" ref="I93:AA93" si="29">SUM(I88:I92)</f>
        <v>-11710.981482519415</v>
      </c>
      <c r="J93" s="552">
        <f t="shared" si="29"/>
        <v>0</v>
      </c>
      <c r="K93" s="241">
        <f t="shared" si="29"/>
        <v>59987.819579751442</v>
      </c>
      <c r="L93" s="552">
        <f t="shared" si="29"/>
        <v>3711.5393129362292</v>
      </c>
      <c r="M93" s="552">
        <f t="shared" si="29"/>
        <v>3359.4546</v>
      </c>
      <c r="N93" s="552">
        <f t="shared" si="29"/>
        <v>0</v>
      </c>
      <c r="O93" s="552">
        <f t="shared" si="29"/>
        <v>1633.0575163686162</v>
      </c>
      <c r="P93" s="552">
        <f t="shared" si="29"/>
        <v>0</v>
      </c>
      <c r="Q93" s="552">
        <f t="shared" si="29"/>
        <v>0</v>
      </c>
      <c r="R93" s="552">
        <f t="shared" si="29"/>
        <v>0</v>
      </c>
      <c r="S93" s="552">
        <f t="shared" si="29"/>
        <v>0</v>
      </c>
      <c r="T93" s="552">
        <f t="shared" si="29"/>
        <v>0</v>
      </c>
      <c r="U93" s="719">
        <f t="shared" si="29"/>
        <v>102159.327013</v>
      </c>
      <c r="V93" s="552">
        <f t="shared" si="29"/>
        <v>0</v>
      </c>
      <c r="W93" s="553">
        <f t="shared" si="29"/>
        <v>0</v>
      </c>
      <c r="X93" s="552">
        <f t="shared" si="29"/>
        <v>0</v>
      </c>
      <c r="Y93" s="552">
        <f t="shared" si="29"/>
        <v>0</v>
      </c>
      <c r="Z93" s="552">
        <f t="shared" si="29"/>
        <v>159140.21653953686</v>
      </c>
      <c r="AA93" s="552">
        <f t="shared" si="29"/>
        <v>6013390.8865395375</v>
      </c>
      <c r="AC93" s="365">
        <f>AA93-'Exh 6, ROO Summary'!Q21</f>
        <v>0</v>
      </c>
    </row>
    <row r="94" spans="1:29">
      <c r="A94" s="380">
        <v>87</v>
      </c>
      <c r="B94" s="138"/>
      <c r="C94" s="139"/>
      <c r="D94" s="546"/>
      <c r="E94" s="547"/>
      <c r="F94" s="546"/>
      <c r="G94" s="549"/>
    </row>
    <row r="95" spans="1:29">
      <c r="A95" s="683">
        <v>88</v>
      </c>
      <c r="B95" s="142" t="s">
        <v>232</v>
      </c>
      <c r="C95" s="139"/>
      <c r="D95" s="546"/>
      <c r="E95" s="547"/>
      <c r="F95" s="546"/>
      <c r="G95" s="549"/>
    </row>
    <row r="96" spans="1:29">
      <c r="A96" s="380">
        <v>89</v>
      </c>
      <c r="B96" s="140" t="s">
        <v>233</v>
      </c>
      <c r="C96" s="141" t="s">
        <v>223</v>
      </c>
      <c r="D96" s="546"/>
      <c r="E96" s="556">
        <v>0</v>
      </c>
      <c r="F96" s="546" t="s">
        <v>711</v>
      </c>
      <c r="G96" s="549">
        <f>SUM(E96:F96)</f>
        <v>0</v>
      </c>
      <c r="Z96" s="370">
        <f>SUM(I96:Y96)</f>
        <v>0</v>
      </c>
      <c r="AA96" s="370">
        <f>+G96+Z96</f>
        <v>0</v>
      </c>
    </row>
    <row r="97" spans="1:29">
      <c r="A97" s="683">
        <v>90</v>
      </c>
      <c r="B97" s="140" t="s">
        <v>234</v>
      </c>
      <c r="C97" s="141" t="s">
        <v>235</v>
      </c>
      <c r="D97" s="546"/>
      <c r="E97" s="556">
        <v>6755862.1899999995</v>
      </c>
      <c r="F97" s="546">
        <v>157320.38</v>
      </c>
      <c r="G97" s="549">
        <f>SUM(E97:F97)</f>
        <v>6913182.5699999994</v>
      </c>
      <c r="L97" s="625"/>
      <c r="M97" s="625"/>
      <c r="N97" s="625"/>
      <c r="O97" s="625"/>
      <c r="P97" s="625"/>
      <c r="Q97" s="240">
        <v>-4394</v>
      </c>
      <c r="R97" s="625"/>
      <c r="S97" s="625"/>
      <c r="U97" s="357">
        <f>+'Restate &amp; Pro Forma Wage Adjust'!Q36</f>
        <v>16395.509569999998</v>
      </c>
      <c r="Z97" s="370">
        <f>SUM(I97:Y97)</f>
        <v>12001.509569999998</v>
      </c>
      <c r="AA97" s="370">
        <f>+G97+Z97</f>
        <v>6925184.0795699991</v>
      </c>
    </row>
    <row r="98" spans="1:29">
      <c r="A98" s="380">
        <v>91</v>
      </c>
      <c r="B98" s="140" t="s">
        <v>236</v>
      </c>
      <c r="C98" s="141" t="s">
        <v>237</v>
      </c>
      <c r="D98" s="546"/>
      <c r="E98" s="556">
        <v>28538.39</v>
      </c>
      <c r="F98" s="546">
        <v>99786.85</v>
      </c>
      <c r="G98" s="549">
        <f>SUM(E98:F98)</f>
        <v>128325.24</v>
      </c>
      <c r="Z98" s="370">
        <f>SUM(I98:Y98)</f>
        <v>0</v>
      </c>
      <c r="AA98" s="370">
        <f>+G98+Z98</f>
        <v>128325.24</v>
      </c>
    </row>
    <row r="99" spans="1:29">
      <c r="A99" s="683">
        <v>92</v>
      </c>
      <c r="B99" s="570" t="s">
        <v>238</v>
      </c>
      <c r="C99" s="141" t="s">
        <v>239</v>
      </c>
      <c r="D99" s="548"/>
      <c r="E99" s="556">
        <v>0</v>
      </c>
      <c r="F99" s="546">
        <v>269961.65000000002</v>
      </c>
      <c r="G99" s="557">
        <f>SUM(E99:F99)</f>
        <v>269961.65000000002</v>
      </c>
      <c r="U99" s="357">
        <f>+'Restate &amp; Pro Forma Wage Adjust'!Q37</f>
        <v>8444.6924299999991</v>
      </c>
      <c r="Z99" s="370">
        <f>SUM(I99:Y99)</f>
        <v>8444.6924299999991</v>
      </c>
      <c r="AA99" s="370">
        <f>+G99+Z99</f>
        <v>278406.34243000002</v>
      </c>
    </row>
    <row r="100" spans="1:29">
      <c r="A100" s="380">
        <v>93</v>
      </c>
      <c r="B100" s="554" t="s">
        <v>240</v>
      </c>
      <c r="C100" s="139"/>
      <c r="D100" s="550"/>
      <c r="E100" s="752">
        <f>SUM(E96:E99)</f>
        <v>6784400.5799999991</v>
      </c>
      <c r="F100" s="550">
        <f>SUM(F96:F99)</f>
        <v>527068.88</v>
      </c>
      <c r="G100" s="552">
        <f>SUM(G96:G99)</f>
        <v>7311469.46</v>
      </c>
      <c r="I100" s="552">
        <f t="shared" ref="I100:AA100" si="30">SUM(I96:I99)</f>
        <v>0</v>
      </c>
      <c r="J100" s="552">
        <f t="shared" si="30"/>
        <v>0</v>
      </c>
      <c r="K100" s="241">
        <f t="shared" si="30"/>
        <v>0</v>
      </c>
      <c r="L100" s="552">
        <f t="shared" si="30"/>
        <v>0</v>
      </c>
      <c r="M100" s="552">
        <f t="shared" si="30"/>
        <v>0</v>
      </c>
      <c r="N100" s="552">
        <f t="shared" si="30"/>
        <v>0</v>
      </c>
      <c r="O100" s="552">
        <f t="shared" si="30"/>
        <v>0</v>
      </c>
      <c r="P100" s="552">
        <f t="shared" si="30"/>
        <v>0</v>
      </c>
      <c r="Q100" s="552">
        <f t="shared" si="30"/>
        <v>-4394</v>
      </c>
      <c r="R100" s="552">
        <f t="shared" si="30"/>
        <v>0</v>
      </c>
      <c r="S100" s="552">
        <f t="shared" si="30"/>
        <v>0</v>
      </c>
      <c r="T100" s="552">
        <f t="shared" si="30"/>
        <v>0</v>
      </c>
      <c r="U100" s="552">
        <f t="shared" si="30"/>
        <v>24840.201999999997</v>
      </c>
      <c r="V100" s="552">
        <f t="shared" si="30"/>
        <v>0</v>
      </c>
      <c r="W100" s="553">
        <f t="shared" si="30"/>
        <v>0</v>
      </c>
      <c r="X100" s="552">
        <f t="shared" si="30"/>
        <v>0</v>
      </c>
      <c r="Y100" s="552">
        <f t="shared" si="30"/>
        <v>0</v>
      </c>
      <c r="Z100" s="552">
        <f t="shared" si="30"/>
        <v>20446.201999999997</v>
      </c>
      <c r="AA100" s="552">
        <f t="shared" si="30"/>
        <v>7331915.6619999995</v>
      </c>
      <c r="AC100" s="365">
        <f>AA100-'Exh 6, ROO Summary'!Q22</f>
        <v>0</v>
      </c>
    </row>
    <row r="101" spans="1:29">
      <c r="A101" s="683">
        <v>94</v>
      </c>
      <c r="B101" s="138"/>
      <c r="C101" s="139"/>
      <c r="D101" s="546"/>
      <c r="E101" s="547"/>
      <c r="F101" s="546"/>
      <c r="G101" s="549"/>
    </row>
    <row r="102" spans="1:29">
      <c r="A102" s="380">
        <v>95</v>
      </c>
      <c r="B102" s="142" t="s">
        <v>241</v>
      </c>
      <c r="C102" s="139"/>
      <c r="D102" s="546"/>
      <c r="E102" s="547"/>
      <c r="F102" s="546"/>
      <c r="G102" s="549"/>
    </row>
    <row r="103" spans="1:29">
      <c r="A103" s="683">
        <v>96</v>
      </c>
      <c r="B103" s="140" t="s">
        <v>242</v>
      </c>
      <c r="C103" s="141" t="s">
        <v>223</v>
      </c>
      <c r="D103" s="548"/>
      <c r="E103" s="556">
        <v>0</v>
      </c>
      <c r="F103" s="548">
        <v>0</v>
      </c>
      <c r="G103" s="557">
        <f>SUM(E103:F103)</f>
        <v>0</v>
      </c>
      <c r="Z103" s="370">
        <f>SUM(I103:Y103)</f>
        <v>0</v>
      </c>
      <c r="AA103" s="370">
        <f>+G103+Z103</f>
        <v>0</v>
      </c>
    </row>
    <row r="104" spans="1:29">
      <c r="A104" s="380">
        <v>97</v>
      </c>
      <c r="B104" s="140" t="s">
        <v>243</v>
      </c>
      <c r="C104" s="141" t="s">
        <v>244</v>
      </c>
      <c r="D104" s="548"/>
      <c r="E104" s="556">
        <v>0</v>
      </c>
      <c r="F104" s="548">
        <v>3181.46</v>
      </c>
      <c r="G104" s="557">
        <f>SUM(E104:F104)</f>
        <v>3181.46</v>
      </c>
      <c r="U104" s="357">
        <f>+'Restate &amp; Pro Forma Wage Adjust'!Q38</f>
        <v>94.855999999999995</v>
      </c>
      <c r="Z104" s="370">
        <f>SUM(I104:Y104)</f>
        <v>94.855999999999995</v>
      </c>
      <c r="AA104" s="370">
        <f>+G104+Z104</f>
        <v>3276.3159999999998</v>
      </c>
    </row>
    <row r="105" spans="1:29">
      <c r="A105" s="683">
        <v>98</v>
      </c>
      <c r="B105" s="140" t="s">
        <v>245</v>
      </c>
      <c r="C105" s="141" t="s">
        <v>50</v>
      </c>
      <c r="D105" s="548"/>
      <c r="E105" s="556">
        <v>1795</v>
      </c>
      <c r="F105" s="548">
        <v>432.23</v>
      </c>
      <c r="G105" s="557">
        <f>SUM(E105:F105)</f>
        <v>2227.23</v>
      </c>
      <c r="J105" s="365">
        <f>-'Advertising Adj'!F23</f>
        <v>-1977.2275</v>
      </c>
      <c r="Z105" s="370">
        <f>SUM(I105:Y105)</f>
        <v>-1977.2275</v>
      </c>
      <c r="AA105" s="370">
        <f>+G105+Z105</f>
        <v>250.00250000000005</v>
      </c>
    </row>
    <row r="106" spans="1:29">
      <c r="A106" s="380">
        <v>99</v>
      </c>
      <c r="B106" s="140" t="s">
        <v>246</v>
      </c>
      <c r="C106" s="141" t="s">
        <v>247</v>
      </c>
      <c r="D106" s="548"/>
      <c r="E106" s="556">
        <v>0</v>
      </c>
      <c r="F106" s="548">
        <v>0</v>
      </c>
      <c r="G106" s="557">
        <f>SUM(E106:F106)</f>
        <v>0</v>
      </c>
      <c r="Z106" s="370">
        <f>SUM(I106:Y106)</f>
        <v>0</v>
      </c>
      <c r="AA106" s="370">
        <f>+G106+Z106</f>
        <v>0</v>
      </c>
    </row>
    <row r="107" spans="1:29">
      <c r="A107" s="683">
        <v>100</v>
      </c>
      <c r="B107" s="142" t="s">
        <v>248</v>
      </c>
      <c r="C107" s="139"/>
      <c r="D107" s="551"/>
      <c r="E107" s="564">
        <f t="shared" ref="E107:W107" si="31">SUM(E103:E106)</f>
        <v>1795</v>
      </c>
      <c r="F107" s="551">
        <f t="shared" si="31"/>
        <v>3613.69</v>
      </c>
      <c r="G107" s="241">
        <f t="shared" si="31"/>
        <v>5408.6900000000005</v>
      </c>
      <c r="I107" s="552">
        <f t="shared" si="31"/>
        <v>0</v>
      </c>
      <c r="J107" s="552">
        <f t="shared" si="31"/>
        <v>-1977.2275</v>
      </c>
      <c r="K107" s="241">
        <f>SUM(K103:K106)</f>
        <v>0</v>
      </c>
      <c r="L107" s="552">
        <f t="shared" si="31"/>
        <v>0</v>
      </c>
      <c r="M107" s="552">
        <f t="shared" ref="M107:S107" si="32">SUM(M103:M106)</f>
        <v>0</v>
      </c>
      <c r="N107" s="552">
        <f t="shared" si="32"/>
        <v>0</v>
      </c>
      <c r="O107" s="552">
        <f t="shared" si="32"/>
        <v>0</v>
      </c>
      <c r="P107" s="552">
        <f t="shared" si="32"/>
        <v>0</v>
      </c>
      <c r="Q107" s="552">
        <f t="shared" si="32"/>
        <v>0</v>
      </c>
      <c r="R107" s="552">
        <f t="shared" si="32"/>
        <v>0</v>
      </c>
      <c r="S107" s="552">
        <f t="shared" si="32"/>
        <v>0</v>
      </c>
      <c r="T107" s="552">
        <f t="shared" si="31"/>
        <v>0</v>
      </c>
      <c r="U107" s="552">
        <f t="shared" si="31"/>
        <v>94.855999999999995</v>
      </c>
      <c r="V107" s="552">
        <f>SUM(V103:V106)</f>
        <v>0</v>
      </c>
      <c r="W107" s="553">
        <f t="shared" si="31"/>
        <v>0</v>
      </c>
      <c r="X107" s="241"/>
      <c r="Y107" s="241"/>
      <c r="Z107" s="241">
        <f>SUM(Z103:Z106)</f>
        <v>-1882.3715</v>
      </c>
      <c r="AA107" s="241">
        <f>SUM(AA103:AA106)</f>
        <v>3526.3184999999999</v>
      </c>
      <c r="AC107" s="240">
        <f>AA107-'Exh 6, ROO Summary'!Q23</f>
        <v>0</v>
      </c>
    </row>
    <row r="108" spans="1:29">
      <c r="A108" s="380">
        <v>101</v>
      </c>
      <c r="B108" s="138"/>
      <c r="C108" s="139"/>
      <c r="D108" s="546"/>
      <c r="E108" s="547"/>
      <c r="F108" s="546"/>
      <c r="G108" s="549"/>
    </row>
    <row r="109" spans="1:29">
      <c r="A109" s="683">
        <v>102</v>
      </c>
      <c r="B109" s="142" t="s">
        <v>249</v>
      </c>
      <c r="C109" s="139"/>
      <c r="D109" s="546"/>
      <c r="E109" s="547"/>
      <c r="F109" s="546"/>
      <c r="G109" s="549"/>
    </row>
    <row r="110" spans="1:29">
      <c r="A110" s="380">
        <v>103</v>
      </c>
      <c r="B110" s="140" t="s">
        <v>250</v>
      </c>
      <c r="C110" s="141" t="s">
        <v>251</v>
      </c>
      <c r="D110" s="546"/>
      <c r="E110" s="547">
        <v>0</v>
      </c>
      <c r="F110" s="546">
        <v>6618215.96</v>
      </c>
      <c r="G110" s="549">
        <f t="shared" ref="G110:G120" si="33">SUM(E110:F110)</f>
        <v>6618215.96</v>
      </c>
      <c r="M110" s="357">
        <f>+'Restate &amp; Pro Forma Wage Adjust'!P62</f>
        <v>0</v>
      </c>
      <c r="U110" s="357">
        <f>+'Restate &amp; Pro Forma Wage Adjust'!Q39+'Restate &amp; Pro Forma Wage Adjust'!Q62+'Restate &amp; Pro Forma Wage Adjust'!Q111</f>
        <v>306159.14609149995</v>
      </c>
      <c r="Z110" s="370">
        <f t="shared" ref="Z110:Z120" si="34">SUM(I110:Y110)</f>
        <v>306159.14609149995</v>
      </c>
      <c r="AA110" s="370">
        <f t="shared" ref="AA110:AA120" si="35">+G110+Z110</f>
        <v>6924375.1060915003</v>
      </c>
    </row>
    <row r="111" spans="1:29">
      <c r="A111" s="683">
        <v>104</v>
      </c>
      <c r="B111" s="140" t="s">
        <v>252</v>
      </c>
      <c r="C111" s="141" t="s">
        <v>253</v>
      </c>
      <c r="D111" s="546"/>
      <c r="E111" s="547">
        <v>11772.37</v>
      </c>
      <c r="F111" s="546">
        <v>3386224.98</v>
      </c>
      <c r="G111" s="549">
        <f t="shared" si="33"/>
        <v>3397997.35</v>
      </c>
      <c r="M111" s="357"/>
      <c r="U111" s="357">
        <f>+'Restate &amp; Pro Forma Wage Adjust'!Q40+'Restate &amp; Pro Forma Wage Adjust'!Q63</f>
        <v>24.035974999999997</v>
      </c>
      <c r="Z111" s="370">
        <f t="shared" si="34"/>
        <v>24.035974999999997</v>
      </c>
      <c r="AA111" s="370">
        <f t="shared" si="35"/>
        <v>3398021.385975</v>
      </c>
    </row>
    <row r="112" spans="1:29">
      <c r="A112" s="380">
        <v>105</v>
      </c>
      <c r="B112" s="140" t="s">
        <v>254</v>
      </c>
      <c r="C112" s="141" t="s">
        <v>255</v>
      </c>
      <c r="D112" s="546"/>
      <c r="E112" s="547">
        <v>40984.11000000003</v>
      </c>
      <c r="F112" s="546">
        <v>554640.89</v>
      </c>
      <c r="G112" s="549">
        <f t="shared" si="33"/>
        <v>595625</v>
      </c>
      <c r="Z112" s="370">
        <f t="shared" si="34"/>
        <v>0</v>
      </c>
      <c r="AA112" s="370">
        <f t="shared" si="35"/>
        <v>595625</v>
      </c>
    </row>
    <row r="113" spans="1:29">
      <c r="A113" s="683">
        <v>106</v>
      </c>
      <c r="B113" s="140" t="s">
        <v>256</v>
      </c>
      <c r="C113" s="141" t="s">
        <v>257</v>
      </c>
      <c r="D113" s="546"/>
      <c r="E113" s="556">
        <v>0</v>
      </c>
      <c r="F113" s="546">
        <v>82965.17</v>
      </c>
      <c r="G113" s="549">
        <f t="shared" si="33"/>
        <v>82965.17</v>
      </c>
      <c r="Z113" s="370">
        <f t="shared" si="34"/>
        <v>0</v>
      </c>
      <c r="AA113" s="370">
        <f t="shared" si="35"/>
        <v>82965.17</v>
      </c>
    </row>
    <row r="114" spans="1:29">
      <c r="A114" s="380">
        <v>107</v>
      </c>
      <c r="B114" s="140" t="s">
        <v>258</v>
      </c>
      <c r="C114" s="141" t="s">
        <v>259</v>
      </c>
      <c r="D114" s="546"/>
      <c r="E114" s="547">
        <v>548561.33000000007</v>
      </c>
      <c r="F114" s="546">
        <v>778178.95</v>
      </c>
      <c r="G114" s="549">
        <f t="shared" si="33"/>
        <v>1326740.28</v>
      </c>
      <c r="P114" s="365">
        <f>-'Exh 9, Summary of Adj'!AD17</f>
        <v>-175185.21</v>
      </c>
      <c r="Z114" s="370">
        <f t="shared" si="34"/>
        <v>-175185.21</v>
      </c>
      <c r="AA114" s="370">
        <f t="shared" si="35"/>
        <v>1151555.07</v>
      </c>
    </row>
    <row r="115" spans="1:29">
      <c r="A115" s="683">
        <v>108</v>
      </c>
      <c r="B115" s="140" t="s">
        <v>260</v>
      </c>
      <c r="C115" s="141" t="s">
        <v>261</v>
      </c>
      <c r="D115" s="546"/>
      <c r="E115" s="547">
        <v>2943437.84</v>
      </c>
      <c r="F115" s="546">
        <v>2254570.4900000002</v>
      </c>
      <c r="G115" s="549">
        <f t="shared" si="33"/>
        <v>5198008.33</v>
      </c>
      <c r="M115" s="357">
        <f>+'Restate &amp; Pro Forma Wage Adjust'!P64</f>
        <v>0</v>
      </c>
      <c r="N115" s="365">
        <f>'Executive Incentives'!F42</f>
        <v>-1788652.3900000001</v>
      </c>
      <c r="U115" s="357">
        <f>+'Restate &amp; Pro Forma Wage Adjust'!Q41+'Restate &amp; Pro Forma Wage Adjust'!Q64</f>
        <v>840.52078499999993</v>
      </c>
      <c r="Z115" s="370">
        <f t="shared" si="34"/>
        <v>-1787811.8692150002</v>
      </c>
      <c r="AA115" s="370">
        <f t="shared" si="35"/>
        <v>3410196.4607849997</v>
      </c>
    </row>
    <row r="116" spans="1:29">
      <c r="A116" s="380">
        <v>109</v>
      </c>
      <c r="B116" s="140" t="s">
        <v>262</v>
      </c>
      <c r="C116" s="141" t="s">
        <v>263</v>
      </c>
      <c r="D116" s="548"/>
      <c r="E116" s="556">
        <v>113736.19</v>
      </c>
      <c r="F116" s="546">
        <v>0</v>
      </c>
      <c r="G116" s="557">
        <f t="shared" si="33"/>
        <v>113736.19</v>
      </c>
      <c r="Z116" s="370">
        <f t="shared" si="34"/>
        <v>0</v>
      </c>
      <c r="AA116" s="370">
        <f t="shared" si="35"/>
        <v>113736.19</v>
      </c>
    </row>
    <row r="117" spans="1:29">
      <c r="A117" s="683">
        <v>110</v>
      </c>
      <c r="B117" s="140" t="s">
        <v>264</v>
      </c>
      <c r="C117" s="141" t="s">
        <v>265</v>
      </c>
      <c r="D117" s="548"/>
      <c r="E117" s="547">
        <v>2440</v>
      </c>
      <c r="F117" s="546">
        <v>23295.65</v>
      </c>
      <c r="G117" s="557">
        <f t="shared" si="33"/>
        <v>25735.65</v>
      </c>
      <c r="J117" s="365">
        <f>-'Advertising Adj'!F160</f>
        <v>-25714.466148000007</v>
      </c>
      <c r="Z117" s="370">
        <f t="shared" si="34"/>
        <v>-25714.466148000007</v>
      </c>
      <c r="AA117" s="370">
        <f t="shared" si="35"/>
        <v>21.183851999994658</v>
      </c>
    </row>
    <row r="118" spans="1:29">
      <c r="A118" s="380">
        <v>111</v>
      </c>
      <c r="B118" s="140" t="s">
        <v>266</v>
      </c>
      <c r="C118" s="141" t="s">
        <v>267</v>
      </c>
      <c r="D118" s="546"/>
      <c r="E118" s="556">
        <v>206733.56999999998</v>
      </c>
      <c r="F118" s="546">
        <v>575154.72</v>
      </c>
      <c r="G118" s="549">
        <f t="shared" si="33"/>
        <v>781888.28999999992</v>
      </c>
      <c r="Q118" s="365">
        <v>-41431</v>
      </c>
      <c r="Z118" s="370">
        <f t="shared" si="34"/>
        <v>-41431</v>
      </c>
      <c r="AA118" s="370">
        <f t="shared" si="35"/>
        <v>740457.28999999992</v>
      </c>
    </row>
    <row r="119" spans="1:29">
      <c r="A119" s="683">
        <v>112</v>
      </c>
      <c r="B119" s="140" t="s">
        <v>268</v>
      </c>
      <c r="C119" s="141" t="s">
        <v>198</v>
      </c>
      <c r="D119" s="546"/>
      <c r="E119" s="547">
        <v>0</v>
      </c>
      <c r="F119" s="546">
        <v>1072996.2</v>
      </c>
      <c r="G119" s="549">
        <f t="shared" si="33"/>
        <v>1072996.2</v>
      </c>
      <c r="Z119" s="370">
        <f t="shared" si="34"/>
        <v>0</v>
      </c>
      <c r="AA119" s="370">
        <f t="shared" si="35"/>
        <v>1072996.2</v>
      </c>
    </row>
    <row r="120" spans="1:29">
      <c r="A120" s="380">
        <v>113</v>
      </c>
      <c r="B120" s="140" t="s">
        <v>269</v>
      </c>
      <c r="C120" s="141" t="s">
        <v>270</v>
      </c>
      <c r="D120" s="367"/>
      <c r="E120" s="755">
        <v>42192.83</v>
      </c>
      <c r="F120" s="367">
        <v>4794.2</v>
      </c>
      <c r="G120" s="566">
        <f t="shared" si="33"/>
        <v>46987.03</v>
      </c>
      <c r="M120" s="357">
        <f>+'Restate &amp; Pro Forma Wage Adjust'!P65</f>
        <v>39.050400000000003</v>
      </c>
      <c r="U120" s="357">
        <f>+'Restate &amp; Pro Forma Wage Adjust'!Q65</f>
        <v>77.868312000000003</v>
      </c>
      <c r="Z120" s="370">
        <f t="shared" si="34"/>
        <v>116.918712</v>
      </c>
      <c r="AA120" s="370">
        <f t="shared" si="35"/>
        <v>47103.948711999998</v>
      </c>
    </row>
    <row r="121" spans="1:29">
      <c r="A121" s="683">
        <v>114</v>
      </c>
      <c r="B121" s="138"/>
      <c r="C121" s="139"/>
      <c r="D121" s="546"/>
      <c r="E121" s="547">
        <f t="shared" ref="E121:U121" si="36">SUM(E110:E120)</f>
        <v>3909858.2399999998</v>
      </c>
      <c r="F121" s="546">
        <f t="shared" si="36"/>
        <v>15351037.209999999</v>
      </c>
      <c r="G121" s="549">
        <f t="shared" si="36"/>
        <v>19260895.449999999</v>
      </c>
      <c r="I121" s="549">
        <f t="shared" si="36"/>
        <v>0</v>
      </c>
      <c r="J121" s="549">
        <f t="shared" si="36"/>
        <v>-25714.466148000007</v>
      </c>
      <c r="K121" s="557">
        <f>SUM(K110:K120)</f>
        <v>0</v>
      </c>
      <c r="L121" s="549">
        <f t="shared" si="36"/>
        <v>0</v>
      </c>
      <c r="M121" s="626">
        <f t="shared" ref="M121:S121" si="37">SUM(M110:M120)</f>
        <v>39.050400000000003</v>
      </c>
      <c r="N121" s="549">
        <f t="shared" si="37"/>
        <v>-1788652.3900000001</v>
      </c>
      <c r="O121" s="549">
        <f t="shared" si="37"/>
        <v>0</v>
      </c>
      <c r="P121" s="549">
        <f t="shared" si="37"/>
        <v>-175185.21</v>
      </c>
      <c r="Q121" s="549">
        <f t="shared" si="37"/>
        <v>-41431</v>
      </c>
      <c r="R121" s="549">
        <f t="shared" si="37"/>
        <v>0</v>
      </c>
      <c r="S121" s="549">
        <f t="shared" si="37"/>
        <v>0</v>
      </c>
      <c r="T121" s="549">
        <f t="shared" si="36"/>
        <v>0</v>
      </c>
      <c r="U121" s="549">
        <f t="shared" si="36"/>
        <v>307101.57116349996</v>
      </c>
      <c r="V121" s="549">
        <f>SUM(V110:V120)</f>
        <v>0</v>
      </c>
      <c r="W121" s="565"/>
      <c r="X121" s="549">
        <f>SUM(X110:X120)</f>
        <v>0</v>
      </c>
      <c r="Y121" s="549">
        <f>SUM(Y110:Y120)</f>
        <v>0</v>
      </c>
      <c r="Z121" s="549">
        <f>SUM(Z110:Z120)</f>
        <v>-1723842.4445845003</v>
      </c>
      <c r="AA121" s="549">
        <f>SUM(AA110:AA120)</f>
        <v>17537053.005415499</v>
      </c>
    </row>
    <row r="122" spans="1:29">
      <c r="A122" s="380">
        <v>115</v>
      </c>
      <c r="B122" s="140" t="s">
        <v>271</v>
      </c>
      <c r="C122" s="141" t="s">
        <v>272</v>
      </c>
      <c r="D122" s="546"/>
      <c r="E122" s="547">
        <v>-91985.2</v>
      </c>
      <c r="F122" s="546">
        <v>-218797.07</v>
      </c>
      <c r="G122" s="549">
        <f>SUM(E122:F122)</f>
        <v>-310782.27</v>
      </c>
      <c r="Z122" s="370">
        <f>SUM(I122:Y122)</f>
        <v>0</v>
      </c>
      <c r="AA122" s="370">
        <f>+G122+Z122</f>
        <v>-310782.27</v>
      </c>
    </row>
    <row r="123" spans="1:29">
      <c r="A123" s="683">
        <v>116</v>
      </c>
      <c r="B123" s="142" t="s">
        <v>273</v>
      </c>
      <c r="C123" s="139"/>
      <c r="D123" s="550"/>
      <c r="E123" s="752">
        <f t="shared" ref="E123:U123" si="38">E121+E122</f>
        <v>3817873.0399999996</v>
      </c>
      <c r="F123" s="550">
        <f t="shared" si="38"/>
        <v>15132240.139999999</v>
      </c>
      <c r="G123" s="552">
        <f t="shared" si="38"/>
        <v>18950113.18</v>
      </c>
      <c r="I123" s="552">
        <f t="shared" si="38"/>
        <v>0</v>
      </c>
      <c r="J123" s="552">
        <f t="shared" si="38"/>
        <v>-25714.466148000007</v>
      </c>
      <c r="K123" s="241">
        <f>K121+K122</f>
        <v>0</v>
      </c>
      <c r="L123" s="552">
        <f t="shared" si="38"/>
        <v>0</v>
      </c>
      <c r="M123" s="552">
        <f t="shared" ref="M123:S123" si="39">M121+M122</f>
        <v>39.050400000000003</v>
      </c>
      <c r="N123" s="552">
        <f t="shared" si="39"/>
        <v>-1788652.3900000001</v>
      </c>
      <c r="O123" s="552">
        <f t="shared" si="39"/>
        <v>0</v>
      </c>
      <c r="P123" s="552">
        <f t="shared" si="39"/>
        <v>-175185.21</v>
      </c>
      <c r="Q123" s="552">
        <f t="shared" si="39"/>
        <v>-41431</v>
      </c>
      <c r="R123" s="552">
        <f t="shared" si="39"/>
        <v>0</v>
      </c>
      <c r="S123" s="552">
        <f t="shared" si="39"/>
        <v>0</v>
      </c>
      <c r="T123" s="552">
        <f t="shared" si="38"/>
        <v>0</v>
      </c>
      <c r="U123" s="552">
        <f t="shared" si="38"/>
        <v>307101.57116349996</v>
      </c>
      <c r="V123" s="552">
        <f>V121+V122</f>
        <v>0</v>
      </c>
      <c r="W123" s="553"/>
      <c r="X123" s="552">
        <f>X121+X122</f>
        <v>0</v>
      </c>
      <c r="Y123" s="552">
        <f>Y121+Y122</f>
        <v>0</v>
      </c>
      <c r="Z123" s="552">
        <f>Z121+Z122</f>
        <v>-1723842.4445845003</v>
      </c>
      <c r="AA123" s="552">
        <f>AA121+AA122</f>
        <v>17226270.7354155</v>
      </c>
      <c r="AC123" s="365">
        <f>AA123-'Exh 6, ROO Summary'!Q24</f>
        <v>0</v>
      </c>
    </row>
    <row r="124" spans="1:29">
      <c r="A124" s="380">
        <v>117</v>
      </c>
      <c r="B124" s="138"/>
      <c r="C124" s="139"/>
      <c r="D124" s="546"/>
      <c r="E124" s="547"/>
      <c r="F124" s="546"/>
      <c r="G124" s="549"/>
    </row>
    <row r="125" spans="1:29" ht="16.2" thickBot="1">
      <c r="A125" s="683">
        <v>118</v>
      </c>
      <c r="B125" s="1915" t="s">
        <v>274</v>
      </c>
      <c r="C125" s="1916"/>
      <c r="D125" s="559">
        <f t="shared" ref="D125:AA125" si="40">D85+D93+D100+D107+D123+D57</f>
        <v>0</v>
      </c>
      <c r="E125" s="754">
        <f>E85+E93+E100+E107+E123+E57</f>
        <v>29520155.969999999</v>
      </c>
      <c r="F125" s="559">
        <f t="shared" si="40"/>
        <v>23335393.859999999</v>
      </c>
      <c r="G125" s="560">
        <f t="shared" si="40"/>
        <v>52855549.829999998</v>
      </c>
      <c r="I125" s="560">
        <f>I85+I93+I100+I107+I123+I57</f>
        <v>-11710.981482519415</v>
      </c>
      <c r="J125" s="560">
        <f t="shared" si="40"/>
        <v>-27691.693648000008</v>
      </c>
      <c r="K125" s="560">
        <f t="shared" si="40"/>
        <v>59987.819579751442</v>
      </c>
      <c r="L125" s="560">
        <f t="shared" si="40"/>
        <v>3711.5393129362292</v>
      </c>
      <c r="M125" s="560">
        <f t="shared" si="40"/>
        <v>80563.344599999982</v>
      </c>
      <c r="N125" s="560">
        <f t="shared" si="40"/>
        <v>-1788652.3900000001</v>
      </c>
      <c r="O125" s="560">
        <f>O85+O93+O100+O107+O123+O57</f>
        <v>1633.0575163686162</v>
      </c>
      <c r="P125" s="560">
        <f>P85+P93+P100+P107+P123+P57</f>
        <v>-175185.21</v>
      </c>
      <c r="Q125" s="560">
        <f>Q85+Q93+Q100+Q107+Q123+Q57</f>
        <v>-45825</v>
      </c>
      <c r="R125" s="560">
        <f>R85+R93+R100+R107+R123+R57</f>
        <v>0</v>
      </c>
      <c r="S125" s="560">
        <f>S85+S93+S100+S107+S123+S57</f>
        <v>0</v>
      </c>
      <c r="T125" s="560">
        <f t="shared" si="40"/>
        <v>0</v>
      </c>
      <c r="U125" s="560">
        <f t="shared" si="40"/>
        <v>861894.72276949999</v>
      </c>
      <c r="V125" s="560">
        <f t="shared" si="40"/>
        <v>0</v>
      </c>
      <c r="W125" s="560">
        <f t="shared" si="40"/>
        <v>800404.5149999999</v>
      </c>
      <c r="X125" s="560">
        <f t="shared" si="40"/>
        <v>0</v>
      </c>
      <c r="Y125" s="560">
        <f t="shared" si="40"/>
        <v>0</v>
      </c>
      <c r="Z125" s="560">
        <f t="shared" si="40"/>
        <v>-240870.27635196364</v>
      </c>
      <c r="AA125" s="560">
        <f t="shared" si="40"/>
        <v>52614679.553648032</v>
      </c>
    </row>
    <row r="126" spans="1:29" ht="16.2" thickTop="1">
      <c r="A126" s="380">
        <v>119</v>
      </c>
      <c r="B126" s="138"/>
      <c r="C126" s="139"/>
      <c r="D126" s="546"/>
      <c r="E126" s="547"/>
      <c r="F126" s="546"/>
      <c r="G126" s="549"/>
    </row>
    <row r="127" spans="1:29">
      <c r="A127" s="683">
        <v>120</v>
      </c>
      <c r="B127" s="142" t="s">
        <v>275</v>
      </c>
      <c r="C127" s="139"/>
      <c r="D127" s="546"/>
      <c r="E127" s="547"/>
      <c r="F127" s="546"/>
      <c r="G127" s="549"/>
    </row>
    <row r="128" spans="1:29">
      <c r="A128" s="380">
        <v>121</v>
      </c>
      <c r="B128" s="140" t="s">
        <v>276</v>
      </c>
      <c r="C128" s="141" t="s">
        <v>277</v>
      </c>
      <c r="D128" s="546"/>
      <c r="E128" s="547">
        <v>0</v>
      </c>
      <c r="F128" s="546">
        <v>24915117.609999999</v>
      </c>
      <c r="G128" s="549">
        <f t="shared" ref="G128:G134" si="41">SUM(E128:F128)</f>
        <v>24915117.609999999</v>
      </c>
      <c r="L128" s="365">
        <f>+'EOP Depreciation Expense Adj'!E58</f>
        <v>1910511.9494739994</v>
      </c>
      <c r="R128" s="365">
        <f>-'R&amp;R Adjustment'!D31</f>
        <v>-459130.68158399995</v>
      </c>
      <c r="V128" s="365">
        <f>+'Pro Forma Plant Additions'!E18</f>
        <v>868217.01335499994</v>
      </c>
      <c r="Z128" s="370">
        <f t="shared" ref="Z128:Z134" si="42">SUM(I128:Y128)</f>
        <v>2319598.2812449997</v>
      </c>
      <c r="AA128" s="370">
        <f t="shared" ref="AA128:AA134" si="43">+G128+Z128</f>
        <v>27234715.891245</v>
      </c>
    </row>
    <row r="129" spans="1:29">
      <c r="A129" s="683">
        <v>122</v>
      </c>
      <c r="B129" s="138"/>
      <c r="C129" s="141" t="s">
        <v>278</v>
      </c>
      <c r="D129" s="548"/>
      <c r="E129" s="547">
        <v>0</v>
      </c>
      <c r="F129" s="546">
        <v>0</v>
      </c>
      <c r="G129" s="557">
        <f t="shared" si="41"/>
        <v>0</v>
      </c>
      <c r="Z129" s="370">
        <f t="shared" si="42"/>
        <v>0</v>
      </c>
      <c r="AA129" s="370">
        <f t="shared" si="43"/>
        <v>0</v>
      </c>
    </row>
    <row r="130" spans="1:29">
      <c r="A130" s="380">
        <v>123</v>
      </c>
      <c r="B130" s="138"/>
      <c r="C130" s="141" t="s">
        <v>279</v>
      </c>
      <c r="D130" s="548"/>
      <c r="E130" s="547">
        <v>0</v>
      </c>
      <c r="F130" s="546">
        <v>0</v>
      </c>
      <c r="G130" s="557">
        <f t="shared" si="41"/>
        <v>0</v>
      </c>
      <c r="Z130" s="370">
        <f t="shared" si="42"/>
        <v>0</v>
      </c>
      <c r="AA130" s="370">
        <f t="shared" si="43"/>
        <v>0</v>
      </c>
    </row>
    <row r="131" spans="1:29">
      <c r="A131" s="683">
        <v>124</v>
      </c>
      <c r="B131" s="138"/>
      <c r="C131" s="141" t="s">
        <v>280</v>
      </c>
      <c r="D131" s="546"/>
      <c r="E131" s="556">
        <v>0</v>
      </c>
      <c r="F131" s="546">
        <v>0</v>
      </c>
      <c r="G131" s="549">
        <f t="shared" si="41"/>
        <v>0</v>
      </c>
      <c r="Z131" s="370">
        <f t="shared" si="42"/>
        <v>0</v>
      </c>
      <c r="AA131" s="370">
        <f t="shared" si="43"/>
        <v>0</v>
      </c>
    </row>
    <row r="132" spans="1:29">
      <c r="A132" s="380">
        <v>125</v>
      </c>
      <c r="B132" s="138"/>
      <c r="C132" s="141" t="s">
        <v>281</v>
      </c>
      <c r="D132" s="548"/>
      <c r="E132" s="547">
        <v>0</v>
      </c>
      <c r="F132" s="546">
        <v>0</v>
      </c>
      <c r="G132" s="557">
        <f t="shared" si="41"/>
        <v>0</v>
      </c>
      <c r="Z132" s="370">
        <f t="shared" si="42"/>
        <v>0</v>
      </c>
      <c r="AA132" s="370">
        <f t="shared" si="43"/>
        <v>0</v>
      </c>
    </row>
    <row r="133" spans="1:29">
      <c r="A133" s="683">
        <v>126</v>
      </c>
      <c r="B133" s="138"/>
      <c r="C133" s="141" t="s">
        <v>282</v>
      </c>
      <c r="D133" s="548"/>
      <c r="E133" s="547">
        <v>0</v>
      </c>
      <c r="F133" s="546">
        <v>0</v>
      </c>
      <c r="G133" s="557">
        <f t="shared" si="41"/>
        <v>0</v>
      </c>
      <c r="Z133" s="370">
        <f t="shared" si="42"/>
        <v>0</v>
      </c>
      <c r="AA133" s="370">
        <f t="shared" si="43"/>
        <v>0</v>
      </c>
    </row>
    <row r="134" spans="1:29">
      <c r="A134" s="380">
        <v>127</v>
      </c>
      <c r="B134" s="140" t="s">
        <v>283</v>
      </c>
      <c r="C134" s="141" t="s">
        <v>284</v>
      </c>
      <c r="D134" s="548"/>
      <c r="E134" s="547">
        <v>0</v>
      </c>
      <c r="F134" s="546">
        <v>0</v>
      </c>
      <c r="G134" s="557">
        <f t="shared" si="41"/>
        <v>0</v>
      </c>
      <c r="Z134" s="370">
        <f t="shared" si="42"/>
        <v>0</v>
      </c>
      <c r="AA134" s="370">
        <f t="shared" si="43"/>
        <v>0</v>
      </c>
    </row>
    <row r="135" spans="1:29">
      <c r="A135" s="683">
        <v>128</v>
      </c>
      <c r="B135" s="142" t="s">
        <v>285</v>
      </c>
      <c r="C135" s="139"/>
      <c r="D135" s="550"/>
      <c r="E135" s="752">
        <f t="shared" ref="E135:W135" si="44">SUM(E128:E134)</f>
        <v>0</v>
      </c>
      <c r="F135" s="550">
        <f t="shared" si="44"/>
        <v>24915117.609999999</v>
      </c>
      <c r="G135" s="552">
        <f t="shared" si="44"/>
        <v>24915117.609999999</v>
      </c>
      <c r="I135" s="552">
        <f>SUM(I128:I134)</f>
        <v>0</v>
      </c>
      <c r="J135" s="552">
        <f t="shared" si="44"/>
        <v>0</v>
      </c>
      <c r="K135" s="241">
        <f>SUM(K128:K134)</f>
        <v>0</v>
      </c>
      <c r="L135" s="552">
        <f t="shared" si="44"/>
        <v>1910511.9494739994</v>
      </c>
      <c r="M135" s="552">
        <f t="shared" ref="M135:S135" si="45">SUM(M128:M134)</f>
        <v>0</v>
      </c>
      <c r="N135" s="552">
        <f t="shared" si="45"/>
        <v>0</v>
      </c>
      <c r="O135" s="552">
        <f t="shared" si="45"/>
        <v>0</v>
      </c>
      <c r="P135" s="552">
        <f t="shared" si="45"/>
        <v>0</v>
      </c>
      <c r="Q135" s="552">
        <f t="shared" si="45"/>
        <v>0</v>
      </c>
      <c r="R135" s="552">
        <f t="shared" si="45"/>
        <v>-459130.68158399995</v>
      </c>
      <c r="S135" s="552">
        <f t="shared" si="45"/>
        <v>0</v>
      </c>
      <c r="T135" s="552">
        <f t="shared" si="44"/>
        <v>0</v>
      </c>
      <c r="U135" s="552">
        <f t="shared" si="44"/>
        <v>0</v>
      </c>
      <c r="V135" s="552">
        <f t="shared" si="44"/>
        <v>868217.01335499994</v>
      </c>
      <c r="W135" s="553">
        <f t="shared" si="44"/>
        <v>0</v>
      </c>
      <c r="X135" s="552">
        <f>SUM(X128:X134)</f>
        <v>0</v>
      </c>
      <c r="Y135" s="552">
        <f>SUM(Y128:Y134)</f>
        <v>0</v>
      </c>
      <c r="Z135" s="552">
        <f>SUM(Z128:Z134)</f>
        <v>2319598.2812449997</v>
      </c>
      <c r="AA135" s="552">
        <f>SUM(AA128:AA134)</f>
        <v>27234715.891245</v>
      </c>
      <c r="AC135" s="365">
        <f>AA135-'Exh 6, ROO Summary'!Q25</f>
        <v>0</v>
      </c>
    </row>
    <row r="136" spans="1:29">
      <c r="A136" s="380">
        <v>129</v>
      </c>
      <c r="B136" s="138"/>
      <c r="C136" s="139"/>
      <c r="D136" s="546"/>
      <c r="E136" s="547"/>
      <c r="F136" s="546"/>
      <c r="G136" s="549"/>
    </row>
    <row r="137" spans="1:29">
      <c r="A137" s="683">
        <v>130</v>
      </c>
      <c r="B137" s="555" t="s">
        <v>286</v>
      </c>
      <c r="C137" s="139" t="s">
        <v>30</v>
      </c>
      <c r="D137" s="548"/>
      <c r="E137" s="556">
        <v>0</v>
      </c>
      <c r="F137" s="548">
        <v>0</v>
      </c>
      <c r="G137" s="557">
        <f>SUM(E137:F137)</f>
        <v>0</v>
      </c>
      <c r="Z137" s="370">
        <f>SUM(I137:Y137)</f>
        <v>0</v>
      </c>
      <c r="AA137" s="370">
        <f>+G137+Z137</f>
        <v>0</v>
      </c>
    </row>
    <row r="138" spans="1:29">
      <c r="A138" s="380">
        <v>131</v>
      </c>
      <c r="B138" s="138"/>
      <c r="C138" s="139"/>
      <c r="D138" s="546"/>
      <c r="E138" s="547"/>
      <c r="F138" s="546"/>
      <c r="G138" s="549"/>
      <c r="Z138" s="370"/>
      <c r="AA138" s="370"/>
    </row>
    <row r="139" spans="1:29">
      <c r="A139" s="683">
        <v>132</v>
      </c>
      <c r="B139" s="142" t="s">
        <v>287</v>
      </c>
      <c r="C139" s="139"/>
      <c r="D139" s="546"/>
      <c r="E139" s="547"/>
      <c r="F139" s="546"/>
      <c r="G139" s="549"/>
    </row>
    <row r="140" spans="1:29">
      <c r="A140" s="380">
        <v>133</v>
      </c>
      <c r="B140" s="140" t="s">
        <v>288</v>
      </c>
      <c r="C140" s="141" t="s">
        <v>289</v>
      </c>
      <c r="D140" s="367"/>
      <c r="E140" s="755">
        <v>3202159.25</v>
      </c>
      <c r="F140" s="367">
        <v>973855.27</v>
      </c>
      <c r="G140" s="566">
        <f>SUM(E140:F140)</f>
        <v>4176014.52</v>
      </c>
      <c r="M140" s="357">
        <f>+'Restate &amp; Pro Forma Wage Adjust'!P17</f>
        <v>6163.0958619000021</v>
      </c>
      <c r="U140" s="365">
        <f>+'Restate &amp; Pro Forma Wage Adjust'!Q17</f>
        <v>50096.159624661734</v>
      </c>
      <c r="V140" s="365">
        <f>+'Pro Forma Plant Additions'!E12</f>
        <v>157360.47984614564</v>
      </c>
      <c r="Z140" s="370">
        <f>SUM(I140:Y140)</f>
        <v>213619.73533270738</v>
      </c>
      <c r="AA140" s="370">
        <f>+G140+Z140</f>
        <v>4389634.2553327074</v>
      </c>
      <c r="AC140" s="370">
        <f>AA140-'Exh 6, ROO Summary'!Q27</f>
        <v>0</v>
      </c>
    </row>
    <row r="141" spans="1:29">
      <c r="A141" s="683">
        <v>134</v>
      </c>
      <c r="B141" s="138"/>
      <c r="C141" s="139"/>
      <c r="D141" s="546"/>
      <c r="E141" s="547"/>
      <c r="F141" s="546"/>
      <c r="G141" s="549"/>
    </row>
    <row r="142" spans="1:29">
      <c r="A142" s="380">
        <v>135</v>
      </c>
      <c r="B142" s="142" t="s">
        <v>290</v>
      </c>
      <c r="C142" s="139"/>
      <c r="D142" s="546"/>
      <c r="E142" s="547"/>
      <c r="F142" s="546"/>
      <c r="G142" s="549"/>
    </row>
    <row r="143" spans="1:29">
      <c r="A143" s="683">
        <v>136</v>
      </c>
      <c r="B143" s="140" t="s">
        <v>291</v>
      </c>
      <c r="C143" s="141" t="s">
        <v>292</v>
      </c>
      <c r="D143" s="548"/>
      <c r="E143" s="556">
        <v>-10887316.07</v>
      </c>
      <c r="F143" s="548">
        <v>0</v>
      </c>
      <c r="G143" s="557">
        <f>+E143</f>
        <v>-10887316.07</v>
      </c>
      <c r="I143" s="365">
        <f>(+I54-SUM(I125,I135,I140))*'Exh 8, Conversion Factor'!$C$33</f>
        <v>-584536.58785987087</v>
      </c>
      <c r="J143" s="365">
        <f>(+J54-SUM(J125,J135,J140))*'Exh 8, Conversion Factor'!$C$33</f>
        <v>5815.255666080001</v>
      </c>
      <c r="K143" s="365">
        <f>(+K54-SUM(K125,K135,K140))*'Exh 8, Conversion Factor'!$C$33</f>
        <v>2994204.663600733</v>
      </c>
      <c r="L143" s="365">
        <f>(+L54-SUM(L125,L135,L140))*'Exh 8, Conversion Factor'!$C$33</f>
        <v>-215951.4291088309</v>
      </c>
      <c r="M143" s="365">
        <f>(+M54-SUM(M125,M135,M140))*'Exh 8, Conversion Factor'!$C$33</f>
        <v>-18212.552496998997</v>
      </c>
      <c r="N143" s="365">
        <f>(+N54-SUM(N125,N135,N140))*'Exh 8, Conversion Factor'!$C$33</f>
        <v>375617.00190000003</v>
      </c>
      <c r="O143" s="365">
        <f>(+O54-SUM(O125,O135,O140))*'Exh 8, Conversion Factor'!$C$33</f>
        <v>81511.687967562582</v>
      </c>
      <c r="P143" s="365">
        <f>(+P54-SUM(P125,P135,P140))*'Exh 8, Conversion Factor'!$C$33</f>
        <v>36788.894099999998</v>
      </c>
      <c r="Q143" s="365">
        <f>(+Q54-SUM(Q125,Q135,Q140))*'Exh 8, Conversion Factor'!$C$33</f>
        <v>9623.25</v>
      </c>
      <c r="R143" s="365">
        <f>(+R54-SUM(R125,R135,R140))*'Exh 8, Conversion Factor'!$C$33</f>
        <v>96417.443132639979</v>
      </c>
      <c r="S143" s="365">
        <f>(+S54-SUM(S125,S135,S140))*'Exh 8, Conversion Factor'!$C$33</f>
        <v>0</v>
      </c>
      <c r="T143" s="365">
        <f>+'Interest Coord. Adj.'!H16</f>
        <v>360262.11107983382</v>
      </c>
      <c r="U143" s="365">
        <f>(+U54-SUM(U125,U135,U140))*'Exh 8, Conversion Factor'!$C$33</f>
        <v>-191518.08530277398</v>
      </c>
      <c r="V143" s="365">
        <f>(+V54-SUM(V125,V135,V140))*'Exh 8, Conversion Factor'!$C$33</f>
        <v>-215371.27357224055</v>
      </c>
      <c r="W143" s="365">
        <f>(+W54-SUM(W125,W135,W140))*'Exh 8, Conversion Factor'!$C$33</f>
        <v>-168084.94814999998</v>
      </c>
      <c r="X143" s="571"/>
      <c r="Z143" s="370">
        <f t="shared" ref="Z143:Z148" si="46">SUM(I143:Y143)</f>
        <v>2566565.4309561341</v>
      </c>
      <c r="AA143" s="370">
        <f t="shared" ref="AA143:AA148" si="47">+G143+Z143</f>
        <v>-8320750.6390438657</v>
      </c>
    </row>
    <row r="144" spans="1:29">
      <c r="A144" s="380">
        <v>137</v>
      </c>
      <c r="B144" s="140" t="s">
        <v>291</v>
      </c>
      <c r="C144" s="141" t="s">
        <v>293</v>
      </c>
      <c r="D144" s="548"/>
      <c r="E144" s="556">
        <v>0</v>
      </c>
      <c r="F144" s="548">
        <v>0</v>
      </c>
      <c r="G144" s="557">
        <f>SUM(E144:F144)</f>
        <v>0</v>
      </c>
      <c r="Z144" s="370">
        <f t="shared" si="46"/>
        <v>0</v>
      </c>
      <c r="AA144" s="370">
        <f t="shared" si="47"/>
        <v>0</v>
      </c>
    </row>
    <row r="145" spans="1:30">
      <c r="A145" s="683">
        <v>138</v>
      </c>
      <c r="B145" s="140" t="s">
        <v>294</v>
      </c>
      <c r="C145" s="141" t="s">
        <v>295</v>
      </c>
      <c r="D145" s="548"/>
      <c r="E145" s="556">
        <v>32227813.57</v>
      </c>
      <c r="F145" s="548">
        <v>0</v>
      </c>
      <c r="G145" s="557">
        <f>SUM(E145:F145)</f>
        <v>32227813.57</v>
      </c>
      <c r="Z145" s="370">
        <f t="shared" si="46"/>
        <v>0</v>
      </c>
      <c r="AA145" s="370">
        <f t="shared" si="47"/>
        <v>32227813.57</v>
      </c>
    </row>
    <row r="146" spans="1:30">
      <c r="A146" s="380">
        <v>139</v>
      </c>
      <c r="B146" s="140" t="s">
        <v>294</v>
      </c>
      <c r="C146" s="141" t="s">
        <v>296</v>
      </c>
      <c r="D146" s="548"/>
      <c r="E146" s="556">
        <v>0</v>
      </c>
      <c r="F146" s="548">
        <v>0</v>
      </c>
      <c r="G146" s="557">
        <f>SUM(E146:F146)</f>
        <v>0</v>
      </c>
      <c r="Z146" s="370">
        <f t="shared" si="46"/>
        <v>0</v>
      </c>
      <c r="AA146" s="370">
        <f t="shared" si="47"/>
        <v>0</v>
      </c>
    </row>
    <row r="147" spans="1:30">
      <c r="A147" s="683">
        <v>140</v>
      </c>
      <c r="B147" s="140" t="s">
        <v>297</v>
      </c>
      <c r="C147" s="141" t="s">
        <v>298</v>
      </c>
      <c r="D147" s="548"/>
      <c r="E147" s="556">
        <v>-22532955.920000002</v>
      </c>
      <c r="F147" s="548">
        <v>0</v>
      </c>
      <c r="G147" s="557">
        <f>SUM(E147:F147)</f>
        <v>-22532955.920000002</v>
      </c>
      <c r="Z147" s="370">
        <f t="shared" si="46"/>
        <v>0</v>
      </c>
      <c r="AA147" s="370">
        <f t="shared" si="47"/>
        <v>-22532955.920000002</v>
      </c>
    </row>
    <row r="148" spans="1:30">
      <c r="A148" s="380">
        <v>141</v>
      </c>
      <c r="B148" s="140" t="s">
        <v>299</v>
      </c>
      <c r="C148" s="141" t="s">
        <v>300</v>
      </c>
      <c r="D148" s="546"/>
      <c r="E148" s="556">
        <v>0</v>
      </c>
      <c r="F148" s="548">
        <v>-31741.09</v>
      </c>
      <c r="G148" s="557">
        <f>SUM(E148:F148)</f>
        <v>-31741.09</v>
      </c>
      <c r="Z148" s="370">
        <f t="shared" si="46"/>
        <v>0</v>
      </c>
      <c r="AA148" s="370">
        <f t="shared" si="47"/>
        <v>-31741.09</v>
      </c>
    </row>
    <row r="149" spans="1:30">
      <c r="A149" s="683">
        <v>142</v>
      </c>
      <c r="B149" s="142" t="s">
        <v>301</v>
      </c>
      <c r="C149" s="139"/>
      <c r="D149" s="550"/>
      <c r="E149" s="752">
        <f>SUM(E143:E148)</f>
        <v>-1192458.4200000018</v>
      </c>
      <c r="F149" s="550">
        <f>SUM(F143:F148)</f>
        <v>-31741.09</v>
      </c>
      <c r="G149" s="552">
        <f>SUM(G143:G148)</f>
        <v>-1224199.5100000019</v>
      </c>
      <c r="I149" s="552">
        <f t="shared" ref="I149:V149" si="48">SUM(I143:I148)</f>
        <v>-584536.58785987087</v>
      </c>
      <c r="J149" s="552">
        <f t="shared" si="48"/>
        <v>5815.255666080001</v>
      </c>
      <c r="K149" s="552">
        <f t="shared" si="48"/>
        <v>2994204.663600733</v>
      </c>
      <c r="L149" s="552">
        <f t="shared" si="48"/>
        <v>-215951.4291088309</v>
      </c>
      <c r="M149" s="552">
        <f t="shared" si="48"/>
        <v>-18212.552496998997</v>
      </c>
      <c r="N149" s="552">
        <f t="shared" si="48"/>
        <v>375617.00190000003</v>
      </c>
      <c r="O149" s="552">
        <f>SUM(O143:O148)</f>
        <v>81511.687967562582</v>
      </c>
      <c r="P149" s="552">
        <f>SUM(P143:P148)</f>
        <v>36788.894099999998</v>
      </c>
      <c r="Q149" s="552">
        <f>SUM(Q143:Q148)</f>
        <v>9623.25</v>
      </c>
      <c r="R149" s="552">
        <f>SUM(R143:R148)</f>
        <v>96417.443132639979</v>
      </c>
      <c r="S149" s="552">
        <f>SUM(S143:S148)</f>
        <v>0</v>
      </c>
      <c r="T149" s="552">
        <f t="shared" si="48"/>
        <v>360262.11107983382</v>
      </c>
      <c r="U149" s="552">
        <f>SUM(U143:U148)</f>
        <v>-191518.08530277398</v>
      </c>
      <c r="V149" s="552">
        <f t="shared" si="48"/>
        <v>-215371.27357224055</v>
      </c>
      <c r="W149" s="552">
        <f>SUM(W143:W148)</f>
        <v>-168084.94814999998</v>
      </c>
      <c r="X149" s="552">
        <f>SUM(X143:X148)</f>
        <v>0</v>
      </c>
      <c r="Y149" s="552">
        <f>SUM(Y143:Y148)</f>
        <v>0</v>
      </c>
      <c r="Z149" s="552">
        <f>SUM(Z143:Z148)</f>
        <v>2566565.4309561341</v>
      </c>
      <c r="AA149" s="552">
        <f>SUM(AA143:AA148)</f>
        <v>1342365.9209561308</v>
      </c>
      <c r="AC149" s="365">
        <f>AA149-'Exh 6, ROO Summary'!Q28</f>
        <v>0</v>
      </c>
    </row>
    <row r="150" spans="1:30">
      <c r="A150" s="380">
        <v>143</v>
      </c>
      <c r="B150" s="142" t="s">
        <v>302</v>
      </c>
      <c r="C150" s="139"/>
      <c r="D150" s="546"/>
      <c r="E150" s="549">
        <f>E125+E135+E137+E140+E149</f>
        <v>31529856.799999997</v>
      </c>
      <c r="F150" s="549">
        <f>F125+F135+F137+F140+F149</f>
        <v>49192625.649999999</v>
      </c>
      <c r="G150" s="549">
        <f>G125+G135+G137+G140+G149</f>
        <v>80722482.449999988</v>
      </c>
      <c r="I150" s="549">
        <f t="shared" ref="I150:W150" si="49">I85+I93+I100+I107+I123+I135+I137+I140+I149+I57+I53+I37+I51</f>
        <v>-714293.02662239026</v>
      </c>
      <c r="J150" s="549">
        <f t="shared" si="49"/>
        <v>-21876.437981920008</v>
      </c>
      <c r="K150" s="549">
        <f t="shared" si="49"/>
        <v>3658863.3729852284</v>
      </c>
      <c r="L150" s="549">
        <f t="shared" si="49"/>
        <v>1735683.9842091303</v>
      </c>
      <c r="M150" s="549">
        <f t="shared" si="49"/>
        <v>68513.88796490099</v>
      </c>
      <c r="N150" s="549">
        <f t="shared" si="49"/>
        <v>-1413035.3881000001</v>
      </c>
      <c r="O150" s="549">
        <f t="shared" si="49"/>
        <v>99605.792883931194</v>
      </c>
      <c r="P150" s="549">
        <f t="shared" si="49"/>
        <v>-138396.31589999999</v>
      </c>
      <c r="Q150" s="549">
        <f t="shared" si="49"/>
        <v>-36201.75</v>
      </c>
      <c r="R150" s="549">
        <f t="shared" si="49"/>
        <v>-362713.23845135997</v>
      </c>
      <c r="S150" s="549">
        <f t="shared" si="49"/>
        <v>0</v>
      </c>
      <c r="T150" s="549">
        <f t="shared" si="49"/>
        <v>360262.11107983382</v>
      </c>
      <c r="U150" s="626">
        <f>U85+U93+U100+U107+U123+U135+U137+U140+U149+U57+U53+U37+U51</f>
        <v>720472.79709138779</v>
      </c>
      <c r="V150" s="549">
        <f t="shared" si="49"/>
        <v>810206.21962890495</v>
      </c>
      <c r="W150" s="549">
        <f t="shared" si="49"/>
        <v>632319.56684999994</v>
      </c>
      <c r="X150" s="549"/>
      <c r="Y150" s="549"/>
      <c r="Z150" s="549">
        <f>Z85+Z93+Z100+Z107+Z123+Z135+Z137+Z140+Z149+Z57+Z53+Z37+Z51</f>
        <v>5399411.575637647</v>
      </c>
      <c r="AA150" s="549">
        <f>AA85+AA93+AA100+AA107+AA123+AA135+AA137+AA140+AA149+AA57+AA53+AA37+AA51</f>
        <v>231920016.13563764</v>
      </c>
      <c r="AC150" s="365">
        <f>Z150-'Exh 6, ROO Summary'!N29</f>
        <v>-782712.49199770857</v>
      </c>
      <c r="AD150" s="365">
        <f>AA150-'Exh 6, ROO Summary'!Q29</f>
        <v>0</v>
      </c>
    </row>
    <row r="151" spans="1:30" ht="16.2" thickBot="1">
      <c r="A151" s="683">
        <v>144</v>
      </c>
      <c r="B151" s="142" t="s">
        <v>303</v>
      </c>
      <c r="C151" s="139"/>
      <c r="D151" s="572">
        <f>D54-D150</f>
        <v>0</v>
      </c>
      <c r="E151" s="627">
        <f>+E54-E150</f>
        <v>69868896.579999968</v>
      </c>
      <c r="F151" s="627">
        <f>+F54-F150</f>
        <v>-49064511.710000001</v>
      </c>
      <c r="G151" s="627">
        <f>+G54-G150</f>
        <v>20804384.869999975</v>
      </c>
      <c r="I151" s="627">
        <f t="shared" ref="I151:W151" si="50">I28-I150</f>
        <v>-2198970.9733776096</v>
      </c>
      <c r="J151" s="627">
        <f t="shared" si="50"/>
        <v>21876.437981920008</v>
      </c>
      <c r="K151" s="627">
        <f t="shared" si="50"/>
        <v>11263912.782117045</v>
      </c>
      <c r="L151" s="627">
        <f t="shared" si="50"/>
        <v>-812388.70950464963</v>
      </c>
      <c r="M151" s="627">
        <f t="shared" si="50"/>
        <v>-68513.88796490099</v>
      </c>
      <c r="N151" s="627">
        <f t="shared" si="50"/>
        <v>1413035.3881000001</v>
      </c>
      <c r="O151" s="627">
        <f t="shared" si="50"/>
        <v>306639.20711606881</v>
      </c>
      <c r="P151" s="627">
        <f t="shared" si="50"/>
        <v>138396.31589999999</v>
      </c>
      <c r="Q151" s="627">
        <f t="shared" si="50"/>
        <v>36201.75</v>
      </c>
      <c r="R151" s="627">
        <f t="shared" si="50"/>
        <v>362713.23845135997</v>
      </c>
      <c r="S151" s="627">
        <f t="shared" si="50"/>
        <v>0</v>
      </c>
      <c r="T151" s="627">
        <f t="shared" si="50"/>
        <v>-360262.11107983382</v>
      </c>
      <c r="U151" s="627">
        <f>U28-U150</f>
        <v>-720472.79709138779</v>
      </c>
      <c r="V151" s="627">
        <f t="shared" si="50"/>
        <v>-810206.21962890495</v>
      </c>
      <c r="W151" s="627">
        <f t="shared" si="50"/>
        <v>-632319.56684999994</v>
      </c>
      <c r="X151" s="573">
        <f>X54-X150</f>
        <v>0</v>
      </c>
      <c r="Y151" s="573">
        <f>Y54-Y150</f>
        <v>0</v>
      </c>
      <c r="Z151" s="627">
        <f>Z28-Z150</f>
        <v>7939640.854169107</v>
      </c>
      <c r="AA151" s="627">
        <f>AA28-AA150</f>
        <v>28744025.724169105</v>
      </c>
      <c r="AC151" s="365">
        <f>Z151-'Exh 6, ROO Summary'!N30</f>
        <v>-801011.23329781089</v>
      </c>
      <c r="AD151" s="365">
        <f>AA151-'Exh 6, ROO Summary'!Q30</f>
        <v>2.9802322387695313E-8</v>
      </c>
    </row>
    <row r="152" spans="1:30" ht="16.2" thickTop="1">
      <c r="A152" s="380">
        <v>145</v>
      </c>
      <c r="B152" s="138"/>
      <c r="C152" s="139"/>
      <c r="D152" s="546"/>
      <c r="E152" s="547"/>
      <c r="F152" s="546"/>
      <c r="G152" s="549"/>
      <c r="AA152" s="574"/>
    </row>
    <row r="153" spans="1:30">
      <c r="A153" s="683">
        <v>146</v>
      </c>
      <c r="B153" s="142" t="s">
        <v>304</v>
      </c>
      <c r="C153" s="139"/>
      <c r="D153" s="546"/>
      <c r="E153" s="547"/>
      <c r="F153" s="546"/>
      <c r="G153" s="549"/>
      <c r="K153" s="365"/>
      <c r="W153" s="365"/>
    </row>
    <row r="154" spans="1:30">
      <c r="A154" s="380">
        <v>147</v>
      </c>
      <c r="B154" s="140" t="s">
        <v>72</v>
      </c>
      <c r="C154" s="141" t="s">
        <v>305</v>
      </c>
      <c r="D154" s="546"/>
      <c r="E154" s="556">
        <v>0</v>
      </c>
      <c r="F154" s="546">
        <v>10728252.16</v>
      </c>
      <c r="G154" s="549">
        <f t="shared" ref="G154:G159" si="51">SUM(E154:F154)</f>
        <v>10728252.16</v>
      </c>
    </row>
    <row r="155" spans="1:30">
      <c r="A155" s="683">
        <v>148</v>
      </c>
      <c r="B155" s="140" t="s">
        <v>73</v>
      </c>
      <c r="C155" s="141" t="s">
        <v>74</v>
      </c>
      <c r="D155" s="546"/>
      <c r="E155" s="556">
        <v>0</v>
      </c>
      <c r="F155" s="546">
        <v>163903.29</v>
      </c>
      <c r="G155" s="549">
        <f t="shared" si="51"/>
        <v>163903.29</v>
      </c>
    </row>
    <row r="156" spans="1:30">
      <c r="A156" s="380">
        <v>149</v>
      </c>
      <c r="B156" s="140" t="s">
        <v>75</v>
      </c>
      <c r="C156" s="141" t="s">
        <v>76</v>
      </c>
      <c r="D156" s="546"/>
      <c r="E156" s="556">
        <v>0</v>
      </c>
      <c r="F156" s="546">
        <v>30949.200000000001</v>
      </c>
      <c r="G156" s="549">
        <f t="shared" si="51"/>
        <v>30949.200000000001</v>
      </c>
    </row>
    <row r="157" spans="1:30">
      <c r="A157" s="683">
        <v>150</v>
      </c>
      <c r="B157" s="140" t="s">
        <v>306</v>
      </c>
      <c r="C157" s="141" t="s">
        <v>307</v>
      </c>
      <c r="D157" s="546"/>
      <c r="E157" s="547">
        <v>16599.79</v>
      </c>
      <c r="F157" s="548">
        <v>27556.980000000003</v>
      </c>
      <c r="G157" s="549">
        <f t="shared" si="51"/>
        <v>44156.770000000004</v>
      </c>
    </row>
    <row r="158" spans="1:30">
      <c r="A158" s="380">
        <v>151</v>
      </c>
      <c r="B158" s="140" t="s">
        <v>308</v>
      </c>
      <c r="C158" s="141" t="s">
        <v>309</v>
      </c>
      <c r="D158" s="546"/>
      <c r="E158" s="556">
        <v>0</v>
      </c>
      <c r="F158" s="546">
        <v>916125.99</v>
      </c>
      <c r="G158" s="549">
        <f t="shared" si="51"/>
        <v>916125.99</v>
      </c>
    </row>
    <row r="159" spans="1:30">
      <c r="A159" s="683">
        <v>152</v>
      </c>
      <c r="B159" s="140" t="s">
        <v>310</v>
      </c>
      <c r="C159" s="141" t="s">
        <v>311</v>
      </c>
      <c r="D159" s="546"/>
      <c r="E159" s="547">
        <v>-556211.24</v>
      </c>
      <c r="F159" s="548">
        <v>-50804.21</v>
      </c>
      <c r="G159" s="549">
        <f t="shared" si="51"/>
        <v>-607015.44999999995</v>
      </c>
    </row>
    <row r="160" spans="1:30">
      <c r="A160" s="380">
        <v>153</v>
      </c>
      <c r="B160" s="142" t="s">
        <v>312</v>
      </c>
      <c r="C160" s="139"/>
      <c r="D160" s="550"/>
      <c r="E160" s="752">
        <f>SUM(E154:E159)</f>
        <v>-539611.44999999995</v>
      </c>
      <c r="F160" s="550">
        <f>SUM(F154:F159)</f>
        <v>11815983.409999998</v>
      </c>
      <c r="G160" s="552">
        <f>SUM(G154:G159)</f>
        <v>11276371.959999999</v>
      </c>
    </row>
    <row r="161" spans="1:27">
      <c r="A161" s="683">
        <v>154</v>
      </c>
      <c r="B161" s="138"/>
      <c r="C161" s="139"/>
      <c r="D161" s="546"/>
      <c r="E161" s="547"/>
      <c r="F161" s="546"/>
      <c r="G161" s="549"/>
      <c r="I161" s="365">
        <f>I151-'Exh 9, Summary of Adj'!G31</f>
        <v>0</v>
      </c>
      <c r="J161" s="365">
        <f>J151-'Exh 9, Summary of Adj'!H31</f>
        <v>0</v>
      </c>
      <c r="K161" s="365">
        <f>K151-'Exh 9, Summary of Adj'!X31</f>
        <v>0</v>
      </c>
      <c r="L161" s="365">
        <f>L151-'Exh 9, Summary of Adj'!I31</f>
        <v>0</v>
      </c>
      <c r="M161" s="365">
        <f>M151-'Exh 9, Summary of Adj'!J31</f>
        <v>0</v>
      </c>
      <c r="N161" s="365">
        <f>N151-'Exh 9, Summary of Adj'!K31</f>
        <v>0</v>
      </c>
      <c r="O161" s="365">
        <f>O151-'Exh 9, Summary of Adj'!L31</f>
        <v>0</v>
      </c>
      <c r="P161" s="365">
        <f>P151-'Exh 9, Summary of Adj'!M31</f>
        <v>0</v>
      </c>
      <c r="Q161" s="365">
        <f>Q151-'Exh 9, Summary of Adj'!N31</f>
        <v>0</v>
      </c>
      <c r="R161" s="365">
        <f>R151-'Exh 9, Summary of Adj'!O31</f>
        <v>0</v>
      </c>
      <c r="S161" s="365">
        <f>S151-'Exh 9, Summary of Adj'!P31</f>
        <v>0</v>
      </c>
      <c r="T161" s="365">
        <f>T151-'Exh 9, Summary of Adj'!T31</f>
        <v>0</v>
      </c>
      <c r="U161" s="365">
        <f>U151-'Exh 9, Summary of Adj'!U31</f>
        <v>0</v>
      </c>
      <c r="V161" s="365">
        <f>V151-'Exh 9, Summary of Adj'!V31</f>
        <v>0</v>
      </c>
      <c r="W161" s="365">
        <f>W151-'Exh 9, Summary of Adj'!W31</f>
        <v>0</v>
      </c>
      <c r="Z161" s="365">
        <f>Z151-'Exh 9, Summary of Adj'!AA31</f>
        <v>-801011.23329781089</v>
      </c>
      <c r="AA161" s="14" t="s">
        <v>2437</v>
      </c>
    </row>
    <row r="162" spans="1:27">
      <c r="A162" s="380">
        <v>155</v>
      </c>
      <c r="B162" s="142" t="s">
        <v>313</v>
      </c>
      <c r="C162" s="139"/>
      <c r="D162" s="546"/>
      <c r="E162" s="547"/>
      <c r="F162" s="546"/>
      <c r="G162" s="549"/>
    </row>
    <row r="163" spans="1:27">
      <c r="A163" s="683">
        <v>156</v>
      </c>
      <c r="B163" s="140" t="s">
        <v>314</v>
      </c>
      <c r="C163" s="141" t="s">
        <v>315</v>
      </c>
      <c r="D163" s="548"/>
      <c r="E163" s="556">
        <v>0</v>
      </c>
      <c r="F163" s="548">
        <v>0</v>
      </c>
      <c r="G163" s="557">
        <f t="shared" ref="G163:G172" si="52">SUM(E163:F163)</f>
        <v>0</v>
      </c>
    </row>
    <row r="164" spans="1:27">
      <c r="A164" s="380">
        <v>157</v>
      </c>
      <c r="B164" s="140" t="s">
        <v>316</v>
      </c>
      <c r="C164" s="141" t="s">
        <v>317</v>
      </c>
      <c r="D164" s="548"/>
      <c r="E164" s="556">
        <v>0</v>
      </c>
      <c r="F164" s="548">
        <v>0</v>
      </c>
      <c r="G164" s="557">
        <f t="shared" si="52"/>
        <v>0</v>
      </c>
    </row>
    <row r="165" spans="1:27">
      <c r="A165" s="683">
        <v>158</v>
      </c>
      <c r="B165" s="140" t="s">
        <v>318</v>
      </c>
      <c r="C165" s="141" t="s">
        <v>319</v>
      </c>
      <c r="D165" s="546"/>
      <c r="E165" s="556">
        <v>0</v>
      </c>
      <c r="F165" s="548">
        <v>6144.23</v>
      </c>
      <c r="G165" s="549">
        <f t="shared" si="52"/>
        <v>6144.23</v>
      </c>
    </row>
    <row r="166" spans="1:27">
      <c r="A166" s="380">
        <v>159</v>
      </c>
      <c r="B166" s="140" t="s">
        <v>320</v>
      </c>
      <c r="C166" s="141" t="s">
        <v>321</v>
      </c>
      <c r="D166" s="548"/>
      <c r="E166" s="556">
        <v>0</v>
      </c>
      <c r="F166" s="548">
        <v>0</v>
      </c>
      <c r="G166" s="557">
        <f t="shared" si="52"/>
        <v>0</v>
      </c>
    </row>
    <row r="167" spans="1:27">
      <c r="A167" s="683">
        <v>160</v>
      </c>
      <c r="B167" s="140" t="s">
        <v>322</v>
      </c>
      <c r="C167" s="141" t="s">
        <v>323</v>
      </c>
      <c r="D167" s="548"/>
      <c r="E167" s="556">
        <v>0</v>
      </c>
      <c r="F167" s="548">
        <v>0</v>
      </c>
      <c r="G167" s="557">
        <f t="shared" si="52"/>
        <v>0</v>
      </c>
    </row>
    <row r="168" spans="1:27">
      <c r="A168" s="380">
        <v>161</v>
      </c>
      <c r="B168" s="140" t="s">
        <v>324</v>
      </c>
      <c r="C168" s="141" t="s">
        <v>325</v>
      </c>
      <c r="D168" s="546"/>
      <c r="E168" s="556">
        <v>4632392.6399999997</v>
      </c>
      <c r="F168" s="548">
        <v>38052.92</v>
      </c>
      <c r="G168" s="549">
        <f t="shared" si="52"/>
        <v>4670445.5599999996</v>
      </c>
    </row>
    <row r="169" spans="1:27">
      <c r="A169" s="683">
        <v>162</v>
      </c>
      <c r="B169" s="140" t="s">
        <v>326</v>
      </c>
      <c r="C169" s="141" t="s">
        <v>327</v>
      </c>
      <c r="D169" s="548"/>
      <c r="E169" s="556">
        <v>-88.059999999997672</v>
      </c>
      <c r="F169" s="548">
        <v>0</v>
      </c>
      <c r="G169" s="557">
        <f t="shared" si="52"/>
        <v>-88.059999999997672</v>
      </c>
    </row>
    <row r="170" spans="1:27">
      <c r="A170" s="380">
        <v>163</v>
      </c>
      <c r="B170" s="575">
        <v>408.2</v>
      </c>
      <c r="C170" s="141" t="s">
        <v>328</v>
      </c>
      <c r="D170" s="548"/>
      <c r="E170" s="556">
        <v>-1072.1199999999999</v>
      </c>
      <c r="F170" s="548">
        <v>0</v>
      </c>
      <c r="G170" s="557">
        <f t="shared" si="52"/>
        <v>-1072.1199999999999</v>
      </c>
    </row>
    <row r="171" spans="1:27">
      <c r="A171" s="683">
        <v>164</v>
      </c>
      <c r="B171" s="140" t="s">
        <v>329</v>
      </c>
      <c r="C171" s="141" t="s">
        <v>330</v>
      </c>
      <c r="D171" s="546"/>
      <c r="E171" s="556">
        <v>0</v>
      </c>
      <c r="F171" s="548">
        <v>3558.630000000001</v>
      </c>
      <c r="G171" s="549">
        <f t="shared" si="52"/>
        <v>3558.630000000001</v>
      </c>
    </row>
    <row r="172" spans="1:27">
      <c r="A172" s="380">
        <v>165</v>
      </c>
      <c r="B172" s="140" t="s">
        <v>331</v>
      </c>
      <c r="C172" s="141" t="s">
        <v>531</v>
      </c>
      <c r="D172" s="546"/>
      <c r="E172" s="556">
        <v>0</v>
      </c>
      <c r="F172" s="548">
        <v>934.33</v>
      </c>
      <c r="G172" s="549">
        <f t="shared" si="52"/>
        <v>934.33</v>
      </c>
    </row>
    <row r="173" spans="1:27">
      <c r="A173" s="683">
        <v>166</v>
      </c>
      <c r="B173" s="142" t="s">
        <v>332</v>
      </c>
      <c r="C173" s="139"/>
      <c r="D173" s="550"/>
      <c r="E173" s="752">
        <f>SUM(E163:E172)</f>
        <v>4631232.46</v>
      </c>
      <c r="F173" s="550">
        <f>SUM(F163:F172)</f>
        <v>48690.11</v>
      </c>
      <c r="G173" s="552">
        <f>SUM(G163:G172)</f>
        <v>4679922.57</v>
      </c>
    </row>
    <row r="174" spans="1:27">
      <c r="A174" s="380">
        <v>167</v>
      </c>
      <c r="B174" s="138"/>
      <c r="C174" s="139"/>
      <c r="D174" s="546"/>
      <c r="E174" s="547"/>
      <c r="F174" s="546"/>
      <c r="G174" s="549"/>
    </row>
    <row r="175" spans="1:27">
      <c r="A175" s="683">
        <v>168</v>
      </c>
      <c r="B175" s="142" t="s">
        <v>333</v>
      </c>
      <c r="C175" s="139"/>
      <c r="D175" s="546"/>
      <c r="E175" s="547"/>
      <c r="F175" s="546"/>
      <c r="G175" s="549"/>
    </row>
    <row r="176" spans="1:27">
      <c r="A176" s="380">
        <v>169</v>
      </c>
      <c r="B176" s="140" t="s">
        <v>334</v>
      </c>
      <c r="C176" s="141" t="s">
        <v>335</v>
      </c>
      <c r="D176" s="546"/>
      <c r="E176" s="547">
        <v>616283.49</v>
      </c>
      <c r="F176" s="546">
        <v>0</v>
      </c>
      <c r="G176" s="549">
        <f t="shared" ref="G176:G185" si="53">SUM(E176:F176)</f>
        <v>616283.49</v>
      </c>
    </row>
    <row r="177" spans="1:7">
      <c r="A177" s="683">
        <v>170</v>
      </c>
      <c r="B177" s="140" t="s">
        <v>334</v>
      </c>
      <c r="C177" s="141" t="s">
        <v>336</v>
      </c>
      <c r="D177" s="548"/>
      <c r="E177" s="556">
        <v>0</v>
      </c>
      <c r="F177" s="546">
        <v>0</v>
      </c>
      <c r="G177" s="557">
        <f t="shared" si="53"/>
        <v>0</v>
      </c>
    </row>
    <row r="178" spans="1:7">
      <c r="A178" s="380">
        <v>171</v>
      </c>
      <c r="B178" s="140" t="s">
        <v>337</v>
      </c>
      <c r="C178" s="141" t="s">
        <v>338</v>
      </c>
      <c r="D178" s="548"/>
      <c r="E178" s="556">
        <v>528076.93999999994</v>
      </c>
      <c r="F178" s="546">
        <v>0</v>
      </c>
      <c r="G178" s="557">
        <f t="shared" si="53"/>
        <v>528076.93999999994</v>
      </c>
    </row>
    <row r="179" spans="1:7">
      <c r="A179" s="683">
        <v>172</v>
      </c>
      <c r="B179" s="140" t="s">
        <v>339</v>
      </c>
      <c r="C179" s="141" t="s">
        <v>340</v>
      </c>
      <c r="D179" s="548"/>
      <c r="E179" s="556">
        <v>-41623.26</v>
      </c>
      <c r="F179" s="546">
        <v>0</v>
      </c>
      <c r="G179" s="557">
        <f t="shared" si="53"/>
        <v>-41623.26</v>
      </c>
    </row>
    <row r="180" spans="1:7">
      <c r="A180" s="380">
        <v>173</v>
      </c>
      <c r="B180" s="140" t="s">
        <v>341</v>
      </c>
      <c r="C180" s="141" t="s">
        <v>342</v>
      </c>
      <c r="D180" s="548"/>
      <c r="E180" s="556">
        <v>0</v>
      </c>
      <c r="F180" s="546">
        <v>0</v>
      </c>
      <c r="G180" s="557">
        <f t="shared" si="53"/>
        <v>0</v>
      </c>
    </row>
    <row r="181" spans="1:7">
      <c r="A181" s="683">
        <v>174</v>
      </c>
      <c r="B181" s="140" t="s">
        <v>343</v>
      </c>
      <c r="C181" s="141" t="s">
        <v>344</v>
      </c>
      <c r="D181" s="546"/>
      <c r="E181" s="547">
        <v>20051.07</v>
      </c>
      <c r="F181" s="546">
        <v>159831.21</v>
      </c>
      <c r="G181" s="549">
        <f t="shared" si="53"/>
        <v>179882.28</v>
      </c>
    </row>
    <row r="182" spans="1:7">
      <c r="A182" s="380">
        <v>175</v>
      </c>
      <c r="B182" s="140" t="s">
        <v>345</v>
      </c>
      <c r="C182" s="141" t="s">
        <v>346</v>
      </c>
      <c r="D182" s="548"/>
      <c r="E182" s="556">
        <v>0</v>
      </c>
      <c r="F182" s="546">
        <v>-588785.82999999996</v>
      </c>
      <c r="G182" s="557">
        <f t="shared" si="53"/>
        <v>-588785.82999999996</v>
      </c>
    </row>
    <row r="183" spans="1:7">
      <c r="A183" s="683">
        <v>176</v>
      </c>
      <c r="B183" s="140" t="s">
        <v>347</v>
      </c>
      <c r="C183" s="141" t="s">
        <v>348</v>
      </c>
      <c r="D183" s="548"/>
      <c r="E183" s="556">
        <v>0</v>
      </c>
      <c r="F183" s="546">
        <v>71.14</v>
      </c>
      <c r="G183" s="557">
        <f t="shared" si="53"/>
        <v>71.14</v>
      </c>
    </row>
    <row r="184" spans="1:7">
      <c r="A184" s="380">
        <v>177</v>
      </c>
      <c r="B184" s="140" t="s">
        <v>349</v>
      </c>
      <c r="C184" s="141" t="s">
        <v>350</v>
      </c>
      <c r="D184" s="546"/>
      <c r="E184" s="547">
        <v>0</v>
      </c>
      <c r="F184" s="546">
        <v>230210.98</v>
      </c>
      <c r="G184" s="549">
        <f t="shared" si="53"/>
        <v>230210.98</v>
      </c>
    </row>
    <row r="185" spans="1:7">
      <c r="A185" s="683">
        <v>178</v>
      </c>
      <c r="B185" s="140" t="s">
        <v>351</v>
      </c>
      <c r="C185" s="141" t="s">
        <v>352</v>
      </c>
      <c r="D185" s="548"/>
      <c r="E185" s="556">
        <v>1555.7800000000279</v>
      </c>
      <c r="F185" s="546">
        <v>0</v>
      </c>
      <c r="G185" s="557">
        <f t="shared" si="53"/>
        <v>1555.7800000000279</v>
      </c>
    </row>
    <row r="186" spans="1:7">
      <c r="A186" s="380">
        <v>179</v>
      </c>
      <c r="B186" s="142" t="s">
        <v>353</v>
      </c>
      <c r="C186" s="139"/>
      <c r="D186" s="550"/>
      <c r="E186" s="752">
        <f>SUM(E176:E185)</f>
        <v>1124344.02</v>
      </c>
      <c r="F186" s="550">
        <f>SUM(F176:F185)</f>
        <v>-198672.49999999997</v>
      </c>
      <c r="G186" s="552">
        <f>SUM(G176:G185)</f>
        <v>925671.52</v>
      </c>
    </row>
    <row r="187" spans="1:7" ht="16.2" thickBot="1">
      <c r="A187" s="683">
        <v>180</v>
      </c>
      <c r="B187" s="576" t="s">
        <v>354</v>
      </c>
      <c r="C187" s="577"/>
      <c r="D187" s="572">
        <f>D151-D160-D173-D186</f>
        <v>0</v>
      </c>
      <c r="E187" s="758">
        <f>E151-E160+E173-E186</f>
        <v>73915396.469999969</v>
      </c>
      <c r="F187" s="572">
        <f>F151-F160+F173-F186</f>
        <v>-60633132.509999998</v>
      </c>
      <c r="G187" s="573">
        <f>G151-G160+G173-G186</f>
        <v>13282263.959999977</v>
      </c>
    </row>
    <row r="188" spans="1:7" ht="16.2" thickTop="1"/>
  </sheetData>
  <mergeCells count="20">
    <mergeCell ref="X1:Y1"/>
    <mergeCell ref="X2:Y2"/>
    <mergeCell ref="X3:Y3"/>
    <mergeCell ref="X4:Y4"/>
    <mergeCell ref="X5:Y5"/>
    <mergeCell ref="K1:V1"/>
    <mergeCell ref="K2:V2"/>
    <mergeCell ref="K3:V3"/>
    <mergeCell ref="K4:V4"/>
    <mergeCell ref="K5:V5"/>
    <mergeCell ref="C1:G1"/>
    <mergeCell ref="C2:G2"/>
    <mergeCell ref="C3:G3"/>
    <mergeCell ref="C4:G4"/>
    <mergeCell ref="C5:G5"/>
    <mergeCell ref="B13:C13"/>
    <mergeCell ref="B125:C125"/>
    <mergeCell ref="B11:C12"/>
    <mergeCell ref="E11:G11"/>
    <mergeCell ref="E12:G12"/>
  </mergeCells>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627F-14B6-4181-98D2-8E975F23D9CB}">
  <sheetPr codeName="Sheet40">
    <tabColor theme="2"/>
    <pageSetUpPr fitToPage="1"/>
  </sheetPr>
  <dimension ref="A1:R174"/>
  <sheetViews>
    <sheetView zoomScale="80" zoomScaleNormal="80" workbookViewId="0">
      <selection activeCell="F27" sqref="F27"/>
    </sheetView>
  </sheetViews>
  <sheetFormatPr defaultColWidth="9.33203125" defaultRowHeight="14.4"/>
  <cols>
    <col min="1" max="1" width="37.88671875" style="830" bestFit="1" customWidth="1"/>
    <col min="2" max="2" width="23.88671875" style="830" bestFit="1" customWidth="1"/>
    <col min="3" max="3" width="18.33203125" style="830" bestFit="1" customWidth="1"/>
    <col min="4" max="4" width="16" style="830" bestFit="1" customWidth="1"/>
    <col min="5" max="5" width="19.6640625" style="830" bestFit="1" customWidth="1"/>
    <col min="6" max="6" width="20.5546875" style="830" bestFit="1" customWidth="1"/>
    <col min="7" max="7" width="14.88671875" style="830" bestFit="1" customWidth="1"/>
    <col min="8" max="8" width="19" style="830" bestFit="1" customWidth="1"/>
    <col min="9" max="9" width="15.6640625" style="830" bestFit="1" customWidth="1"/>
    <col min="10" max="16" width="9.33203125" style="830"/>
    <col min="17" max="18" width="2" style="830" bestFit="1" customWidth="1"/>
    <col min="19" max="16384" width="9.33203125" style="830"/>
  </cols>
  <sheetData>
    <row r="1" spans="1:9">
      <c r="A1" s="873" t="str">
        <f ca="1">MID(CELL("filename",A1),FIND("]",CELL("filename",A1))+1,255)</f>
        <v>Title</v>
      </c>
      <c r="B1" s="873" t="s">
        <v>2561</v>
      </c>
    </row>
    <row r="2" spans="1:9">
      <c r="A2" s="830" t="s">
        <v>2562</v>
      </c>
      <c r="B2" s="830" t="s">
        <v>2</v>
      </c>
    </row>
    <row r="3" spans="1:9">
      <c r="A3" s="830" t="s">
        <v>2453</v>
      </c>
      <c r="B3" s="830" t="s">
        <v>2563</v>
      </c>
    </row>
    <row r="4" spans="1:9">
      <c r="A4" s="830" t="s">
        <v>3135</v>
      </c>
      <c r="B4" s="830" t="s">
        <v>2564</v>
      </c>
    </row>
    <row r="5" spans="1:9">
      <c r="A5" s="613" t="s">
        <v>2565</v>
      </c>
      <c r="B5" s="830" t="s">
        <v>2566</v>
      </c>
    </row>
    <row r="6" spans="1:9">
      <c r="A6" s="830" t="s">
        <v>2567</v>
      </c>
      <c r="B6" s="830" t="s">
        <v>2568</v>
      </c>
    </row>
    <row r="7" spans="1:9">
      <c r="A7" s="830" t="s">
        <v>2569</v>
      </c>
      <c r="B7" s="830" t="s">
        <v>2570</v>
      </c>
    </row>
    <row r="8" spans="1:9">
      <c r="A8" s="830" t="s">
        <v>3136</v>
      </c>
      <c r="B8" s="830" t="s">
        <v>2571</v>
      </c>
    </row>
    <row r="9" spans="1:9">
      <c r="A9" s="830" t="s">
        <v>2572</v>
      </c>
      <c r="B9" s="830" t="s">
        <v>2573</v>
      </c>
    </row>
    <row r="11" spans="1:9">
      <c r="A11" s="854" t="s">
        <v>2574</v>
      </c>
      <c r="B11" s="886" t="s">
        <v>1187</v>
      </c>
      <c r="C11" s="886" t="s">
        <v>2575</v>
      </c>
      <c r="D11" s="886" t="s">
        <v>2576</v>
      </c>
      <c r="E11" s="886" t="s">
        <v>2577</v>
      </c>
      <c r="F11" s="886" t="s">
        <v>2578</v>
      </c>
      <c r="G11" s="886" t="s">
        <v>2579</v>
      </c>
      <c r="H11" s="886" t="s">
        <v>2580</v>
      </c>
      <c r="I11" s="856" t="s">
        <v>2581</v>
      </c>
    </row>
    <row r="12" spans="1:9">
      <c r="A12" s="857"/>
      <c r="B12" s="852" t="s">
        <v>2582</v>
      </c>
      <c r="C12" s="852" t="s">
        <v>2583</v>
      </c>
      <c r="D12" s="852" t="s">
        <v>2584</v>
      </c>
      <c r="E12" s="852" t="s">
        <v>2585</v>
      </c>
      <c r="F12" s="852" t="s">
        <v>2586</v>
      </c>
      <c r="G12" s="852" t="s">
        <v>2587</v>
      </c>
      <c r="H12" s="852" t="s">
        <v>2588</v>
      </c>
      <c r="I12" s="887" t="s">
        <v>2589</v>
      </c>
    </row>
    <row r="13" spans="1:9">
      <c r="A13" s="860"/>
      <c r="B13" s="888" t="s">
        <v>2590</v>
      </c>
      <c r="C13" s="888" t="s">
        <v>2590</v>
      </c>
      <c r="D13" s="888" t="s">
        <v>2590</v>
      </c>
      <c r="E13" s="888" t="s">
        <v>2590</v>
      </c>
      <c r="F13" s="888" t="s">
        <v>2591</v>
      </c>
      <c r="G13" s="888" t="s">
        <v>2591</v>
      </c>
      <c r="H13" s="888" t="s">
        <v>2590</v>
      </c>
      <c r="I13" s="889" t="s">
        <v>2591</v>
      </c>
    </row>
    <row r="174" spans="2:18">
      <c r="B174" s="830" t="s">
        <v>2592</v>
      </c>
      <c r="Q174" s="830">
        <f>Q135+Q164</f>
        <v>0</v>
      </c>
      <c r="R174" s="830">
        <f>R135+R164</f>
        <v>0</v>
      </c>
    </row>
  </sheetData>
  <pageMargins left="0.25" right="0.25" top="0.75" bottom="0.75" header="0.3" footer="0.3"/>
  <pageSetup scale="72"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7" tint="0.79998168889431442"/>
  </sheetPr>
  <dimension ref="A1:I20"/>
  <sheetViews>
    <sheetView view="pageBreakPreview" zoomScale="80" zoomScaleNormal="100" zoomScaleSheetLayoutView="80" workbookViewId="0">
      <selection activeCell="F27" sqref="F27"/>
    </sheetView>
  </sheetViews>
  <sheetFormatPr defaultColWidth="9.109375" defaultRowHeight="15.6"/>
  <cols>
    <col min="1" max="1" width="8.44140625" style="3" bestFit="1" customWidth="1"/>
    <col min="2" max="2" width="37.5546875" style="3" bestFit="1" customWidth="1"/>
    <col min="3" max="3" width="3.88671875" style="3" customWidth="1"/>
    <col min="4" max="4" width="22" style="3" bestFit="1" customWidth="1"/>
    <col min="5" max="6" width="9.109375" style="3"/>
    <col min="7" max="7" width="15.44140625" style="3" customWidth="1"/>
    <col min="8" max="8" width="22" style="3" bestFit="1" customWidth="1"/>
    <col min="9" max="16384" width="9.109375" style="3"/>
  </cols>
  <sheetData>
    <row r="1" spans="1:9">
      <c r="A1" s="1926" t="s">
        <v>52</v>
      </c>
      <c r="B1" s="1926"/>
      <c r="C1" s="1926"/>
      <c r="D1" s="1926"/>
      <c r="E1" s="1926"/>
      <c r="F1" s="1926"/>
      <c r="G1" s="1926"/>
      <c r="H1" s="1926"/>
      <c r="I1" s="1926"/>
    </row>
    <row r="2" spans="1:9">
      <c r="A2" s="1926" t="s">
        <v>1824</v>
      </c>
      <c r="B2" s="1926"/>
      <c r="C2" s="1926"/>
      <c r="D2" s="1926"/>
      <c r="E2" s="1926"/>
      <c r="F2" s="1926"/>
      <c r="G2" s="1926"/>
      <c r="H2" s="1926"/>
      <c r="I2" s="1926"/>
    </row>
    <row r="3" spans="1:9">
      <c r="A3" s="1926" t="s">
        <v>1266</v>
      </c>
      <c r="B3" s="1926"/>
      <c r="C3" s="1926"/>
      <c r="D3" s="1926"/>
      <c r="E3" s="1926"/>
      <c r="F3" s="1926"/>
      <c r="G3" s="1926"/>
      <c r="H3" s="1926"/>
      <c r="I3" s="1926"/>
    </row>
    <row r="4" spans="1:9">
      <c r="A4" s="1926" t="s">
        <v>34</v>
      </c>
      <c r="B4" s="1926"/>
      <c r="C4" s="1926"/>
      <c r="D4" s="1926"/>
      <c r="E4" s="1926"/>
      <c r="F4" s="1926"/>
      <c r="G4" s="1926"/>
      <c r="H4" s="1926"/>
      <c r="I4" s="1926"/>
    </row>
    <row r="5" spans="1:9">
      <c r="A5" s="1926" t="s">
        <v>1823</v>
      </c>
      <c r="B5" s="1926"/>
      <c r="C5" s="1926"/>
      <c r="D5" s="1926"/>
      <c r="E5" s="1926"/>
      <c r="F5" s="1926"/>
      <c r="G5" s="1926"/>
      <c r="H5" s="1926"/>
      <c r="I5" s="1926"/>
    </row>
    <row r="9" spans="1:9">
      <c r="A9" s="9" t="s">
        <v>775</v>
      </c>
      <c r="B9" s="5" t="s">
        <v>778</v>
      </c>
      <c r="C9" s="5"/>
      <c r="D9" s="5" t="s">
        <v>776</v>
      </c>
      <c r="H9" s="5" t="s">
        <v>777</v>
      </c>
    </row>
    <row r="10" spans="1:9">
      <c r="A10" s="5">
        <v>1</v>
      </c>
      <c r="D10" s="5" t="s">
        <v>356</v>
      </c>
      <c r="H10" s="5" t="s">
        <v>1792</v>
      </c>
    </row>
    <row r="11" spans="1:9">
      <c r="A11" s="5">
        <v>2</v>
      </c>
      <c r="D11" s="5" t="s">
        <v>357</v>
      </c>
      <c r="H11" s="5" t="s">
        <v>357</v>
      </c>
    </row>
    <row r="12" spans="1:9">
      <c r="A12" s="5">
        <v>3</v>
      </c>
      <c r="D12" s="15" t="s">
        <v>1826</v>
      </c>
      <c r="E12" s="14"/>
      <c r="F12" s="14"/>
      <c r="G12" s="14"/>
      <c r="H12" s="15" t="s">
        <v>1826</v>
      </c>
    </row>
    <row r="13" spans="1:9">
      <c r="A13" s="5">
        <v>4</v>
      </c>
      <c r="B13" s="3" t="s">
        <v>932</v>
      </c>
      <c r="D13" s="365">
        <f>+'Plant in Serv &amp; Accum Depr'!AF165</f>
        <v>835867891.49633491</v>
      </c>
      <c r="E13" s="14" t="s">
        <v>981</v>
      </c>
      <c r="F13" s="14"/>
      <c r="G13" s="14"/>
      <c r="H13" s="365">
        <f>+'Plant in Serv &amp; Accum Depr'!AD165</f>
        <v>866945220.73952997</v>
      </c>
    </row>
    <row r="14" spans="1:9">
      <c r="A14" s="5">
        <v>5</v>
      </c>
      <c r="B14" s="3" t="s">
        <v>933</v>
      </c>
      <c r="D14" s="400">
        <f>-'Plant in Serv &amp; Accum Depr'!AF171</f>
        <v>-389781047.94520426</v>
      </c>
      <c r="E14" s="14" t="s">
        <v>981</v>
      </c>
      <c r="F14" s="14"/>
      <c r="G14" s="14"/>
      <c r="H14" s="400">
        <f>-'Plant in Serv &amp; Accum Depr'!AD171</f>
        <v>-397219164.69433802</v>
      </c>
    </row>
    <row r="15" spans="1:9">
      <c r="A15" s="5">
        <v>6</v>
      </c>
      <c r="B15" s="3" t="s">
        <v>355</v>
      </c>
      <c r="D15" s="143">
        <f>+D13+D14</f>
        <v>446086843.55113065</v>
      </c>
      <c r="E15" s="14"/>
      <c r="F15" s="14"/>
      <c r="G15" s="14"/>
      <c r="H15" s="143">
        <f>+H13+H14</f>
        <v>469726056.04519194</v>
      </c>
    </row>
    <row r="16" spans="1:9">
      <c r="A16" s="5">
        <v>7</v>
      </c>
      <c r="B16" s="3" t="s">
        <v>934</v>
      </c>
      <c r="D16" s="143">
        <f>+'Adv for Const. &amp; Def Tax'!AX23</f>
        <v>-3800412.8362500002</v>
      </c>
      <c r="E16" s="14" t="s">
        <v>982</v>
      </c>
      <c r="F16" s="14"/>
      <c r="G16" s="14"/>
      <c r="H16" s="143">
        <f>+'Adv for Const. &amp; Def Tax'!AU23</f>
        <v>-3755550.64</v>
      </c>
    </row>
    <row r="17" spans="1:8">
      <c r="A17" s="5">
        <v>8</v>
      </c>
      <c r="B17" s="3" t="s">
        <v>935</v>
      </c>
      <c r="D17" s="143">
        <f>+'Adv for Const. &amp; Def Tax'!AX43</f>
        <v>-75625049.641666636</v>
      </c>
      <c r="E17" s="14" t="s">
        <v>982</v>
      </c>
      <c r="F17" s="14"/>
      <c r="G17" s="14"/>
      <c r="H17" s="143">
        <f>+'Adv for Const. &amp; Def Tax'!AU43</f>
        <v>-77673011.209999993</v>
      </c>
    </row>
    <row r="18" spans="1:8">
      <c r="A18" s="5">
        <v>9</v>
      </c>
      <c r="B18" s="3" t="s">
        <v>936</v>
      </c>
      <c r="D18" s="610">
        <f>+' Working Capital (AMA)'!Y708</f>
        <v>7565010.5869378978</v>
      </c>
      <c r="E18" s="14" t="s">
        <v>983</v>
      </c>
      <c r="F18" s="14"/>
      <c r="G18" s="14"/>
      <c r="H18" s="610">
        <f>+D18</f>
        <v>7565010.5869378978</v>
      </c>
    </row>
    <row r="19" spans="1:8">
      <c r="A19" s="5">
        <v>10</v>
      </c>
      <c r="B19" s="3" t="s">
        <v>937</v>
      </c>
      <c r="D19" s="611">
        <f>+D15+D16+D17+D18</f>
        <v>374226391.6601519</v>
      </c>
      <c r="E19" s="14"/>
      <c r="F19" s="14"/>
      <c r="G19" s="14"/>
      <c r="H19" s="611">
        <f>+H15+H16+H17+H18</f>
        <v>395862504.78212988</v>
      </c>
    </row>
    <row r="20" spans="1:8">
      <c r="D20" s="14"/>
      <c r="E20" s="14"/>
      <c r="F20" s="14"/>
      <c r="G20" s="14"/>
      <c r="H20" s="14"/>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7" tint="0.79998168889431442"/>
  </sheetPr>
  <dimension ref="A1:AI171"/>
  <sheetViews>
    <sheetView view="pageBreakPreview" topLeftCell="B4" zoomScale="80" zoomScaleNormal="30" zoomScaleSheetLayoutView="80" workbookViewId="0">
      <selection activeCell="F27" sqref="F27"/>
    </sheetView>
  </sheetViews>
  <sheetFormatPr defaultColWidth="9.109375" defaultRowHeight="15.6"/>
  <cols>
    <col min="1" max="1" width="9.33203125" style="380" bestFit="1" customWidth="1"/>
    <col min="2" max="2" width="17.6640625" style="14" customWidth="1"/>
    <col min="3" max="3" width="44" style="14" bestFit="1" customWidth="1"/>
    <col min="4" max="4" width="19.33203125" style="14" customWidth="1"/>
    <col min="5" max="5" width="20.33203125" style="14" bestFit="1" customWidth="1"/>
    <col min="6" max="6" width="20.109375" style="14" bestFit="1" customWidth="1"/>
    <col min="7" max="7" width="20.5546875" style="14" bestFit="1" customWidth="1"/>
    <col min="8" max="8" width="18.6640625" style="14" bestFit="1" customWidth="1"/>
    <col min="9" max="9" width="20.5546875" style="14" bestFit="1" customWidth="1"/>
    <col min="10" max="10" width="18.88671875" style="14" bestFit="1" customWidth="1"/>
    <col min="11" max="11" width="20.5546875" style="14" bestFit="1" customWidth="1"/>
    <col min="12" max="13" width="19.5546875" style="14" bestFit="1" customWidth="1"/>
    <col min="14" max="14" width="18.88671875" style="14" bestFit="1" customWidth="1"/>
    <col min="15" max="15" width="19.5546875" style="14" bestFit="1" customWidth="1"/>
    <col min="16" max="16" width="19.88671875" style="14" bestFit="1" customWidth="1"/>
    <col min="17" max="17" width="19.5546875" style="14" bestFit="1" customWidth="1"/>
    <col min="18" max="18" width="18.6640625" style="14" bestFit="1" customWidth="1"/>
    <col min="19" max="19" width="19.5546875" style="14" bestFit="1" customWidth="1"/>
    <col min="20" max="20" width="18.109375" style="14" bestFit="1" customWidth="1"/>
    <col min="21" max="21" width="19.5546875" style="14" customWidth="1"/>
    <col min="22" max="22" width="19.109375" style="14" bestFit="1" customWidth="1"/>
    <col min="23" max="23" width="20.5546875" style="14" bestFit="1" customWidth="1"/>
    <col min="24" max="24" width="20.44140625" style="14" bestFit="1" customWidth="1"/>
    <col min="25" max="25" width="20.33203125" style="14" bestFit="1" customWidth="1"/>
    <col min="26" max="26" width="19.33203125" style="14" bestFit="1" customWidth="1"/>
    <col min="27" max="27" width="20.33203125" style="14" bestFit="1" customWidth="1"/>
    <col min="28" max="28" width="19.5546875" style="14" bestFit="1" customWidth="1"/>
    <col min="29" max="29" width="20.33203125" style="14" bestFit="1" customWidth="1"/>
    <col min="30" max="30" width="19.109375" style="14" bestFit="1" customWidth="1"/>
    <col min="31" max="31" width="25.5546875" style="14" customWidth="1"/>
    <col min="32" max="32" width="34.5546875" style="14" bestFit="1" customWidth="1"/>
    <col min="33" max="16384" width="9.109375" style="14"/>
  </cols>
  <sheetData>
    <row r="1" spans="1:35">
      <c r="A1" s="1926" t="s">
        <v>52</v>
      </c>
      <c r="B1" s="1926"/>
      <c r="C1" s="1926"/>
      <c r="D1" s="1926"/>
      <c r="E1" s="1926"/>
      <c r="F1" s="1926"/>
      <c r="G1" s="1926"/>
      <c r="H1" s="1926"/>
      <c r="I1" s="1926"/>
      <c r="J1" s="1926"/>
      <c r="K1" s="1926"/>
      <c r="L1" s="1926"/>
      <c r="M1" s="1926" t="s">
        <v>52</v>
      </c>
      <c r="N1" s="1926"/>
      <c r="O1" s="1926"/>
      <c r="P1" s="1926"/>
      <c r="Q1" s="1926"/>
      <c r="R1" s="1926"/>
      <c r="S1" s="1926"/>
      <c r="T1" s="1926"/>
      <c r="U1" s="1926"/>
      <c r="V1" s="1926"/>
      <c r="W1" s="1926"/>
      <c r="X1" s="1926"/>
      <c r="Y1" s="1926" t="s">
        <v>52</v>
      </c>
      <c r="Z1" s="1926"/>
      <c r="AA1" s="1926"/>
      <c r="AB1" s="1926"/>
      <c r="AC1" s="1926"/>
      <c r="AD1" s="1926"/>
      <c r="AE1" s="1926"/>
      <c r="AF1" s="1926"/>
      <c r="AG1" s="2"/>
      <c r="AH1" s="2"/>
      <c r="AI1" s="2"/>
    </row>
    <row r="2" spans="1:35">
      <c r="A2" s="1926" t="s">
        <v>1824</v>
      </c>
      <c r="B2" s="1926"/>
      <c r="C2" s="1926"/>
      <c r="D2" s="1926"/>
      <c r="E2" s="1926"/>
      <c r="F2" s="1926"/>
      <c r="G2" s="1926"/>
      <c r="H2" s="1926"/>
      <c r="I2" s="1926"/>
      <c r="J2" s="1926"/>
      <c r="K2" s="1926"/>
      <c r="L2" s="1926"/>
      <c r="M2" s="1926" t="str">
        <f>+A2</f>
        <v>UG 20_____</v>
      </c>
      <c r="N2" s="1926"/>
      <c r="O2" s="1926"/>
      <c r="P2" s="1926"/>
      <c r="Q2" s="1926"/>
      <c r="R2" s="1926"/>
      <c r="S2" s="1926"/>
      <c r="T2" s="1926"/>
      <c r="U2" s="1926"/>
      <c r="V2" s="1926"/>
      <c r="W2" s="1926"/>
      <c r="X2" s="1926"/>
      <c r="Y2" s="1926" t="str">
        <f>+M2</f>
        <v>UG 20_____</v>
      </c>
      <c r="Z2" s="1926"/>
      <c r="AA2" s="1926"/>
      <c r="AB2" s="1926"/>
      <c r="AC2" s="1926"/>
      <c r="AD2" s="1926"/>
      <c r="AE2" s="1926"/>
      <c r="AF2" s="1926"/>
      <c r="AG2" s="2"/>
      <c r="AH2" s="2"/>
      <c r="AI2" s="2"/>
    </row>
    <row r="3" spans="1:35">
      <c r="A3" s="1926" t="s">
        <v>1316</v>
      </c>
      <c r="B3" s="1926"/>
      <c r="C3" s="1926"/>
      <c r="D3" s="1926"/>
      <c r="E3" s="1926"/>
      <c r="F3" s="1926"/>
      <c r="G3" s="1926"/>
      <c r="H3" s="1926"/>
      <c r="I3" s="1926"/>
      <c r="J3" s="1926"/>
      <c r="K3" s="1926"/>
      <c r="L3" s="1926"/>
      <c r="M3" s="1926" t="str">
        <f>+A3</f>
        <v>MCP WP-1.3</v>
      </c>
      <c r="N3" s="1926"/>
      <c r="O3" s="1926"/>
      <c r="P3" s="1926"/>
      <c r="Q3" s="1926"/>
      <c r="R3" s="1926"/>
      <c r="S3" s="1926"/>
      <c r="T3" s="1926"/>
      <c r="U3" s="1926"/>
      <c r="V3" s="1926"/>
      <c r="W3" s="1926"/>
      <c r="X3" s="1926"/>
      <c r="Y3" s="1926" t="str">
        <f>+M3</f>
        <v>MCP WP-1.3</v>
      </c>
      <c r="Z3" s="1926"/>
      <c r="AA3" s="1926"/>
      <c r="AB3" s="1926"/>
      <c r="AC3" s="1926"/>
      <c r="AD3" s="1926"/>
      <c r="AE3" s="1926"/>
      <c r="AF3" s="1926"/>
      <c r="AG3" s="2"/>
      <c r="AH3" s="2"/>
      <c r="AI3" s="2"/>
    </row>
    <row r="4" spans="1:35">
      <c r="A4" s="1926" t="s">
        <v>1010</v>
      </c>
      <c r="B4" s="1926"/>
      <c r="C4" s="1926"/>
      <c r="D4" s="1926"/>
      <c r="E4" s="1926"/>
      <c r="F4" s="1926"/>
      <c r="G4" s="1926"/>
      <c r="H4" s="1926"/>
      <c r="I4" s="1926"/>
      <c r="J4" s="1926"/>
      <c r="K4" s="1926"/>
      <c r="L4" s="1926"/>
      <c r="M4" s="1926" t="s">
        <v>1010</v>
      </c>
      <c r="N4" s="1926"/>
      <c r="O4" s="1926"/>
      <c r="P4" s="1926"/>
      <c r="Q4" s="1926"/>
      <c r="R4" s="1926"/>
      <c r="S4" s="1926"/>
      <c r="T4" s="1926"/>
      <c r="U4" s="1926"/>
      <c r="V4" s="1926"/>
      <c r="W4" s="1926"/>
      <c r="X4" s="1926"/>
      <c r="Y4" s="1926" t="s">
        <v>1010</v>
      </c>
      <c r="Z4" s="1926"/>
      <c r="AA4" s="1926"/>
      <c r="AB4" s="1926"/>
      <c r="AC4" s="1926"/>
      <c r="AD4" s="1926"/>
      <c r="AE4" s="1926"/>
      <c r="AF4" s="1926"/>
      <c r="AG4" s="2"/>
      <c r="AH4" s="2"/>
      <c r="AI4" s="2"/>
    </row>
    <row r="5" spans="1:35">
      <c r="A5" s="1926" t="s">
        <v>1823</v>
      </c>
      <c r="B5" s="1926"/>
      <c r="C5" s="1926"/>
      <c r="D5" s="1926"/>
      <c r="E5" s="1926"/>
      <c r="F5" s="1926"/>
      <c r="G5" s="1926"/>
      <c r="H5" s="1926"/>
      <c r="I5" s="1926"/>
      <c r="J5" s="1926"/>
      <c r="K5" s="1926"/>
      <c r="L5" s="1926"/>
      <c r="M5" s="1926" t="str">
        <f>+A5</f>
        <v>Twelve Months Ended December 31, 2019</v>
      </c>
      <c r="N5" s="1926"/>
      <c r="O5" s="1926"/>
      <c r="P5" s="1926"/>
      <c r="Q5" s="1926"/>
      <c r="R5" s="1926"/>
      <c r="S5" s="1926"/>
      <c r="T5" s="1926"/>
      <c r="U5" s="1926"/>
      <c r="V5" s="1926"/>
      <c r="W5" s="1926"/>
      <c r="X5" s="1926"/>
      <c r="Y5" s="1926" t="str">
        <f>+M5</f>
        <v>Twelve Months Ended December 31, 2019</v>
      </c>
      <c r="Z5" s="1926"/>
      <c r="AA5" s="1926"/>
      <c r="AB5" s="1926"/>
      <c r="AC5" s="1926"/>
      <c r="AD5" s="1926"/>
      <c r="AE5" s="1926"/>
      <c r="AF5" s="1926"/>
      <c r="AG5" s="2"/>
      <c r="AH5" s="2"/>
      <c r="AI5" s="2"/>
    </row>
    <row r="7" spans="1:35" s="380" customFormat="1">
      <c r="B7" s="380" t="s">
        <v>778</v>
      </c>
      <c r="C7" s="380" t="s">
        <v>776</v>
      </c>
      <c r="D7" s="380" t="s">
        <v>777</v>
      </c>
      <c r="E7" s="380" t="s">
        <v>780</v>
      </c>
      <c r="F7" s="380" t="s">
        <v>781</v>
      </c>
      <c r="G7" s="380" t="s">
        <v>782</v>
      </c>
      <c r="H7" s="380" t="s">
        <v>783</v>
      </c>
      <c r="I7" s="380" t="s">
        <v>784</v>
      </c>
      <c r="J7" s="380" t="s">
        <v>785</v>
      </c>
      <c r="K7" s="380" t="s">
        <v>786</v>
      </c>
      <c r="L7" s="380" t="s">
        <v>787</v>
      </c>
      <c r="M7" s="380" t="s">
        <v>788</v>
      </c>
      <c r="N7" s="380" t="s">
        <v>789</v>
      </c>
      <c r="O7" s="380" t="s">
        <v>790</v>
      </c>
      <c r="P7" s="380" t="s">
        <v>791</v>
      </c>
      <c r="Q7" s="380" t="s">
        <v>995</v>
      </c>
      <c r="R7" s="380" t="s">
        <v>996</v>
      </c>
      <c r="S7" s="380" t="s">
        <v>997</v>
      </c>
      <c r="T7" s="380" t="s">
        <v>998</v>
      </c>
      <c r="U7" s="380" t="s">
        <v>999</v>
      </c>
      <c r="V7" s="380" t="s">
        <v>1000</v>
      </c>
      <c r="W7" s="380" t="s">
        <v>1001</v>
      </c>
      <c r="X7" s="380" t="s">
        <v>1002</v>
      </c>
      <c r="Y7" s="380" t="s">
        <v>1003</v>
      </c>
      <c r="Z7" s="380" t="s">
        <v>1004</v>
      </c>
      <c r="AA7" s="380" t="s">
        <v>1005</v>
      </c>
      <c r="AB7" s="380" t="s">
        <v>740</v>
      </c>
      <c r="AC7" s="380" t="s">
        <v>1006</v>
      </c>
      <c r="AD7" s="380" t="s">
        <v>1007</v>
      </c>
      <c r="AE7" s="380" t="s">
        <v>1008</v>
      </c>
      <c r="AF7" s="380" t="s">
        <v>1009</v>
      </c>
    </row>
    <row r="8" spans="1:35">
      <c r="A8" s="380" t="s">
        <v>649</v>
      </c>
      <c r="B8" s="381" t="s">
        <v>798</v>
      </c>
      <c r="C8" s="381" t="s">
        <v>799</v>
      </c>
      <c r="D8" s="381" t="s">
        <v>66</v>
      </c>
      <c r="E8" s="381" t="s">
        <v>1339</v>
      </c>
      <c r="F8" s="381" t="s">
        <v>1340</v>
      </c>
      <c r="G8" s="381" t="s">
        <v>2208</v>
      </c>
      <c r="H8" s="381" t="s">
        <v>2209</v>
      </c>
      <c r="I8" s="381" t="s">
        <v>2210</v>
      </c>
      <c r="J8" s="381" t="s">
        <v>2211</v>
      </c>
      <c r="K8" s="381" t="s">
        <v>2212</v>
      </c>
      <c r="L8" s="381" t="s">
        <v>2213</v>
      </c>
      <c r="M8" s="381" t="s">
        <v>2214</v>
      </c>
      <c r="N8" s="381" t="s">
        <v>2215</v>
      </c>
      <c r="O8" s="381" t="s">
        <v>2216</v>
      </c>
      <c r="P8" s="381" t="s">
        <v>2217</v>
      </c>
      <c r="Q8" s="381" t="s">
        <v>2218</v>
      </c>
      <c r="R8" s="381" t="s">
        <v>2219</v>
      </c>
      <c r="S8" s="381" t="s">
        <v>2220</v>
      </c>
      <c r="T8" s="381" t="s">
        <v>2221</v>
      </c>
      <c r="U8" s="381" t="s">
        <v>2222</v>
      </c>
      <c r="V8" s="381" t="s">
        <v>2223</v>
      </c>
      <c r="W8" s="381" t="s">
        <v>2224</v>
      </c>
      <c r="X8" s="381" t="s">
        <v>2225</v>
      </c>
      <c r="Y8" s="381" t="s">
        <v>2226</v>
      </c>
      <c r="Z8" s="381" t="s">
        <v>2227</v>
      </c>
      <c r="AA8" s="381" t="s">
        <v>2228</v>
      </c>
      <c r="AB8" s="381" t="s">
        <v>2229</v>
      </c>
      <c r="AC8" s="381" t="s">
        <v>2230</v>
      </c>
      <c r="AD8" s="381" t="s">
        <v>2231</v>
      </c>
      <c r="AE8" s="381" t="s">
        <v>800</v>
      </c>
      <c r="AF8" s="381" t="s">
        <v>801</v>
      </c>
    </row>
    <row r="9" spans="1:35">
      <c r="A9" s="380">
        <v>1</v>
      </c>
      <c r="B9" s="382" t="s">
        <v>70</v>
      </c>
      <c r="C9" s="382" t="s">
        <v>721</v>
      </c>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row>
    <row r="10" spans="1:35">
      <c r="A10" s="380">
        <v>2</v>
      </c>
      <c r="C10" s="384" t="s">
        <v>802</v>
      </c>
      <c r="D10" s="385" t="s">
        <v>804</v>
      </c>
      <c r="E10" s="386">
        <v>73666.720000000001</v>
      </c>
      <c r="F10" s="386">
        <v>73666.820000000007</v>
      </c>
      <c r="G10" s="386">
        <v>73666.720000000001</v>
      </c>
      <c r="H10" s="386">
        <v>73666.820000000007</v>
      </c>
      <c r="I10" s="386">
        <v>73666.720000000001</v>
      </c>
      <c r="J10" s="386">
        <v>73666.820000000007</v>
      </c>
      <c r="K10" s="386">
        <v>73666.720000000001</v>
      </c>
      <c r="L10" s="386">
        <v>73666.820000000007</v>
      </c>
      <c r="M10" s="386">
        <v>73666.720000000001</v>
      </c>
      <c r="N10" s="386">
        <v>73666.820000000007</v>
      </c>
      <c r="O10" s="386">
        <v>73666.720000000001</v>
      </c>
      <c r="P10" s="386">
        <v>73666.820000000007</v>
      </c>
      <c r="Q10" s="386">
        <v>73666.720000000001</v>
      </c>
      <c r="R10" s="386">
        <v>73666.820000000007</v>
      </c>
      <c r="S10" s="386">
        <v>73666.720000000001</v>
      </c>
      <c r="T10" s="386">
        <v>73666.820000000007</v>
      </c>
      <c r="U10" s="386">
        <v>73666.720000000001</v>
      </c>
      <c r="V10" s="386">
        <v>73666.820000000007</v>
      </c>
      <c r="W10" s="386">
        <v>73666.720000000001</v>
      </c>
      <c r="X10" s="386">
        <v>73666.820000000007</v>
      </c>
      <c r="Y10" s="386">
        <v>73666.720000000001</v>
      </c>
      <c r="Z10" s="386">
        <v>73666.820000000007</v>
      </c>
      <c r="AA10" s="386">
        <v>73666.720000000001</v>
      </c>
      <c r="AB10" s="386">
        <v>73666.820000000007</v>
      </c>
      <c r="AC10" s="386">
        <v>73666.720000000001</v>
      </c>
      <c r="AD10" s="386">
        <v>73666.720000000001</v>
      </c>
      <c r="AE10" s="386">
        <f>+(E10+AC10+(+G10+I10+K10+M10+O10+Q10+S10+U10+W10+Y10+AA10)*2)/24</f>
        <v>73666.719999999987</v>
      </c>
      <c r="AF10" s="386">
        <f>+(F10+AD10+(+H10+J10+L10+N10+P10+R10+T10+V10+X10+Z10+AB10)*2)/24</f>
        <v>73666.815833333356</v>
      </c>
    </row>
    <row r="11" spans="1:35">
      <c r="A11" s="380">
        <v>3</v>
      </c>
      <c r="C11" s="384" t="s">
        <v>803</v>
      </c>
      <c r="D11" s="385" t="s">
        <v>804</v>
      </c>
      <c r="E11" s="386">
        <v>113374.44</v>
      </c>
      <c r="F11" s="386">
        <v>12857.710000000001</v>
      </c>
      <c r="G11" s="386">
        <v>113374.44</v>
      </c>
      <c r="H11" s="386">
        <v>13093.91</v>
      </c>
      <c r="I11" s="386">
        <v>113374.44</v>
      </c>
      <c r="J11" s="386">
        <v>13330.11</v>
      </c>
      <c r="K11" s="386">
        <v>113374.44</v>
      </c>
      <c r="L11" s="386">
        <v>13566.31</v>
      </c>
      <c r="M11" s="386">
        <v>113374.44</v>
      </c>
      <c r="N11" s="386">
        <v>13802.51</v>
      </c>
      <c r="O11" s="386">
        <v>113374.44</v>
      </c>
      <c r="P11" s="386">
        <v>14038.710000000001</v>
      </c>
      <c r="Q11" s="386">
        <v>113374.44</v>
      </c>
      <c r="R11" s="386">
        <v>14274.91</v>
      </c>
      <c r="S11" s="386">
        <v>113374.44</v>
      </c>
      <c r="T11" s="386">
        <v>14511.11</v>
      </c>
      <c r="U11" s="386">
        <v>113374.44</v>
      </c>
      <c r="V11" s="386">
        <v>14747.31</v>
      </c>
      <c r="W11" s="386">
        <v>113374.44</v>
      </c>
      <c r="X11" s="386">
        <v>14983.51</v>
      </c>
      <c r="Y11" s="386">
        <v>113374.44</v>
      </c>
      <c r="Z11" s="386">
        <v>15219.710000000001</v>
      </c>
      <c r="AA11" s="386">
        <v>113374.44</v>
      </c>
      <c r="AB11" s="386">
        <v>15455.91</v>
      </c>
      <c r="AC11" s="386">
        <v>113374.44</v>
      </c>
      <c r="AD11" s="386">
        <v>15692.11</v>
      </c>
      <c r="AE11" s="386">
        <f>+(E11+AC11+(+G11+I11+K11+M11+O11+Q11+S11+U11+W11+Y11+AA11)*2)/24</f>
        <v>113374.43999999996</v>
      </c>
      <c r="AF11" s="386">
        <f t="shared" ref="AF11:AF46" si="0">+(F11+AD11+(+H11+J11+L11+N11+P11+R11+T11+V11+X11+Z11+AB11)*2)/24</f>
        <v>14274.910000000002</v>
      </c>
    </row>
    <row r="12" spans="1:35">
      <c r="A12" s="380">
        <v>4</v>
      </c>
      <c r="C12" s="384" t="s">
        <v>1317</v>
      </c>
      <c r="D12" s="385" t="s">
        <v>804</v>
      </c>
      <c r="E12" s="386">
        <v>1016861.1</v>
      </c>
      <c r="F12" s="386">
        <v>33896.959999999999</v>
      </c>
      <c r="G12" s="386">
        <v>1016861.1</v>
      </c>
      <c r="H12" s="386">
        <v>36015.42</v>
      </c>
      <c r="I12" s="386">
        <v>1016861.1</v>
      </c>
      <c r="J12" s="386">
        <v>38133.879999999997</v>
      </c>
      <c r="K12" s="386">
        <v>1016861.1</v>
      </c>
      <c r="L12" s="386">
        <v>40252.340000000004</v>
      </c>
      <c r="M12" s="386">
        <v>1016861.1</v>
      </c>
      <c r="N12" s="386">
        <v>42370.8</v>
      </c>
      <c r="O12" s="386">
        <v>1016861.1</v>
      </c>
      <c r="P12" s="386">
        <v>44489.26</v>
      </c>
      <c r="Q12" s="386">
        <v>1016861.1</v>
      </c>
      <c r="R12" s="386">
        <v>46607.72</v>
      </c>
      <c r="S12" s="386">
        <v>1016861.1</v>
      </c>
      <c r="T12" s="386">
        <v>48726.18</v>
      </c>
      <c r="U12" s="386">
        <v>1016861.1</v>
      </c>
      <c r="V12" s="386">
        <v>50844.639999999999</v>
      </c>
      <c r="W12" s="386">
        <v>1016861.1</v>
      </c>
      <c r="X12" s="386">
        <v>52963.1</v>
      </c>
      <c r="Y12" s="386">
        <v>1016861.1</v>
      </c>
      <c r="Z12" s="386">
        <v>55081.56</v>
      </c>
      <c r="AA12" s="386">
        <v>1016861.1</v>
      </c>
      <c r="AB12" s="386">
        <v>57200.020000000004</v>
      </c>
      <c r="AC12" s="386">
        <v>1016861.1</v>
      </c>
      <c r="AD12" s="386">
        <v>59318.48</v>
      </c>
      <c r="AE12" s="386">
        <f t="shared" ref="AE12:AE46" si="1">+(E12+AC12+(+G12+I12+K12+M12+O12+Q12+S12+U12+W12+Y12+AA12)*2)/24</f>
        <v>1016861.0999999997</v>
      </c>
      <c r="AF12" s="386">
        <f t="shared" si="0"/>
        <v>46607.72</v>
      </c>
    </row>
    <row r="13" spans="1:35">
      <c r="A13" s="380">
        <v>5</v>
      </c>
      <c r="C13" s="384" t="s">
        <v>1318</v>
      </c>
      <c r="D13" s="385" t="s">
        <v>804</v>
      </c>
      <c r="E13" s="386">
        <v>1817585.2000000002</v>
      </c>
      <c r="F13" s="386">
        <v>45439.68</v>
      </c>
      <c r="G13" s="386">
        <v>1817585.2000000002</v>
      </c>
      <c r="H13" s="386">
        <v>49226.32</v>
      </c>
      <c r="I13" s="386">
        <v>1817585.2000000002</v>
      </c>
      <c r="J13" s="386">
        <v>53012.959999999999</v>
      </c>
      <c r="K13" s="386">
        <v>1817585.2000000002</v>
      </c>
      <c r="L13" s="386">
        <v>56799.6</v>
      </c>
      <c r="M13" s="386">
        <v>1817585.2000000002</v>
      </c>
      <c r="N13" s="386">
        <v>60586.239999999998</v>
      </c>
      <c r="O13" s="386">
        <v>1817585.2000000002</v>
      </c>
      <c r="P13" s="386">
        <v>64372.880000000005</v>
      </c>
      <c r="Q13" s="386">
        <v>1817585.2000000002</v>
      </c>
      <c r="R13" s="386">
        <v>68159.520000000004</v>
      </c>
      <c r="S13" s="386">
        <v>1817585.2000000002</v>
      </c>
      <c r="T13" s="386">
        <v>71946.16</v>
      </c>
      <c r="U13" s="386">
        <v>1817585.2000000002</v>
      </c>
      <c r="V13" s="386">
        <v>75732.800000000003</v>
      </c>
      <c r="W13" s="386">
        <v>1817585.2000000002</v>
      </c>
      <c r="X13" s="386">
        <v>79519.44</v>
      </c>
      <c r="Y13" s="386">
        <v>1817585.2000000002</v>
      </c>
      <c r="Z13" s="386">
        <v>83306.080000000002</v>
      </c>
      <c r="AA13" s="386">
        <v>1817585.2000000002</v>
      </c>
      <c r="AB13" s="386">
        <v>87092.72</v>
      </c>
      <c r="AC13" s="386">
        <v>1817585.2000000002</v>
      </c>
      <c r="AD13" s="386">
        <v>90879.360000000001</v>
      </c>
      <c r="AE13" s="386">
        <f t="shared" si="1"/>
        <v>1817585.1999999995</v>
      </c>
      <c r="AF13" s="386">
        <f t="shared" si="0"/>
        <v>68159.520000000004</v>
      </c>
    </row>
    <row r="14" spans="1:35">
      <c r="A14" s="380">
        <v>6</v>
      </c>
      <c r="C14" s="384" t="s">
        <v>805</v>
      </c>
      <c r="D14" s="385" t="s">
        <v>804</v>
      </c>
      <c r="E14" s="386">
        <v>13130.54</v>
      </c>
      <c r="F14" s="386">
        <v>0</v>
      </c>
      <c r="G14" s="386">
        <v>13130.54</v>
      </c>
      <c r="H14" s="386">
        <v>0</v>
      </c>
      <c r="I14" s="386">
        <v>13130.54</v>
      </c>
      <c r="J14" s="386">
        <v>0</v>
      </c>
      <c r="K14" s="386">
        <v>13130.54</v>
      </c>
      <c r="L14" s="386">
        <v>0</v>
      </c>
      <c r="M14" s="386">
        <v>13130.54</v>
      </c>
      <c r="N14" s="386">
        <v>0</v>
      </c>
      <c r="O14" s="386">
        <v>13130.54</v>
      </c>
      <c r="P14" s="386">
        <v>0</v>
      </c>
      <c r="Q14" s="386">
        <v>13130.54</v>
      </c>
      <c r="R14" s="386">
        <v>0</v>
      </c>
      <c r="S14" s="386">
        <v>13130.54</v>
      </c>
      <c r="T14" s="386">
        <v>0</v>
      </c>
      <c r="U14" s="386">
        <v>13130.54</v>
      </c>
      <c r="V14" s="386">
        <v>0</v>
      </c>
      <c r="W14" s="386">
        <v>13130.54</v>
      </c>
      <c r="X14" s="386">
        <v>0</v>
      </c>
      <c r="Y14" s="386">
        <v>13130.54</v>
      </c>
      <c r="Z14" s="386">
        <v>0</v>
      </c>
      <c r="AA14" s="386">
        <v>13130.54</v>
      </c>
      <c r="AB14" s="386">
        <v>0</v>
      </c>
      <c r="AC14" s="386">
        <v>13130.54</v>
      </c>
      <c r="AD14" s="386">
        <v>0</v>
      </c>
      <c r="AE14" s="386">
        <f t="shared" si="1"/>
        <v>13130.540000000006</v>
      </c>
      <c r="AF14" s="386">
        <f t="shared" si="0"/>
        <v>0</v>
      </c>
    </row>
    <row r="15" spans="1:35">
      <c r="A15" s="380">
        <v>7</v>
      </c>
      <c r="C15" s="384" t="s">
        <v>806</v>
      </c>
      <c r="D15" s="385" t="s">
        <v>804</v>
      </c>
      <c r="E15" s="386">
        <v>7692.66</v>
      </c>
      <c r="F15" s="386">
        <v>6570.3600000000006</v>
      </c>
      <c r="G15" s="386">
        <v>7692.66</v>
      </c>
      <c r="H15" s="386">
        <v>6580.49</v>
      </c>
      <c r="I15" s="386">
        <v>7692.66</v>
      </c>
      <c r="J15" s="386">
        <v>6590.62</v>
      </c>
      <c r="K15" s="386">
        <v>7692.66</v>
      </c>
      <c r="L15" s="386">
        <v>6600.75</v>
      </c>
      <c r="M15" s="386">
        <v>7692.66</v>
      </c>
      <c r="N15" s="386">
        <v>6610.88</v>
      </c>
      <c r="O15" s="386">
        <v>7692.66</v>
      </c>
      <c r="P15" s="386">
        <v>6621.01</v>
      </c>
      <c r="Q15" s="386">
        <v>7692.66</v>
      </c>
      <c r="R15" s="386">
        <v>6631.14</v>
      </c>
      <c r="S15" s="386">
        <v>7692.66</v>
      </c>
      <c r="T15" s="386">
        <v>6641.27</v>
      </c>
      <c r="U15" s="386">
        <v>7692.66</v>
      </c>
      <c r="V15" s="386">
        <v>6651.4000000000005</v>
      </c>
      <c r="W15" s="386">
        <v>7692.66</v>
      </c>
      <c r="X15" s="386">
        <v>6661.53</v>
      </c>
      <c r="Y15" s="386">
        <v>7692.66</v>
      </c>
      <c r="Z15" s="386">
        <v>6671.66</v>
      </c>
      <c r="AA15" s="386">
        <v>7692.66</v>
      </c>
      <c r="AB15" s="386">
        <v>6681.79</v>
      </c>
      <c r="AC15" s="386">
        <v>7692.66</v>
      </c>
      <c r="AD15" s="386">
        <v>6691.92</v>
      </c>
      <c r="AE15" s="386">
        <f t="shared" si="1"/>
        <v>7692.6600000000026</v>
      </c>
      <c r="AF15" s="386">
        <f t="shared" si="0"/>
        <v>6631.1399999999994</v>
      </c>
    </row>
    <row r="16" spans="1:35">
      <c r="A16" s="380">
        <v>8</v>
      </c>
      <c r="C16" s="384" t="s">
        <v>807</v>
      </c>
      <c r="D16" s="385" t="s">
        <v>804</v>
      </c>
      <c r="E16" s="386">
        <v>6203474.7999999998</v>
      </c>
      <c r="F16" s="386">
        <v>3617351.33</v>
      </c>
      <c r="G16" s="386">
        <v>6203474.7999999998</v>
      </c>
      <c r="H16" s="386">
        <v>3626759.93</v>
      </c>
      <c r="I16" s="386">
        <v>6203474.7999999998</v>
      </c>
      <c r="J16" s="386">
        <v>3636168.5300000003</v>
      </c>
      <c r="K16" s="386">
        <v>6203474.7999999998</v>
      </c>
      <c r="L16" s="386">
        <v>3645577.13</v>
      </c>
      <c r="M16" s="386">
        <v>6203474.7999999998</v>
      </c>
      <c r="N16" s="386">
        <v>3654985.73</v>
      </c>
      <c r="O16" s="386">
        <v>6203474.7999999998</v>
      </c>
      <c r="P16" s="386">
        <v>3664394.33</v>
      </c>
      <c r="Q16" s="386">
        <v>6203474.7999999998</v>
      </c>
      <c r="R16" s="386">
        <v>3673802.93</v>
      </c>
      <c r="S16" s="386">
        <v>6203474.7999999998</v>
      </c>
      <c r="T16" s="386">
        <v>3683211.5300000003</v>
      </c>
      <c r="U16" s="386">
        <v>6203474.7999999998</v>
      </c>
      <c r="V16" s="386">
        <v>3692620.13</v>
      </c>
      <c r="W16" s="386">
        <v>6203474.7999999998</v>
      </c>
      <c r="X16" s="386">
        <v>3702028.73</v>
      </c>
      <c r="Y16" s="386">
        <v>6203474.7999999998</v>
      </c>
      <c r="Z16" s="386">
        <v>3711437.33</v>
      </c>
      <c r="AA16" s="386">
        <v>6203474.7999999998</v>
      </c>
      <c r="AB16" s="386">
        <v>3720845.93</v>
      </c>
      <c r="AC16" s="386">
        <v>6203474.7999999998</v>
      </c>
      <c r="AD16" s="386">
        <v>3730254.5300000003</v>
      </c>
      <c r="AE16" s="386">
        <f t="shared" si="1"/>
        <v>6203474.799999998</v>
      </c>
      <c r="AF16" s="386">
        <f t="shared" si="0"/>
        <v>3673802.9299999997</v>
      </c>
    </row>
    <row r="17" spans="1:32">
      <c r="A17" s="380">
        <v>9</v>
      </c>
      <c r="C17" s="384" t="s">
        <v>808</v>
      </c>
      <c r="D17" s="385" t="s">
        <v>804</v>
      </c>
      <c r="E17" s="386">
        <v>36161.700000000004</v>
      </c>
      <c r="F17" s="386">
        <v>-4119.8</v>
      </c>
      <c r="G17" s="386">
        <v>36161.700000000004</v>
      </c>
      <c r="H17" s="386">
        <v>-4107.45</v>
      </c>
      <c r="I17" s="386">
        <v>36161.700000000004</v>
      </c>
      <c r="J17" s="386">
        <v>-4095.1</v>
      </c>
      <c r="K17" s="386">
        <v>36161.700000000004</v>
      </c>
      <c r="L17" s="386">
        <v>-4082.75</v>
      </c>
      <c r="M17" s="386">
        <v>36161.700000000004</v>
      </c>
      <c r="N17" s="386">
        <v>-4070.4</v>
      </c>
      <c r="O17" s="386">
        <v>36161.700000000004</v>
      </c>
      <c r="P17" s="386">
        <v>-4058.05</v>
      </c>
      <c r="Q17" s="386">
        <v>36161.700000000004</v>
      </c>
      <c r="R17" s="386">
        <v>-4045.7000000000003</v>
      </c>
      <c r="S17" s="386">
        <v>36161.700000000004</v>
      </c>
      <c r="T17" s="386">
        <v>-4033.35</v>
      </c>
      <c r="U17" s="386">
        <v>36161.700000000004</v>
      </c>
      <c r="V17" s="386">
        <v>-4021</v>
      </c>
      <c r="W17" s="386">
        <v>36161.700000000004</v>
      </c>
      <c r="X17" s="386">
        <v>-4008.65</v>
      </c>
      <c r="Y17" s="386">
        <v>36161.700000000004</v>
      </c>
      <c r="Z17" s="386">
        <v>-3996.3</v>
      </c>
      <c r="AA17" s="386">
        <v>36161.700000000004</v>
      </c>
      <c r="AB17" s="386">
        <v>-3983.9500000000003</v>
      </c>
      <c r="AC17" s="386">
        <v>36161.700000000004</v>
      </c>
      <c r="AD17" s="386">
        <v>-3971.6</v>
      </c>
      <c r="AE17" s="386">
        <f t="shared" si="1"/>
        <v>36161.700000000004</v>
      </c>
      <c r="AF17" s="386">
        <f t="shared" si="0"/>
        <v>-4045.6999999999994</v>
      </c>
    </row>
    <row r="18" spans="1:32">
      <c r="A18" s="380">
        <v>10</v>
      </c>
      <c r="C18" s="384" t="s">
        <v>809</v>
      </c>
      <c r="D18" s="385" t="s">
        <v>804</v>
      </c>
      <c r="E18" s="386">
        <v>235020</v>
      </c>
      <c r="F18" s="386">
        <v>6734.6100000000006</v>
      </c>
      <c r="G18" s="386">
        <v>235020</v>
      </c>
      <c r="H18" s="386">
        <v>7102.81</v>
      </c>
      <c r="I18" s="386">
        <v>235020</v>
      </c>
      <c r="J18" s="386">
        <v>7471.01</v>
      </c>
      <c r="K18" s="386">
        <v>235020</v>
      </c>
      <c r="L18" s="386">
        <v>7839.21</v>
      </c>
      <c r="M18" s="386">
        <v>235020</v>
      </c>
      <c r="N18" s="386">
        <v>8207.41</v>
      </c>
      <c r="O18" s="386">
        <v>235020</v>
      </c>
      <c r="P18" s="386">
        <v>8575.61</v>
      </c>
      <c r="Q18" s="386">
        <v>235020</v>
      </c>
      <c r="R18" s="386">
        <v>8943.81</v>
      </c>
      <c r="S18" s="386">
        <v>235020</v>
      </c>
      <c r="T18" s="386">
        <v>9312.01</v>
      </c>
      <c r="U18" s="386">
        <v>235020</v>
      </c>
      <c r="V18" s="386">
        <v>9680.2100000000009</v>
      </c>
      <c r="W18" s="386">
        <v>235020</v>
      </c>
      <c r="X18" s="386">
        <v>10048.41</v>
      </c>
      <c r="Y18" s="386">
        <v>235020</v>
      </c>
      <c r="Z18" s="386">
        <v>10416.61</v>
      </c>
      <c r="AA18" s="386">
        <v>235020</v>
      </c>
      <c r="AB18" s="386">
        <v>10784.81</v>
      </c>
      <c r="AC18" s="386">
        <v>235020</v>
      </c>
      <c r="AD18" s="386">
        <v>11153.01</v>
      </c>
      <c r="AE18" s="386">
        <f t="shared" si="1"/>
        <v>235020</v>
      </c>
      <c r="AF18" s="386">
        <f t="shared" si="0"/>
        <v>8943.81</v>
      </c>
    </row>
    <row r="19" spans="1:32">
      <c r="A19" s="380">
        <v>11</v>
      </c>
      <c r="C19" s="384" t="s">
        <v>810</v>
      </c>
      <c r="D19" s="385" t="s">
        <v>804</v>
      </c>
      <c r="E19" s="386">
        <v>142929.49</v>
      </c>
      <c r="F19" s="386">
        <v>0</v>
      </c>
      <c r="G19" s="386">
        <v>142929.49</v>
      </c>
      <c r="H19" s="386">
        <v>0</v>
      </c>
      <c r="I19" s="386">
        <v>142929.49</v>
      </c>
      <c r="J19" s="386">
        <v>0</v>
      </c>
      <c r="K19" s="386">
        <v>142929.49</v>
      </c>
      <c r="L19" s="386">
        <v>0</v>
      </c>
      <c r="M19" s="386">
        <v>142929.49</v>
      </c>
      <c r="N19" s="386">
        <v>0</v>
      </c>
      <c r="O19" s="386">
        <v>142929.49</v>
      </c>
      <c r="P19" s="386">
        <v>0</v>
      </c>
      <c r="Q19" s="386">
        <v>142929.49</v>
      </c>
      <c r="R19" s="386">
        <v>0</v>
      </c>
      <c r="S19" s="386">
        <v>142929.49</v>
      </c>
      <c r="T19" s="386">
        <v>0</v>
      </c>
      <c r="U19" s="386">
        <v>142929.49</v>
      </c>
      <c r="V19" s="386">
        <v>0</v>
      </c>
      <c r="W19" s="386">
        <v>142929.49</v>
      </c>
      <c r="X19" s="386">
        <v>0</v>
      </c>
      <c r="Y19" s="386">
        <v>141860.15</v>
      </c>
      <c r="Z19" s="386">
        <v>0</v>
      </c>
      <c r="AA19" s="386">
        <v>141860.15</v>
      </c>
      <c r="AB19" s="386">
        <v>0</v>
      </c>
      <c r="AC19" s="386">
        <v>141860.15</v>
      </c>
      <c r="AD19" s="386">
        <v>0</v>
      </c>
      <c r="AE19" s="386">
        <f t="shared" si="1"/>
        <v>142706.71083333332</v>
      </c>
      <c r="AF19" s="386">
        <f t="shared" si="0"/>
        <v>0</v>
      </c>
    </row>
    <row r="20" spans="1:32">
      <c r="A20" s="380">
        <v>12</v>
      </c>
      <c r="C20" s="384" t="s">
        <v>811</v>
      </c>
      <c r="D20" s="385" t="s">
        <v>804</v>
      </c>
      <c r="E20" s="386">
        <v>0</v>
      </c>
      <c r="F20" s="386">
        <v>-655.47</v>
      </c>
      <c r="G20" s="386">
        <v>0</v>
      </c>
      <c r="H20" s="386">
        <v>-655.47</v>
      </c>
      <c r="I20" s="386">
        <v>0</v>
      </c>
      <c r="J20" s="386">
        <v>-655.47</v>
      </c>
      <c r="K20" s="386">
        <v>0</v>
      </c>
      <c r="L20" s="386">
        <v>-655.47</v>
      </c>
      <c r="M20" s="386">
        <v>0</v>
      </c>
      <c r="N20" s="386">
        <v>-655.47</v>
      </c>
      <c r="O20" s="386">
        <v>0</v>
      </c>
      <c r="P20" s="386">
        <v>-655.47</v>
      </c>
      <c r="Q20" s="386">
        <v>0</v>
      </c>
      <c r="R20" s="386">
        <v>-655.47</v>
      </c>
      <c r="S20" s="386">
        <v>0</v>
      </c>
      <c r="T20" s="386">
        <v>-655.47</v>
      </c>
      <c r="U20" s="386">
        <v>0</v>
      </c>
      <c r="V20" s="386">
        <v>-655.47</v>
      </c>
      <c r="W20" s="386">
        <v>0</v>
      </c>
      <c r="X20" s="386">
        <v>-655.47</v>
      </c>
      <c r="Y20" s="386">
        <v>0</v>
      </c>
      <c r="Z20" s="386">
        <v>-655.47</v>
      </c>
      <c r="AA20" s="386">
        <v>0</v>
      </c>
      <c r="AB20" s="386">
        <v>-655.47</v>
      </c>
      <c r="AC20" s="386">
        <v>0</v>
      </c>
      <c r="AD20" s="386">
        <v>0</v>
      </c>
      <c r="AE20" s="386">
        <f t="shared" si="1"/>
        <v>0</v>
      </c>
      <c r="AF20" s="386">
        <f t="shared" si="0"/>
        <v>-628.15875000000017</v>
      </c>
    </row>
    <row r="21" spans="1:32">
      <c r="A21" s="380">
        <v>13</v>
      </c>
      <c r="C21" s="384" t="s">
        <v>812</v>
      </c>
      <c r="D21" s="385" t="s">
        <v>804</v>
      </c>
      <c r="E21" s="386">
        <v>363784.97000000003</v>
      </c>
      <c r="F21" s="386">
        <v>259721.56</v>
      </c>
      <c r="G21" s="386">
        <v>363784.97000000003</v>
      </c>
      <c r="H21" s="386">
        <v>260091.41</v>
      </c>
      <c r="I21" s="386">
        <v>363784.97000000003</v>
      </c>
      <c r="J21" s="386">
        <v>260461.26</v>
      </c>
      <c r="K21" s="386">
        <v>363784.97000000003</v>
      </c>
      <c r="L21" s="386">
        <v>260831.11000000002</v>
      </c>
      <c r="M21" s="386">
        <v>363784.97000000003</v>
      </c>
      <c r="N21" s="386">
        <v>261200.96</v>
      </c>
      <c r="O21" s="386">
        <v>363784.97000000003</v>
      </c>
      <c r="P21" s="386">
        <v>261570.81</v>
      </c>
      <c r="Q21" s="386">
        <v>363784.97000000003</v>
      </c>
      <c r="R21" s="386">
        <v>261940.66</v>
      </c>
      <c r="S21" s="386">
        <v>363784.97000000003</v>
      </c>
      <c r="T21" s="386">
        <v>262310.51</v>
      </c>
      <c r="U21" s="386">
        <v>363784.97000000003</v>
      </c>
      <c r="V21" s="386">
        <v>262680.36</v>
      </c>
      <c r="W21" s="386">
        <v>363784.97000000003</v>
      </c>
      <c r="X21" s="386">
        <v>263050.21000000002</v>
      </c>
      <c r="Y21" s="386">
        <v>363784.97000000003</v>
      </c>
      <c r="Z21" s="386">
        <v>263420.06</v>
      </c>
      <c r="AA21" s="386">
        <v>363784.97000000003</v>
      </c>
      <c r="AB21" s="386">
        <v>263789.91000000003</v>
      </c>
      <c r="AC21" s="386">
        <v>363784.97000000003</v>
      </c>
      <c r="AD21" s="386">
        <v>263504.28999999998</v>
      </c>
      <c r="AE21" s="386">
        <f t="shared" si="1"/>
        <v>363784.97000000015</v>
      </c>
      <c r="AF21" s="386">
        <f t="shared" si="0"/>
        <v>261913.34875</v>
      </c>
    </row>
    <row r="22" spans="1:32">
      <c r="A22" s="380">
        <v>14</v>
      </c>
      <c r="C22" s="384" t="s">
        <v>813</v>
      </c>
      <c r="D22" s="385" t="s">
        <v>804</v>
      </c>
      <c r="E22" s="386">
        <v>17457159.5</v>
      </c>
      <c r="F22" s="386">
        <v>5304514.93</v>
      </c>
      <c r="G22" s="386">
        <v>17470148.219999999</v>
      </c>
      <c r="H22" s="386">
        <v>5321077.45</v>
      </c>
      <c r="I22" s="386">
        <v>18880117.309999999</v>
      </c>
      <c r="J22" s="386">
        <v>5339272.26</v>
      </c>
      <c r="K22" s="386">
        <v>18983556.84</v>
      </c>
      <c r="L22" s="386">
        <v>5358939.05</v>
      </c>
      <c r="M22" s="386">
        <v>19288268.719999999</v>
      </c>
      <c r="N22" s="386">
        <v>5378713.5899999999</v>
      </c>
      <c r="O22" s="386">
        <v>19320226.48</v>
      </c>
      <c r="P22" s="386">
        <v>5357731.29</v>
      </c>
      <c r="Q22" s="386">
        <v>21238002.859999999</v>
      </c>
      <c r="R22" s="386">
        <v>5377856.5300000003</v>
      </c>
      <c r="S22" s="386">
        <v>21210910.850000001</v>
      </c>
      <c r="T22" s="386">
        <v>5392398.8799999999</v>
      </c>
      <c r="U22" s="386">
        <v>21217398.07</v>
      </c>
      <c r="V22" s="386">
        <v>5400461.4400000004</v>
      </c>
      <c r="W22" s="386">
        <v>21204115.09</v>
      </c>
      <c r="X22" s="386">
        <v>5385735.6399999997</v>
      </c>
      <c r="Y22" s="386">
        <v>21639150.960000001</v>
      </c>
      <c r="Z22" s="386">
        <v>5407823.2599999998</v>
      </c>
      <c r="AA22" s="386">
        <v>21692115.09</v>
      </c>
      <c r="AB22" s="386">
        <v>5421833.0999999996</v>
      </c>
      <c r="AC22" s="386">
        <v>21829158.440000001</v>
      </c>
      <c r="AD22" s="386">
        <v>5443378.3200000003</v>
      </c>
      <c r="AE22" s="386">
        <f t="shared" si="1"/>
        <v>20148930.788333334</v>
      </c>
      <c r="AF22" s="386">
        <f t="shared" si="0"/>
        <v>5376315.7595833335</v>
      </c>
    </row>
    <row r="23" spans="1:32">
      <c r="A23" s="380">
        <v>15</v>
      </c>
      <c r="C23" s="384" t="s">
        <v>814</v>
      </c>
      <c r="D23" s="385" t="s">
        <v>804</v>
      </c>
      <c r="E23" s="386">
        <v>45568637.829999998</v>
      </c>
      <c r="F23" s="386">
        <v>13807411.17</v>
      </c>
      <c r="G23" s="386">
        <v>45695294.729999997</v>
      </c>
      <c r="H23" s="386">
        <v>13962943.1</v>
      </c>
      <c r="I23" s="386">
        <v>45789592.32</v>
      </c>
      <c r="J23" s="386">
        <v>14120144.15</v>
      </c>
      <c r="K23" s="386">
        <v>46506902.200000003</v>
      </c>
      <c r="L23" s="386">
        <v>14275652.9</v>
      </c>
      <c r="M23" s="386">
        <v>46630250.539999999</v>
      </c>
      <c r="N23" s="386">
        <v>14435260.029999999</v>
      </c>
      <c r="O23" s="386">
        <v>46885998.5</v>
      </c>
      <c r="P23" s="386">
        <v>14590852.130000001</v>
      </c>
      <c r="Q23" s="386">
        <v>47151495.109999999</v>
      </c>
      <c r="R23" s="386">
        <v>14751319.699999999</v>
      </c>
      <c r="S23" s="386">
        <v>47313875.799999997</v>
      </c>
      <c r="T23" s="386">
        <v>14913179.93</v>
      </c>
      <c r="U23" s="386">
        <v>47658949.960000001</v>
      </c>
      <c r="V23" s="386">
        <v>15076018.52</v>
      </c>
      <c r="W23" s="386">
        <v>47763502.090000004</v>
      </c>
      <c r="X23" s="386">
        <v>15240044.74</v>
      </c>
      <c r="Y23" s="386">
        <v>49069094.310000002</v>
      </c>
      <c r="Z23" s="386">
        <v>15404430.789999999</v>
      </c>
      <c r="AA23" s="386">
        <v>49142622.759999998</v>
      </c>
      <c r="AB23" s="386">
        <v>15573310.26</v>
      </c>
      <c r="AC23" s="386">
        <v>49535595.829999998</v>
      </c>
      <c r="AD23" s="386">
        <v>15741269.390000001</v>
      </c>
      <c r="AE23" s="386">
        <f t="shared" si="1"/>
        <v>47263307.929166667</v>
      </c>
      <c r="AF23" s="386">
        <f t="shared" si="0"/>
        <v>14759791.377499998</v>
      </c>
    </row>
    <row r="24" spans="1:32">
      <c r="A24" s="380">
        <v>16</v>
      </c>
      <c r="C24" s="384" t="s">
        <v>815</v>
      </c>
      <c r="D24" s="385" t="s">
        <v>804</v>
      </c>
      <c r="E24" s="386">
        <v>38654414.200000003</v>
      </c>
      <c r="F24" s="386">
        <v>24188794.98</v>
      </c>
      <c r="G24" s="386">
        <v>39227252.979999997</v>
      </c>
      <c r="H24" s="386">
        <v>24254648.25</v>
      </c>
      <c r="I24" s="386">
        <v>39267720.729999997</v>
      </c>
      <c r="J24" s="386">
        <v>24319597</v>
      </c>
      <c r="K24" s="386">
        <v>39323931.909999996</v>
      </c>
      <c r="L24" s="386">
        <v>24387958.300000001</v>
      </c>
      <c r="M24" s="386">
        <v>39325525.289999999</v>
      </c>
      <c r="N24" s="386">
        <v>24459950.809999999</v>
      </c>
      <c r="O24" s="386">
        <v>39692175.439999998</v>
      </c>
      <c r="P24" s="386">
        <v>24528559.890000001</v>
      </c>
      <c r="Q24" s="386">
        <v>39798838.420000002</v>
      </c>
      <c r="R24" s="386">
        <v>24601328.879999999</v>
      </c>
      <c r="S24" s="386">
        <v>39920861.149999999</v>
      </c>
      <c r="T24" s="386">
        <v>24674033.120000001</v>
      </c>
      <c r="U24" s="386">
        <v>39982370.979999997</v>
      </c>
      <c r="V24" s="386">
        <v>24710556.190000001</v>
      </c>
      <c r="W24" s="386">
        <v>40002481.490000002</v>
      </c>
      <c r="X24" s="386">
        <v>24783857.199999999</v>
      </c>
      <c r="Y24" s="386">
        <v>40425636.719999999</v>
      </c>
      <c r="Z24" s="386">
        <v>24851610.649999999</v>
      </c>
      <c r="AA24" s="386">
        <v>40421612.530000001</v>
      </c>
      <c r="AB24" s="386">
        <v>24925597.350000001</v>
      </c>
      <c r="AC24" s="386">
        <v>40643375.299999997</v>
      </c>
      <c r="AD24" s="386">
        <v>24982388.82</v>
      </c>
      <c r="AE24" s="386">
        <f t="shared" si="1"/>
        <v>39753108.532499999</v>
      </c>
      <c r="AF24" s="386">
        <f t="shared" si="0"/>
        <v>24590274.12833333</v>
      </c>
    </row>
    <row r="25" spans="1:32">
      <c r="A25" s="380">
        <v>17</v>
      </c>
      <c r="C25" s="384" t="s">
        <v>816</v>
      </c>
      <c r="D25" s="385" t="s">
        <v>804</v>
      </c>
      <c r="E25" s="386">
        <v>10605833.859999999</v>
      </c>
      <c r="F25" s="386">
        <v>3322284.12</v>
      </c>
      <c r="G25" s="386">
        <v>10611033.15</v>
      </c>
      <c r="H25" s="386">
        <v>3339253.46</v>
      </c>
      <c r="I25" s="386">
        <v>10612003.83</v>
      </c>
      <c r="J25" s="386">
        <v>3356231.12</v>
      </c>
      <c r="K25" s="386">
        <v>10701743.49</v>
      </c>
      <c r="L25" s="386">
        <v>3373210.32</v>
      </c>
      <c r="M25" s="386">
        <v>10727056.119999999</v>
      </c>
      <c r="N25" s="386">
        <v>3390333.11</v>
      </c>
      <c r="O25" s="386">
        <v>10834779.59</v>
      </c>
      <c r="P25" s="386">
        <v>3373235.37</v>
      </c>
      <c r="Q25" s="386">
        <v>10864742.210000001</v>
      </c>
      <c r="R25" s="386">
        <v>3390571.01</v>
      </c>
      <c r="S25" s="386">
        <v>10865881.460000001</v>
      </c>
      <c r="T25" s="386">
        <v>3407954.6</v>
      </c>
      <c r="U25" s="386">
        <v>10868404.310000001</v>
      </c>
      <c r="V25" s="386">
        <v>3425340.01</v>
      </c>
      <c r="W25" s="386">
        <v>10902308.039999999</v>
      </c>
      <c r="X25" s="386">
        <v>3395330.2</v>
      </c>
      <c r="Y25" s="386">
        <v>11004653.49</v>
      </c>
      <c r="Z25" s="386">
        <v>3412773.9</v>
      </c>
      <c r="AA25" s="386">
        <v>11034970.210000001</v>
      </c>
      <c r="AB25" s="386">
        <v>3430381.35</v>
      </c>
      <c r="AC25" s="386">
        <v>11123787.66</v>
      </c>
      <c r="AD25" s="386">
        <v>3441715.64</v>
      </c>
      <c r="AE25" s="386">
        <f t="shared" si="1"/>
        <v>10824365.554999998</v>
      </c>
      <c r="AF25" s="386">
        <f t="shared" si="0"/>
        <v>3389717.8608333338</v>
      </c>
    </row>
    <row r="26" spans="1:32">
      <c r="A26" s="380">
        <v>18</v>
      </c>
      <c r="C26" s="384" t="s">
        <v>817</v>
      </c>
      <c r="D26" s="385" t="s">
        <v>804</v>
      </c>
      <c r="E26" s="386">
        <v>43368051.479999997</v>
      </c>
      <c r="F26" s="386">
        <v>15985848.4</v>
      </c>
      <c r="G26" s="386">
        <v>43642773.369999997</v>
      </c>
      <c r="H26" s="386">
        <v>16121384.460000001</v>
      </c>
      <c r="I26" s="386">
        <v>43821322.840000004</v>
      </c>
      <c r="J26" s="386">
        <v>16258278.9</v>
      </c>
      <c r="K26" s="386">
        <v>43959282.869999997</v>
      </c>
      <c r="L26" s="386">
        <v>16395604.93</v>
      </c>
      <c r="M26" s="386">
        <v>44409052.390000001</v>
      </c>
      <c r="N26" s="386">
        <v>16537214.27</v>
      </c>
      <c r="O26" s="386">
        <v>44816983.840000004</v>
      </c>
      <c r="P26" s="386">
        <v>16678859.439999999</v>
      </c>
      <c r="Q26" s="386">
        <v>45173782.859999999</v>
      </c>
      <c r="R26" s="386">
        <v>16823767.690000001</v>
      </c>
      <c r="S26" s="386">
        <v>45605928.149999999</v>
      </c>
      <c r="T26" s="386">
        <v>16969030.879999999</v>
      </c>
      <c r="U26" s="386">
        <v>45821018.869999997</v>
      </c>
      <c r="V26" s="386">
        <v>17116490.050000001</v>
      </c>
      <c r="W26" s="386">
        <v>46175684.920000002</v>
      </c>
      <c r="X26" s="386">
        <v>17264644.670000002</v>
      </c>
      <c r="Y26" s="386">
        <v>46880968.020000003</v>
      </c>
      <c r="Z26" s="386">
        <v>17413105.93</v>
      </c>
      <c r="AA26" s="386">
        <v>47422160.060000002</v>
      </c>
      <c r="AB26" s="386">
        <v>17548901.039999999</v>
      </c>
      <c r="AC26" s="386">
        <v>47881219.5</v>
      </c>
      <c r="AD26" s="386">
        <v>17690092.91</v>
      </c>
      <c r="AE26" s="386">
        <f t="shared" si="1"/>
        <v>45279466.139999993</v>
      </c>
      <c r="AF26" s="386">
        <f t="shared" si="0"/>
        <v>16830437.742916666</v>
      </c>
    </row>
    <row r="27" spans="1:32">
      <c r="A27" s="380">
        <v>19</v>
      </c>
      <c r="C27" s="384" t="s">
        <v>818</v>
      </c>
      <c r="D27" s="385" t="s">
        <v>804</v>
      </c>
      <c r="E27" s="386">
        <v>12916898.949999999</v>
      </c>
      <c r="F27" s="386">
        <v>19573186.780000001</v>
      </c>
      <c r="G27" s="386">
        <v>12906614.18</v>
      </c>
      <c r="H27" s="386">
        <v>19567476.260000002</v>
      </c>
      <c r="I27" s="386">
        <v>12905666.01</v>
      </c>
      <c r="J27" s="386">
        <v>19572503.57</v>
      </c>
      <c r="K27" s="386">
        <v>12898264.699999999</v>
      </c>
      <c r="L27" s="386">
        <v>19591045.690000001</v>
      </c>
      <c r="M27" s="386">
        <v>12898567.27</v>
      </c>
      <c r="N27" s="386">
        <v>19624082.780000001</v>
      </c>
      <c r="O27" s="386">
        <v>12898438.939999999</v>
      </c>
      <c r="P27" s="386">
        <v>19641071.539999999</v>
      </c>
      <c r="Q27" s="386">
        <v>12898454.189999999</v>
      </c>
      <c r="R27" s="386">
        <v>19652965.050000001</v>
      </c>
      <c r="S27" s="386">
        <v>12901082.91</v>
      </c>
      <c r="T27" s="386">
        <v>19683003.539999999</v>
      </c>
      <c r="U27" s="386">
        <v>12901082.91</v>
      </c>
      <c r="V27" s="386">
        <v>19718804.039999999</v>
      </c>
      <c r="W27" s="386">
        <v>12901091.609999999</v>
      </c>
      <c r="X27" s="386">
        <v>19754604.539999999</v>
      </c>
      <c r="Y27" s="386">
        <v>12900367.16</v>
      </c>
      <c r="Z27" s="386">
        <v>19789680.620000001</v>
      </c>
      <c r="AA27" s="386">
        <v>12894722.27</v>
      </c>
      <c r="AB27" s="386">
        <v>19761323.850000001</v>
      </c>
      <c r="AC27" s="386">
        <v>12890838.57</v>
      </c>
      <c r="AD27" s="386">
        <v>19737147.850000001</v>
      </c>
      <c r="AE27" s="386">
        <f t="shared" si="1"/>
        <v>12900685.07583333</v>
      </c>
      <c r="AF27" s="386">
        <f t="shared" si="0"/>
        <v>19667644.06625</v>
      </c>
    </row>
    <row r="28" spans="1:32">
      <c r="A28" s="380">
        <v>20</v>
      </c>
      <c r="C28" s="384" t="s">
        <v>819</v>
      </c>
      <c r="D28" s="385" t="s">
        <v>804</v>
      </c>
      <c r="E28" s="386">
        <v>9659588.1699999999</v>
      </c>
      <c r="F28" s="386">
        <v>3808055.25</v>
      </c>
      <c r="G28" s="386">
        <v>9662626.8800000008</v>
      </c>
      <c r="H28" s="386">
        <v>3819587.83</v>
      </c>
      <c r="I28" s="386">
        <v>9672077.2300000004</v>
      </c>
      <c r="J28" s="386">
        <v>3834461.65</v>
      </c>
      <c r="K28" s="386">
        <v>9677436.7300000004</v>
      </c>
      <c r="L28" s="386">
        <v>3848361.38</v>
      </c>
      <c r="M28" s="386">
        <v>9682944.8800000008</v>
      </c>
      <c r="N28" s="386">
        <v>3863315.95</v>
      </c>
      <c r="O28" s="386">
        <v>9692258.4199999999</v>
      </c>
      <c r="P28" s="386">
        <v>3878294.5300000003</v>
      </c>
      <c r="Q28" s="386">
        <v>9697904.4199999999</v>
      </c>
      <c r="R28" s="386">
        <v>3893317.5300000003</v>
      </c>
      <c r="S28" s="386">
        <v>9701743.0999999996</v>
      </c>
      <c r="T28" s="386">
        <v>3908254.89</v>
      </c>
      <c r="U28" s="386">
        <v>9693953.3300000001</v>
      </c>
      <c r="V28" s="386">
        <v>3914023.5</v>
      </c>
      <c r="W28" s="386">
        <v>9697782.7699999996</v>
      </c>
      <c r="X28" s="386">
        <v>3929049.13</v>
      </c>
      <c r="Y28" s="386">
        <v>9708494.0099999998</v>
      </c>
      <c r="Z28" s="386">
        <v>3944080.7</v>
      </c>
      <c r="AA28" s="386">
        <v>9712786.4100000001</v>
      </c>
      <c r="AB28" s="386">
        <v>3957187.36</v>
      </c>
      <c r="AC28" s="386">
        <v>9717462.2300000004</v>
      </c>
      <c r="AD28" s="386">
        <v>3971953.69</v>
      </c>
      <c r="AE28" s="386">
        <f t="shared" si="1"/>
        <v>9690711.1150000002</v>
      </c>
      <c r="AF28" s="386">
        <f t="shared" si="0"/>
        <v>3889994.91</v>
      </c>
    </row>
    <row r="29" spans="1:32">
      <c r="A29" s="380">
        <v>21</v>
      </c>
      <c r="C29" s="384" t="s">
        <v>820</v>
      </c>
      <c r="D29" s="385" t="s">
        <v>804</v>
      </c>
      <c r="E29" s="386">
        <v>2199897.91</v>
      </c>
      <c r="F29" s="386">
        <v>795547.13</v>
      </c>
      <c r="G29" s="386">
        <v>2190958.23</v>
      </c>
      <c r="H29" s="386">
        <v>787233.38</v>
      </c>
      <c r="I29" s="386">
        <v>2195167.7599999998</v>
      </c>
      <c r="J29" s="386">
        <v>791213.62</v>
      </c>
      <c r="K29" s="386">
        <v>2256522.1800000002</v>
      </c>
      <c r="L29" s="386">
        <v>795201.51</v>
      </c>
      <c r="M29" s="386">
        <v>2259957.19</v>
      </c>
      <c r="N29" s="386">
        <v>797189.95000000007</v>
      </c>
      <c r="O29" s="386">
        <v>2264300.61</v>
      </c>
      <c r="P29" s="386">
        <v>799073.95000000007</v>
      </c>
      <c r="Q29" s="386">
        <v>2263852.5499999998</v>
      </c>
      <c r="R29" s="386">
        <v>803187.43</v>
      </c>
      <c r="S29" s="386">
        <v>2264017.5</v>
      </c>
      <c r="T29" s="386">
        <v>803566.4</v>
      </c>
      <c r="U29" s="386">
        <v>2277306.17</v>
      </c>
      <c r="V29" s="386">
        <v>810036.08000000007</v>
      </c>
      <c r="W29" s="386">
        <v>2388449.0699999998</v>
      </c>
      <c r="X29" s="386">
        <v>801396.1</v>
      </c>
      <c r="Y29" s="386">
        <v>2410067.63</v>
      </c>
      <c r="Z29" s="386">
        <v>802701.49</v>
      </c>
      <c r="AA29" s="386">
        <v>2409988.66</v>
      </c>
      <c r="AB29" s="386">
        <v>805474.12</v>
      </c>
      <c r="AC29" s="386">
        <v>2441943.67</v>
      </c>
      <c r="AD29" s="386">
        <v>808988.32000000007</v>
      </c>
      <c r="AE29" s="386">
        <f t="shared" si="1"/>
        <v>2291792.3616666663</v>
      </c>
      <c r="AF29" s="386">
        <f t="shared" si="0"/>
        <v>799878.47958333325</v>
      </c>
    </row>
    <row r="30" spans="1:32">
      <c r="A30" s="380">
        <v>22</v>
      </c>
      <c r="C30" s="384" t="s">
        <v>821</v>
      </c>
      <c r="D30" s="385" t="s">
        <v>804</v>
      </c>
      <c r="E30" s="386">
        <v>0</v>
      </c>
      <c r="F30" s="386">
        <v>-256.08</v>
      </c>
      <c r="G30" s="386">
        <v>0</v>
      </c>
      <c r="H30" s="386">
        <v>-256.08</v>
      </c>
      <c r="I30" s="386">
        <v>0</v>
      </c>
      <c r="J30" s="386">
        <v>-256.08</v>
      </c>
      <c r="K30" s="386">
        <v>0</v>
      </c>
      <c r="L30" s="386">
        <v>-256.08</v>
      </c>
      <c r="M30" s="386">
        <v>0</v>
      </c>
      <c r="N30" s="386">
        <v>-256.08</v>
      </c>
      <c r="O30" s="386">
        <v>0</v>
      </c>
      <c r="P30" s="386">
        <v>-256.08</v>
      </c>
      <c r="Q30" s="386">
        <v>0</v>
      </c>
      <c r="R30" s="386">
        <v>-256.08</v>
      </c>
      <c r="S30" s="386">
        <v>0</v>
      </c>
      <c r="T30" s="386">
        <v>-256.08</v>
      </c>
      <c r="U30" s="386">
        <v>0</v>
      </c>
      <c r="V30" s="386">
        <v>-256.08</v>
      </c>
      <c r="W30" s="386">
        <v>0</v>
      </c>
      <c r="X30" s="386">
        <v>-256.08</v>
      </c>
      <c r="Y30" s="386">
        <v>0</v>
      </c>
      <c r="Z30" s="386">
        <v>-256.08</v>
      </c>
      <c r="AA30" s="386">
        <v>0</v>
      </c>
      <c r="AB30" s="386">
        <v>-256.08</v>
      </c>
      <c r="AC30" s="386">
        <v>0</v>
      </c>
      <c r="AD30" s="386">
        <v>0</v>
      </c>
      <c r="AE30" s="386">
        <f t="shared" si="1"/>
        <v>0</v>
      </c>
      <c r="AF30" s="386">
        <f t="shared" si="0"/>
        <v>-245.40999999999997</v>
      </c>
    </row>
    <row r="31" spans="1:32">
      <c r="A31" s="380">
        <v>23</v>
      </c>
      <c r="C31" s="384" t="s">
        <v>822</v>
      </c>
      <c r="D31" s="385" t="s">
        <v>804</v>
      </c>
      <c r="E31" s="386">
        <v>493301.43</v>
      </c>
      <c r="F31" s="386">
        <v>309237.99</v>
      </c>
      <c r="G31" s="386">
        <v>493301.43</v>
      </c>
      <c r="H31" s="386">
        <v>309237.99</v>
      </c>
      <c r="I31" s="386">
        <v>493301.43</v>
      </c>
      <c r="J31" s="386">
        <v>309237.99</v>
      </c>
      <c r="K31" s="386">
        <v>493301.43</v>
      </c>
      <c r="L31" s="386">
        <v>309237.99</v>
      </c>
      <c r="M31" s="386">
        <v>493301.43</v>
      </c>
      <c r="N31" s="386">
        <v>309237.99</v>
      </c>
      <c r="O31" s="386">
        <v>493301.43</v>
      </c>
      <c r="P31" s="386">
        <v>309237.99</v>
      </c>
      <c r="Q31" s="386">
        <v>493301.43</v>
      </c>
      <c r="R31" s="386">
        <v>309237.99</v>
      </c>
      <c r="S31" s="386">
        <v>493301.43</v>
      </c>
      <c r="T31" s="386">
        <v>309237.99</v>
      </c>
      <c r="U31" s="386">
        <v>493301.43</v>
      </c>
      <c r="V31" s="386">
        <v>309237.99</v>
      </c>
      <c r="W31" s="386">
        <v>493301.43</v>
      </c>
      <c r="X31" s="386">
        <v>309237.99</v>
      </c>
      <c r="Y31" s="386">
        <v>493301.43</v>
      </c>
      <c r="Z31" s="386">
        <v>309237.99</v>
      </c>
      <c r="AA31" s="386">
        <v>493301.43</v>
      </c>
      <c r="AB31" s="386">
        <v>309237.99</v>
      </c>
      <c r="AC31" s="386">
        <v>493301.43</v>
      </c>
      <c r="AD31" s="386">
        <v>309237.99</v>
      </c>
      <c r="AE31" s="386">
        <f t="shared" si="1"/>
        <v>493301.42999999993</v>
      </c>
      <c r="AF31" s="386">
        <f t="shared" si="0"/>
        <v>309237.99000000005</v>
      </c>
    </row>
    <row r="32" spans="1:32">
      <c r="A32" s="380">
        <v>24</v>
      </c>
      <c r="C32" s="384" t="s">
        <v>823</v>
      </c>
      <c r="D32" s="385" t="s">
        <v>804</v>
      </c>
      <c r="E32" s="386">
        <v>0</v>
      </c>
      <c r="F32" s="386">
        <v>11145.130000000001</v>
      </c>
      <c r="G32" s="386">
        <v>0</v>
      </c>
      <c r="H32" s="386">
        <v>11145.130000000001</v>
      </c>
      <c r="I32" s="386">
        <v>0</v>
      </c>
      <c r="J32" s="386">
        <v>11145.130000000001</v>
      </c>
      <c r="K32" s="386">
        <v>0</v>
      </c>
      <c r="L32" s="386">
        <v>11145.130000000001</v>
      </c>
      <c r="M32" s="386">
        <v>0</v>
      </c>
      <c r="N32" s="386">
        <v>11145.130000000001</v>
      </c>
      <c r="O32" s="386">
        <v>0</v>
      </c>
      <c r="P32" s="386">
        <v>11145.130000000001</v>
      </c>
      <c r="Q32" s="386">
        <v>0</v>
      </c>
      <c r="R32" s="386">
        <v>11145.130000000001</v>
      </c>
      <c r="S32" s="386">
        <v>0</v>
      </c>
      <c r="T32" s="386">
        <v>11145.130000000001</v>
      </c>
      <c r="U32" s="386">
        <v>0</v>
      </c>
      <c r="V32" s="386">
        <v>11145.130000000001</v>
      </c>
      <c r="W32" s="386">
        <v>0</v>
      </c>
      <c r="X32" s="386">
        <v>11145.130000000001</v>
      </c>
      <c r="Y32" s="386">
        <v>0</v>
      </c>
      <c r="Z32" s="386">
        <v>11145.130000000001</v>
      </c>
      <c r="AA32" s="386">
        <v>0</v>
      </c>
      <c r="AB32" s="386">
        <v>11145.130000000001</v>
      </c>
      <c r="AC32" s="386">
        <v>0</v>
      </c>
      <c r="AD32" s="386">
        <v>0</v>
      </c>
      <c r="AE32" s="386">
        <f t="shared" si="1"/>
        <v>0</v>
      </c>
      <c r="AF32" s="386">
        <f t="shared" si="0"/>
        <v>10680.749583333336</v>
      </c>
    </row>
    <row r="33" spans="1:32">
      <c r="A33" s="380">
        <v>25</v>
      </c>
      <c r="C33" s="384" t="s">
        <v>824</v>
      </c>
      <c r="D33" s="385" t="s">
        <v>804</v>
      </c>
      <c r="E33" s="386">
        <v>4516175.41</v>
      </c>
      <c r="F33" s="386">
        <v>1172226.1400000001</v>
      </c>
      <c r="G33" s="386">
        <v>4516175.41</v>
      </c>
      <c r="H33" s="386">
        <v>1176892.8500000001</v>
      </c>
      <c r="I33" s="386">
        <v>4516175.41</v>
      </c>
      <c r="J33" s="386">
        <v>1181559.56</v>
      </c>
      <c r="K33" s="386">
        <v>4516175.41</v>
      </c>
      <c r="L33" s="386">
        <v>1186226.27</v>
      </c>
      <c r="M33" s="386">
        <v>4516175.41</v>
      </c>
      <c r="N33" s="386">
        <v>1190892.98</v>
      </c>
      <c r="O33" s="386">
        <v>4516175.41</v>
      </c>
      <c r="P33" s="386">
        <v>1195559.69</v>
      </c>
      <c r="Q33" s="386">
        <v>4516175.41</v>
      </c>
      <c r="R33" s="386">
        <v>1200226.3999999999</v>
      </c>
      <c r="S33" s="386">
        <v>4516789.8099999996</v>
      </c>
      <c r="T33" s="386">
        <v>1204893.1100000001</v>
      </c>
      <c r="U33" s="386">
        <v>4516789.8099999996</v>
      </c>
      <c r="V33" s="386">
        <v>1209560.46</v>
      </c>
      <c r="W33" s="386">
        <v>4516789.8099999996</v>
      </c>
      <c r="X33" s="386">
        <v>1214227.81</v>
      </c>
      <c r="Y33" s="386">
        <v>4516789.8099999996</v>
      </c>
      <c r="Z33" s="386">
        <v>1218895.1599999999</v>
      </c>
      <c r="AA33" s="386">
        <v>4516789.8099999996</v>
      </c>
      <c r="AB33" s="386">
        <v>1223562.51</v>
      </c>
      <c r="AC33" s="386">
        <v>4516779.63</v>
      </c>
      <c r="AD33" s="386">
        <v>1239374.99</v>
      </c>
      <c r="AE33" s="386">
        <f t="shared" si="1"/>
        <v>4516456.5858333334</v>
      </c>
      <c r="AF33" s="386">
        <f t="shared" si="0"/>
        <v>1200691.4470833333</v>
      </c>
    </row>
    <row r="34" spans="1:32">
      <c r="A34" s="380">
        <v>26</v>
      </c>
      <c r="C34" s="384" t="s">
        <v>825</v>
      </c>
      <c r="D34" s="385" t="s">
        <v>804</v>
      </c>
      <c r="E34" s="386">
        <v>72240.02</v>
      </c>
      <c r="F34" s="386">
        <v>35909.42</v>
      </c>
      <c r="G34" s="386">
        <v>72240.02</v>
      </c>
      <c r="H34" s="386">
        <v>36955.090000000004</v>
      </c>
      <c r="I34" s="386">
        <v>72240.02</v>
      </c>
      <c r="J34" s="386">
        <v>38000.76</v>
      </c>
      <c r="K34" s="386">
        <v>72240.02</v>
      </c>
      <c r="L34" s="386">
        <v>39046.43</v>
      </c>
      <c r="M34" s="386">
        <v>72240.02</v>
      </c>
      <c r="N34" s="386">
        <v>40092.1</v>
      </c>
      <c r="O34" s="386">
        <v>72240.02</v>
      </c>
      <c r="P34" s="386">
        <v>41137.770000000004</v>
      </c>
      <c r="Q34" s="386">
        <v>72240.02</v>
      </c>
      <c r="R34" s="386">
        <v>42183.44</v>
      </c>
      <c r="S34" s="386">
        <v>72240.02</v>
      </c>
      <c r="T34" s="386">
        <v>43229.11</v>
      </c>
      <c r="U34" s="386">
        <v>72240.02</v>
      </c>
      <c r="V34" s="386">
        <v>44274.78</v>
      </c>
      <c r="W34" s="386">
        <v>72240.02</v>
      </c>
      <c r="X34" s="386">
        <v>45320.450000000004</v>
      </c>
      <c r="Y34" s="386">
        <v>72240.02</v>
      </c>
      <c r="Z34" s="386">
        <v>46366.12</v>
      </c>
      <c r="AA34" s="386">
        <v>72240.02</v>
      </c>
      <c r="AB34" s="386">
        <v>47411.79</v>
      </c>
      <c r="AC34" s="386">
        <v>72240.02</v>
      </c>
      <c r="AD34" s="386">
        <v>48457.46</v>
      </c>
      <c r="AE34" s="386">
        <f t="shared" si="1"/>
        <v>72240.02</v>
      </c>
      <c r="AF34" s="386">
        <f t="shared" si="0"/>
        <v>42183.439999999995</v>
      </c>
    </row>
    <row r="35" spans="1:32">
      <c r="A35" s="380">
        <v>27</v>
      </c>
      <c r="C35" s="384" t="s">
        <v>826</v>
      </c>
      <c r="D35" s="385" t="s">
        <v>804</v>
      </c>
      <c r="E35" s="386">
        <v>106237.48</v>
      </c>
      <c r="F35" s="386">
        <v>30427.39</v>
      </c>
      <c r="G35" s="386">
        <v>106237.48</v>
      </c>
      <c r="H35" s="386">
        <v>30868.28</v>
      </c>
      <c r="I35" s="386">
        <v>106237.48</v>
      </c>
      <c r="J35" s="386">
        <v>31309.170000000002</v>
      </c>
      <c r="K35" s="386">
        <v>106237.48</v>
      </c>
      <c r="L35" s="386">
        <v>31750.06</v>
      </c>
      <c r="M35" s="386">
        <v>106237.48</v>
      </c>
      <c r="N35" s="386">
        <v>32190.95</v>
      </c>
      <c r="O35" s="386">
        <v>106237.48</v>
      </c>
      <c r="P35" s="386">
        <v>32631.84</v>
      </c>
      <c r="Q35" s="386">
        <v>106237.48</v>
      </c>
      <c r="R35" s="386">
        <v>33072.730000000003</v>
      </c>
      <c r="S35" s="386">
        <v>106237.48</v>
      </c>
      <c r="T35" s="386">
        <v>33513.620000000003</v>
      </c>
      <c r="U35" s="386">
        <v>106237.48</v>
      </c>
      <c r="V35" s="386">
        <v>33954.51</v>
      </c>
      <c r="W35" s="386">
        <v>106237.48</v>
      </c>
      <c r="X35" s="386">
        <v>34395.4</v>
      </c>
      <c r="Y35" s="386">
        <v>106237.48</v>
      </c>
      <c r="Z35" s="386">
        <v>34836.29</v>
      </c>
      <c r="AA35" s="386">
        <v>106237.48</v>
      </c>
      <c r="AB35" s="386">
        <v>35277.18</v>
      </c>
      <c r="AC35" s="386">
        <v>106237.48</v>
      </c>
      <c r="AD35" s="386">
        <v>35718.07</v>
      </c>
      <c r="AE35" s="386">
        <f t="shared" si="1"/>
        <v>106237.48</v>
      </c>
      <c r="AF35" s="386">
        <f t="shared" si="0"/>
        <v>33072.729999999996</v>
      </c>
    </row>
    <row r="36" spans="1:32">
      <c r="A36" s="380">
        <v>28</v>
      </c>
      <c r="C36" s="384" t="s">
        <v>827</v>
      </c>
      <c r="D36" s="385" t="s">
        <v>804</v>
      </c>
      <c r="E36" s="386">
        <v>105251.23</v>
      </c>
      <c r="F36" s="386">
        <v>77966.2</v>
      </c>
      <c r="G36" s="386">
        <v>105251.23</v>
      </c>
      <c r="H36" s="386">
        <v>78242.490000000005</v>
      </c>
      <c r="I36" s="386">
        <v>105251.23</v>
      </c>
      <c r="J36" s="386">
        <v>78518.78</v>
      </c>
      <c r="K36" s="386">
        <v>105251.23</v>
      </c>
      <c r="L36" s="386">
        <v>78795.070000000007</v>
      </c>
      <c r="M36" s="386">
        <v>84471.150000000009</v>
      </c>
      <c r="N36" s="386">
        <v>58941.279999999999</v>
      </c>
      <c r="O36" s="386">
        <v>84471.150000000009</v>
      </c>
      <c r="P36" s="386">
        <v>59163.020000000004</v>
      </c>
      <c r="Q36" s="386">
        <v>67111.78</v>
      </c>
      <c r="R36" s="386">
        <v>43825.39</v>
      </c>
      <c r="S36" s="386">
        <v>67111.78</v>
      </c>
      <c r="T36" s="386">
        <v>44001.56</v>
      </c>
      <c r="U36" s="386">
        <v>67111.78</v>
      </c>
      <c r="V36" s="386">
        <v>44177.73</v>
      </c>
      <c r="W36" s="386">
        <v>67111.78</v>
      </c>
      <c r="X36" s="386">
        <v>44353.9</v>
      </c>
      <c r="Y36" s="386">
        <v>67111.78</v>
      </c>
      <c r="Z36" s="386">
        <v>44530.07</v>
      </c>
      <c r="AA36" s="386">
        <v>67111.78</v>
      </c>
      <c r="AB36" s="386">
        <v>44706.239999999998</v>
      </c>
      <c r="AC36" s="386">
        <v>67111.78</v>
      </c>
      <c r="AD36" s="386">
        <v>44882.41</v>
      </c>
      <c r="AE36" s="386">
        <f t="shared" si="1"/>
        <v>81129.014583333352</v>
      </c>
      <c r="AF36" s="386">
        <f t="shared" si="0"/>
        <v>56723.31958333333</v>
      </c>
    </row>
    <row r="37" spans="1:32">
      <c r="A37" s="380">
        <v>29</v>
      </c>
      <c r="C37" s="384" t="s">
        <v>828</v>
      </c>
      <c r="D37" s="385" t="s">
        <v>804</v>
      </c>
      <c r="E37" s="386">
        <v>3646897.84</v>
      </c>
      <c r="F37" s="386">
        <v>1302246.3999999999</v>
      </c>
      <c r="G37" s="386">
        <v>3674015.62</v>
      </c>
      <c r="H37" s="386">
        <v>1320936.75</v>
      </c>
      <c r="I37" s="386">
        <v>3768803.6</v>
      </c>
      <c r="J37" s="386">
        <v>1339766.08</v>
      </c>
      <c r="K37" s="386">
        <v>3768979.7</v>
      </c>
      <c r="L37" s="386">
        <v>1359081.2</v>
      </c>
      <c r="M37" s="386">
        <v>3741418.04</v>
      </c>
      <c r="N37" s="386">
        <v>1359820.8900000001</v>
      </c>
      <c r="O37" s="386">
        <v>3743703.71</v>
      </c>
      <c r="P37" s="386">
        <v>1378995.65</v>
      </c>
      <c r="Q37" s="386">
        <v>3743703.71</v>
      </c>
      <c r="R37" s="386">
        <v>1398182.13</v>
      </c>
      <c r="S37" s="386">
        <v>3743437.4699999997</v>
      </c>
      <c r="T37" s="386">
        <v>1417368.6099999999</v>
      </c>
      <c r="U37" s="386">
        <v>3745026.33</v>
      </c>
      <c r="V37" s="386">
        <v>1436553.72</v>
      </c>
      <c r="W37" s="386">
        <v>3745026.33</v>
      </c>
      <c r="X37" s="386">
        <v>1455746.98</v>
      </c>
      <c r="Y37" s="386">
        <v>3745026.33</v>
      </c>
      <c r="Z37" s="386">
        <v>1474940.24</v>
      </c>
      <c r="AA37" s="386">
        <v>3946238.67</v>
      </c>
      <c r="AB37" s="386">
        <v>1494133.5</v>
      </c>
      <c r="AC37" s="386">
        <v>4251446.0999999996</v>
      </c>
      <c r="AD37" s="386">
        <v>1514357.97</v>
      </c>
      <c r="AE37" s="386">
        <f t="shared" si="1"/>
        <v>3776212.6233333331</v>
      </c>
      <c r="AF37" s="386">
        <f t="shared" si="0"/>
        <v>1403652.3279166669</v>
      </c>
    </row>
    <row r="38" spans="1:32">
      <c r="A38" s="380">
        <v>30</v>
      </c>
      <c r="C38" s="384" t="s">
        <v>829</v>
      </c>
      <c r="D38" s="385" t="s">
        <v>804</v>
      </c>
      <c r="E38" s="386">
        <v>0</v>
      </c>
      <c r="F38" s="386">
        <v>0</v>
      </c>
      <c r="G38" s="386">
        <v>0</v>
      </c>
      <c r="H38" s="386">
        <v>0</v>
      </c>
      <c r="I38" s="386">
        <v>0</v>
      </c>
      <c r="J38" s="386">
        <v>0</v>
      </c>
      <c r="K38" s="386">
        <v>0</v>
      </c>
      <c r="L38" s="386">
        <v>0</v>
      </c>
      <c r="M38" s="386">
        <v>0</v>
      </c>
      <c r="N38" s="386">
        <v>0</v>
      </c>
      <c r="O38" s="386">
        <v>0</v>
      </c>
      <c r="P38" s="386">
        <v>0</v>
      </c>
      <c r="Q38" s="386">
        <v>0</v>
      </c>
      <c r="R38" s="386">
        <v>0</v>
      </c>
      <c r="S38" s="386">
        <v>0</v>
      </c>
      <c r="T38" s="386">
        <v>0</v>
      </c>
      <c r="U38" s="386">
        <v>0</v>
      </c>
      <c r="V38" s="386">
        <v>0</v>
      </c>
      <c r="W38" s="386">
        <v>0</v>
      </c>
      <c r="X38" s="386">
        <v>0</v>
      </c>
      <c r="Y38" s="386">
        <v>0</v>
      </c>
      <c r="Z38" s="386">
        <v>0</v>
      </c>
      <c r="AA38" s="386">
        <v>0</v>
      </c>
      <c r="AB38" s="386">
        <v>0</v>
      </c>
      <c r="AC38" s="386">
        <v>0</v>
      </c>
      <c r="AD38" s="386">
        <v>0</v>
      </c>
      <c r="AE38" s="386">
        <f t="shared" si="1"/>
        <v>0</v>
      </c>
      <c r="AF38" s="386">
        <f t="shared" si="0"/>
        <v>0</v>
      </c>
    </row>
    <row r="39" spans="1:32">
      <c r="A39" s="380">
        <v>31</v>
      </c>
      <c r="C39" s="384" t="s">
        <v>830</v>
      </c>
      <c r="D39" s="385" t="s">
        <v>804</v>
      </c>
      <c r="E39" s="386">
        <v>1518441.77</v>
      </c>
      <c r="F39" s="386">
        <v>393444.7</v>
      </c>
      <c r="G39" s="386">
        <v>1537082.6099999999</v>
      </c>
      <c r="H39" s="386">
        <v>397949.41000000003</v>
      </c>
      <c r="I39" s="386">
        <v>1537082.6099999999</v>
      </c>
      <c r="J39" s="386">
        <v>402509.42</v>
      </c>
      <c r="K39" s="386">
        <v>1527620</v>
      </c>
      <c r="L39" s="386">
        <v>385982.58</v>
      </c>
      <c r="M39" s="386">
        <v>1525092.3399999999</v>
      </c>
      <c r="N39" s="386">
        <v>390514.52</v>
      </c>
      <c r="O39" s="386">
        <v>1525092.3399999999</v>
      </c>
      <c r="P39" s="386">
        <v>395038.96</v>
      </c>
      <c r="Q39" s="386">
        <v>1527145.46</v>
      </c>
      <c r="R39" s="386">
        <v>399563.4</v>
      </c>
      <c r="S39" s="386">
        <v>1527145.46</v>
      </c>
      <c r="T39" s="386">
        <v>404093.93</v>
      </c>
      <c r="U39" s="386">
        <v>1527145.46</v>
      </c>
      <c r="V39" s="386">
        <v>408624.46</v>
      </c>
      <c r="W39" s="386">
        <v>1531614.44</v>
      </c>
      <c r="X39" s="386">
        <v>413154.99</v>
      </c>
      <c r="Y39" s="386">
        <v>1543685.6400000001</v>
      </c>
      <c r="Z39" s="386">
        <v>417698.78</v>
      </c>
      <c r="AA39" s="386">
        <v>1543685.6400000001</v>
      </c>
      <c r="AB39" s="386">
        <v>422278.38</v>
      </c>
      <c r="AC39" s="386">
        <v>1555929.2</v>
      </c>
      <c r="AD39" s="386">
        <v>426857.98</v>
      </c>
      <c r="AE39" s="386">
        <f t="shared" si="1"/>
        <v>1532464.7904166665</v>
      </c>
      <c r="AF39" s="386">
        <f t="shared" si="0"/>
        <v>403963.34749999997</v>
      </c>
    </row>
    <row r="40" spans="1:32">
      <c r="A40" s="380">
        <v>32</v>
      </c>
      <c r="C40" s="384" t="s">
        <v>831</v>
      </c>
      <c r="D40" s="385" t="s">
        <v>804</v>
      </c>
      <c r="E40" s="386">
        <v>886803.63</v>
      </c>
      <c r="F40" s="386">
        <v>-435127.25</v>
      </c>
      <c r="G40" s="386">
        <v>955255.33000000007</v>
      </c>
      <c r="H40" s="386">
        <v>-431299.22000000003</v>
      </c>
      <c r="I40" s="386">
        <v>799438.14</v>
      </c>
      <c r="J40" s="386">
        <v>-372616.89</v>
      </c>
      <c r="K40" s="386">
        <v>808258.24</v>
      </c>
      <c r="L40" s="386">
        <v>-369165.98</v>
      </c>
      <c r="M40" s="386">
        <v>808258.24</v>
      </c>
      <c r="N40" s="386">
        <v>-365677</v>
      </c>
      <c r="O40" s="386">
        <v>808258.24</v>
      </c>
      <c r="P40" s="386">
        <v>-362188.02</v>
      </c>
      <c r="Q40" s="386">
        <v>808258.24</v>
      </c>
      <c r="R40" s="386">
        <v>-358699.04</v>
      </c>
      <c r="S40" s="386">
        <v>808258.24</v>
      </c>
      <c r="T40" s="386">
        <v>-355210.06</v>
      </c>
      <c r="U40" s="386">
        <v>794128.08000000007</v>
      </c>
      <c r="V40" s="386">
        <v>-365851.24</v>
      </c>
      <c r="W40" s="386">
        <v>868888.67</v>
      </c>
      <c r="X40" s="386">
        <v>-449000.57</v>
      </c>
      <c r="Y40" s="386">
        <v>868888.67</v>
      </c>
      <c r="Z40" s="386">
        <v>-445249.86</v>
      </c>
      <c r="AA40" s="386">
        <v>868888.67</v>
      </c>
      <c r="AB40" s="386">
        <v>-441499.15</v>
      </c>
      <c r="AC40" s="386">
        <v>966321.15</v>
      </c>
      <c r="AD40" s="386">
        <v>-445256.66000000003</v>
      </c>
      <c r="AE40" s="386">
        <f t="shared" si="1"/>
        <v>843611.76250000019</v>
      </c>
      <c r="AF40" s="386">
        <f t="shared" si="0"/>
        <v>-396387.41541666671</v>
      </c>
    </row>
    <row r="41" spans="1:32">
      <c r="A41" s="380">
        <v>33</v>
      </c>
      <c r="C41" s="384" t="s">
        <v>832</v>
      </c>
      <c r="D41" s="385" t="s">
        <v>804</v>
      </c>
      <c r="E41" s="386">
        <v>337722.04</v>
      </c>
      <c r="F41" s="386">
        <v>60143.21</v>
      </c>
      <c r="G41" s="386">
        <v>338168.17</v>
      </c>
      <c r="H41" s="386">
        <v>61021.29</v>
      </c>
      <c r="I41" s="386">
        <v>338168.17</v>
      </c>
      <c r="J41" s="386">
        <v>61900.53</v>
      </c>
      <c r="K41" s="386">
        <v>338168.17</v>
      </c>
      <c r="L41" s="386">
        <v>62779.770000000004</v>
      </c>
      <c r="M41" s="386">
        <v>338168.17</v>
      </c>
      <c r="N41" s="386">
        <v>63659.01</v>
      </c>
      <c r="O41" s="386">
        <v>338168.17</v>
      </c>
      <c r="P41" s="386">
        <v>64538.25</v>
      </c>
      <c r="Q41" s="386">
        <v>338168.17</v>
      </c>
      <c r="R41" s="386">
        <v>65417.49</v>
      </c>
      <c r="S41" s="386">
        <v>341752.17</v>
      </c>
      <c r="T41" s="386">
        <v>66296.73</v>
      </c>
      <c r="U41" s="386">
        <v>341752.17</v>
      </c>
      <c r="V41" s="386">
        <v>67185.279999999999</v>
      </c>
      <c r="W41" s="386">
        <v>341752.17</v>
      </c>
      <c r="X41" s="386">
        <v>68073.83</v>
      </c>
      <c r="Y41" s="386">
        <v>341752.17</v>
      </c>
      <c r="Z41" s="386">
        <v>68962.38</v>
      </c>
      <c r="AA41" s="386">
        <v>341752.17</v>
      </c>
      <c r="AB41" s="386">
        <v>69850.930000000008</v>
      </c>
      <c r="AC41" s="386">
        <v>341685.37</v>
      </c>
      <c r="AD41" s="386">
        <v>70739.48</v>
      </c>
      <c r="AE41" s="386">
        <f t="shared" si="1"/>
        <v>339789.46458333329</v>
      </c>
      <c r="AF41" s="386">
        <f t="shared" si="0"/>
        <v>65427.236249999994</v>
      </c>
    </row>
    <row r="42" spans="1:32">
      <c r="A42" s="380">
        <v>34</v>
      </c>
      <c r="C42" s="384" t="s">
        <v>833</v>
      </c>
      <c r="D42" s="385" t="s">
        <v>804</v>
      </c>
      <c r="E42" s="386">
        <v>190417.76</v>
      </c>
      <c r="F42" s="386">
        <v>114167.62</v>
      </c>
      <c r="G42" s="386">
        <v>190417.76</v>
      </c>
      <c r="H42" s="386">
        <v>114891.21</v>
      </c>
      <c r="I42" s="386">
        <v>190417.76</v>
      </c>
      <c r="J42" s="386">
        <v>115614.8</v>
      </c>
      <c r="K42" s="386">
        <v>190417.76</v>
      </c>
      <c r="L42" s="386">
        <v>116338.39</v>
      </c>
      <c r="M42" s="386">
        <v>190417.76</v>
      </c>
      <c r="N42" s="386">
        <v>117061.98</v>
      </c>
      <c r="O42" s="386">
        <v>190417.76</v>
      </c>
      <c r="P42" s="386">
        <v>117785.57</v>
      </c>
      <c r="Q42" s="386">
        <v>190417.76</v>
      </c>
      <c r="R42" s="386">
        <v>118509.16</v>
      </c>
      <c r="S42" s="386">
        <v>190417.76</v>
      </c>
      <c r="T42" s="386">
        <v>119232.75</v>
      </c>
      <c r="U42" s="386">
        <v>190417.76</v>
      </c>
      <c r="V42" s="386">
        <v>119956.34</v>
      </c>
      <c r="W42" s="386">
        <v>190417.76</v>
      </c>
      <c r="X42" s="386">
        <v>120679.93000000001</v>
      </c>
      <c r="Y42" s="386">
        <v>190417.76</v>
      </c>
      <c r="Z42" s="386">
        <v>121403.52</v>
      </c>
      <c r="AA42" s="386">
        <v>190417.76</v>
      </c>
      <c r="AB42" s="386">
        <v>122127.11</v>
      </c>
      <c r="AC42" s="386">
        <v>190417.76</v>
      </c>
      <c r="AD42" s="386">
        <v>122850.7</v>
      </c>
      <c r="AE42" s="386">
        <f t="shared" si="1"/>
        <v>190417.76</v>
      </c>
      <c r="AF42" s="386">
        <f t="shared" si="0"/>
        <v>118509.15999999999</v>
      </c>
    </row>
    <row r="43" spans="1:32">
      <c r="A43" s="380">
        <v>35</v>
      </c>
      <c r="C43" s="384" t="s">
        <v>834</v>
      </c>
      <c r="D43" s="385" t="s">
        <v>804</v>
      </c>
      <c r="E43" s="386">
        <v>295285.8</v>
      </c>
      <c r="F43" s="386">
        <v>96472.7</v>
      </c>
      <c r="G43" s="386">
        <v>295285.8</v>
      </c>
      <c r="H43" s="386">
        <v>98778.39</v>
      </c>
      <c r="I43" s="386">
        <v>295285.8</v>
      </c>
      <c r="J43" s="386">
        <v>101084.08</v>
      </c>
      <c r="K43" s="386">
        <v>295285.8</v>
      </c>
      <c r="L43" s="386">
        <v>103389.77</v>
      </c>
      <c r="M43" s="386">
        <v>295285.8</v>
      </c>
      <c r="N43" s="386">
        <v>105695.46</v>
      </c>
      <c r="O43" s="386">
        <v>295285.8</v>
      </c>
      <c r="P43" s="386">
        <v>108001.15000000001</v>
      </c>
      <c r="Q43" s="386">
        <v>295285.8</v>
      </c>
      <c r="R43" s="386">
        <v>110306.84</v>
      </c>
      <c r="S43" s="386">
        <v>295285.8</v>
      </c>
      <c r="T43" s="386">
        <v>112612.53</v>
      </c>
      <c r="U43" s="386">
        <v>295285.8</v>
      </c>
      <c r="V43" s="386">
        <v>114918.22</v>
      </c>
      <c r="W43" s="386">
        <v>295285.8</v>
      </c>
      <c r="X43" s="386">
        <v>117223.91</v>
      </c>
      <c r="Y43" s="386">
        <v>295285.8</v>
      </c>
      <c r="Z43" s="386">
        <v>119529.60000000001</v>
      </c>
      <c r="AA43" s="386">
        <v>295285.8</v>
      </c>
      <c r="AB43" s="386">
        <v>121835.29000000001</v>
      </c>
      <c r="AC43" s="386">
        <v>295285.8</v>
      </c>
      <c r="AD43" s="386">
        <v>124140.98</v>
      </c>
      <c r="AE43" s="386">
        <f t="shared" si="1"/>
        <v>295285.79999999993</v>
      </c>
      <c r="AF43" s="386">
        <f t="shared" si="0"/>
        <v>110306.84000000003</v>
      </c>
    </row>
    <row r="44" spans="1:32">
      <c r="A44" s="380">
        <v>36</v>
      </c>
      <c r="C44" s="384" t="s">
        <v>835</v>
      </c>
      <c r="D44" s="385" t="s">
        <v>804</v>
      </c>
      <c r="E44" s="386">
        <v>1040813.32</v>
      </c>
      <c r="F44" s="386">
        <v>610785.39</v>
      </c>
      <c r="G44" s="386">
        <v>1040813.32</v>
      </c>
      <c r="H44" s="386">
        <v>610898.14</v>
      </c>
      <c r="I44" s="386">
        <v>1040813.32</v>
      </c>
      <c r="J44" s="386">
        <v>611010.89</v>
      </c>
      <c r="K44" s="386">
        <v>1040813.32</v>
      </c>
      <c r="L44" s="386">
        <v>611123.64</v>
      </c>
      <c r="M44" s="386">
        <v>1040813.32</v>
      </c>
      <c r="N44" s="386">
        <v>611236.39</v>
      </c>
      <c r="O44" s="386">
        <v>1040813.32</v>
      </c>
      <c r="P44" s="386">
        <v>611349.14</v>
      </c>
      <c r="Q44" s="386">
        <v>1040813.32</v>
      </c>
      <c r="R44" s="386">
        <v>611461.89</v>
      </c>
      <c r="S44" s="386">
        <v>1040813.32</v>
      </c>
      <c r="T44" s="386">
        <v>611574.64</v>
      </c>
      <c r="U44" s="386">
        <v>1040813.32</v>
      </c>
      <c r="V44" s="386">
        <v>611687.39</v>
      </c>
      <c r="W44" s="386">
        <v>1040813.32</v>
      </c>
      <c r="X44" s="386">
        <v>611800.14</v>
      </c>
      <c r="Y44" s="386">
        <v>1040813.32</v>
      </c>
      <c r="Z44" s="386">
        <v>611912.89</v>
      </c>
      <c r="AA44" s="386">
        <v>1040813.32</v>
      </c>
      <c r="AB44" s="386">
        <v>612025.64</v>
      </c>
      <c r="AC44" s="386">
        <v>1040813.32</v>
      </c>
      <c r="AD44" s="386">
        <v>612138.39</v>
      </c>
      <c r="AE44" s="386">
        <f t="shared" si="1"/>
        <v>1040813.3200000002</v>
      </c>
      <c r="AF44" s="386">
        <f t="shared" si="0"/>
        <v>611461.8899999999</v>
      </c>
    </row>
    <row r="45" spans="1:32">
      <c r="A45" s="380">
        <v>37</v>
      </c>
      <c r="C45" s="384" t="s">
        <v>836</v>
      </c>
      <c r="D45" s="385" t="s">
        <v>804</v>
      </c>
      <c r="E45" s="386">
        <v>79223.14</v>
      </c>
      <c r="F45" s="386">
        <v>58716.07</v>
      </c>
      <c r="G45" s="386">
        <v>79223.14</v>
      </c>
      <c r="H45" s="386">
        <v>59322.130000000005</v>
      </c>
      <c r="I45" s="386">
        <v>79223.14</v>
      </c>
      <c r="J45" s="386">
        <v>59928.19</v>
      </c>
      <c r="K45" s="386">
        <v>79223.14</v>
      </c>
      <c r="L45" s="386">
        <v>60534.25</v>
      </c>
      <c r="M45" s="386">
        <v>79223.14</v>
      </c>
      <c r="N45" s="386">
        <v>61140.31</v>
      </c>
      <c r="O45" s="386">
        <v>79223.14</v>
      </c>
      <c r="P45" s="386">
        <v>61746.37</v>
      </c>
      <c r="Q45" s="386">
        <v>79223.14</v>
      </c>
      <c r="R45" s="386">
        <v>62352.43</v>
      </c>
      <c r="S45" s="386">
        <v>79223.14</v>
      </c>
      <c r="T45" s="386">
        <v>62958.49</v>
      </c>
      <c r="U45" s="386">
        <v>79223.14</v>
      </c>
      <c r="V45" s="386">
        <v>63564.55</v>
      </c>
      <c r="W45" s="386">
        <v>79223.14</v>
      </c>
      <c r="X45" s="386">
        <v>64170.61</v>
      </c>
      <c r="Y45" s="386">
        <v>79223.14</v>
      </c>
      <c r="Z45" s="386">
        <v>64776.67</v>
      </c>
      <c r="AA45" s="386">
        <v>79223.14</v>
      </c>
      <c r="AB45" s="386">
        <v>65382.73</v>
      </c>
      <c r="AC45" s="386">
        <v>79223.14</v>
      </c>
      <c r="AD45" s="386">
        <v>65988.790000000008</v>
      </c>
      <c r="AE45" s="386">
        <f t="shared" si="1"/>
        <v>79223.14</v>
      </c>
      <c r="AF45" s="386">
        <f t="shared" si="0"/>
        <v>62352.43</v>
      </c>
    </row>
    <row r="46" spans="1:32">
      <c r="C46" s="384" t="s">
        <v>837</v>
      </c>
      <c r="D46" s="385" t="s">
        <v>804</v>
      </c>
      <c r="E46" s="386">
        <v>7208.81</v>
      </c>
      <c r="F46" s="386">
        <v>-644.32000000000005</v>
      </c>
      <c r="G46" s="386">
        <v>7208.81</v>
      </c>
      <c r="H46" s="386">
        <v>-581.18000000000006</v>
      </c>
      <c r="I46" s="386">
        <v>7208.81</v>
      </c>
      <c r="J46" s="386">
        <v>-518.04</v>
      </c>
      <c r="K46" s="386">
        <v>7208.81</v>
      </c>
      <c r="L46" s="386">
        <v>-454.90000000000003</v>
      </c>
      <c r="M46" s="386">
        <v>7208.81</v>
      </c>
      <c r="N46" s="386">
        <v>-391.76</v>
      </c>
      <c r="O46" s="386">
        <v>7208.81</v>
      </c>
      <c r="P46" s="386">
        <v>-328.62</v>
      </c>
      <c r="Q46" s="386">
        <v>7208.81</v>
      </c>
      <c r="R46" s="386">
        <v>-265.48</v>
      </c>
      <c r="S46" s="386">
        <v>7208.81</v>
      </c>
      <c r="T46" s="386">
        <v>-202.34</v>
      </c>
      <c r="U46" s="386">
        <v>7208.81</v>
      </c>
      <c r="V46" s="386">
        <v>-139.20000000000002</v>
      </c>
      <c r="W46" s="386">
        <v>7208.81</v>
      </c>
      <c r="X46" s="386">
        <v>-76.06</v>
      </c>
      <c r="Y46" s="386">
        <v>7208.81</v>
      </c>
      <c r="Z46" s="386">
        <v>-12.92</v>
      </c>
      <c r="AA46" s="386">
        <v>7208.81</v>
      </c>
      <c r="AB46" s="386">
        <v>50.22</v>
      </c>
      <c r="AC46" s="386">
        <v>7208.81</v>
      </c>
      <c r="AD46" s="386">
        <v>113.36</v>
      </c>
      <c r="AE46" s="386">
        <f t="shared" si="1"/>
        <v>7208.8099999999986</v>
      </c>
      <c r="AF46" s="386">
        <f t="shared" si="0"/>
        <v>-265.48</v>
      </c>
    </row>
    <row r="47" spans="1:32" ht="16.2">
      <c r="A47" s="380">
        <v>38</v>
      </c>
      <c r="B47" s="387" t="s">
        <v>70</v>
      </c>
      <c r="C47" s="388"/>
      <c r="D47" s="387" t="s">
        <v>838</v>
      </c>
      <c r="E47" s="389">
        <f>SUBTOTAL(9,E10:E46)</f>
        <v>203750183.19999996</v>
      </c>
      <c r="F47" s="389">
        <f t="shared" ref="F47:AC47" si="2">SUBTOTAL(9,F10:F46)</f>
        <v>94673967.230000004</v>
      </c>
      <c r="G47" s="389">
        <f t="shared" si="2"/>
        <v>204841059.48999998</v>
      </c>
      <c r="H47" s="389">
        <f t="shared" si="2"/>
        <v>95116381.049999967</v>
      </c>
      <c r="I47" s="389">
        <f t="shared" si="2"/>
        <v>206516996.5699999</v>
      </c>
      <c r="J47" s="389">
        <f t="shared" si="2"/>
        <v>95643981.260000005</v>
      </c>
      <c r="K47" s="389">
        <f t="shared" si="2"/>
        <v>207680503.04999992</v>
      </c>
      <c r="L47" s="389">
        <f t="shared" si="2"/>
        <v>96111922.719999969</v>
      </c>
      <c r="M47" s="389">
        <f t="shared" si="2"/>
        <v>208543615.13</v>
      </c>
      <c r="N47" s="389">
        <f t="shared" si="2"/>
        <v>96588070.11999999</v>
      </c>
      <c r="O47" s="389">
        <f t="shared" si="2"/>
        <v>209729440.22</v>
      </c>
      <c r="P47" s="389">
        <f t="shared" si="2"/>
        <v>97004251.859999985</v>
      </c>
      <c r="Q47" s="389">
        <f t="shared" si="2"/>
        <v>212396044.76999998</v>
      </c>
      <c r="R47" s="389">
        <f t="shared" si="2"/>
        <v>97489903.980000004</v>
      </c>
      <c r="S47" s="389">
        <f t="shared" si="2"/>
        <v>213097205.22999999</v>
      </c>
      <c r="T47" s="389">
        <f t="shared" si="2"/>
        <v>98001548.730000004</v>
      </c>
      <c r="U47" s="389">
        <f t="shared" si="2"/>
        <v>213720847.61000001</v>
      </c>
      <c r="V47" s="389">
        <f t="shared" si="2"/>
        <v>98462271.069999978</v>
      </c>
      <c r="W47" s="389">
        <f t="shared" si="2"/>
        <v>214415007.66</v>
      </c>
      <c r="X47" s="389">
        <f t="shared" si="2"/>
        <v>98813118.210000008</v>
      </c>
      <c r="Y47" s="389">
        <f t="shared" si="2"/>
        <v>217429026.73999995</v>
      </c>
      <c r="Z47" s="389">
        <f t="shared" si="2"/>
        <v>99339491.37999998</v>
      </c>
      <c r="AA47" s="389">
        <f t="shared" si="2"/>
        <v>218322784.76999995</v>
      </c>
      <c r="AB47" s="389">
        <f t="shared" si="2"/>
        <v>99792156.330000013</v>
      </c>
      <c r="AC47" s="389">
        <f t="shared" si="2"/>
        <v>220069994.46999994</v>
      </c>
      <c r="AD47" s="389">
        <f>SUBTOTAL(9,AD10:AD46)</f>
        <v>100233725.66999999</v>
      </c>
      <c r="AE47" s="389">
        <f>SUBTOTAL(9,AE10:AE46)</f>
        <v>211550218.33958331</v>
      </c>
      <c r="AF47" s="389">
        <f>SUBTOTAL(9,AF10:AF46)</f>
        <v>97484745.263333306</v>
      </c>
    </row>
    <row r="48" spans="1:32" ht="16.2">
      <c r="A48" s="380">
        <v>39</v>
      </c>
      <c r="B48" s="382" t="s">
        <v>93</v>
      </c>
      <c r="C48" s="382" t="s">
        <v>359</v>
      </c>
      <c r="D48" s="390"/>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row>
    <row r="49" spans="1:32">
      <c r="A49" s="380">
        <v>40</v>
      </c>
      <c r="C49" s="14" t="s">
        <v>839</v>
      </c>
      <c r="D49" s="14" t="s">
        <v>841</v>
      </c>
      <c r="E49" s="386">
        <v>138157.95000000001</v>
      </c>
      <c r="F49" s="386">
        <v>138157.97</v>
      </c>
      <c r="G49" s="386">
        <v>138157.95000000001</v>
      </c>
      <c r="H49" s="386">
        <v>138157.97</v>
      </c>
      <c r="I49" s="386">
        <v>138157.95000000001</v>
      </c>
      <c r="J49" s="386">
        <v>138157.97</v>
      </c>
      <c r="K49" s="386">
        <v>138157.95000000001</v>
      </c>
      <c r="L49" s="386">
        <v>138157.97</v>
      </c>
      <c r="M49" s="386">
        <v>138157.95000000001</v>
      </c>
      <c r="N49" s="386">
        <v>138157.97</v>
      </c>
      <c r="O49" s="386">
        <v>138157.95000000001</v>
      </c>
      <c r="P49" s="386">
        <v>138157.97</v>
      </c>
      <c r="Q49" s="386">
        <v>138157.95000000001</v>
      </c>
      <c r="R49" s="386">
        <v>138157.97</v>
      </c>
      <c r="S49" s="386">
        <v>138157.95000000001</v>
      </c>
      <c r="T49" s="386">
        <v>138157.97</v>
      </c>
      <c r="U49" s="386">
        <v>138157.95000000001</v>
      </c>
      <c r="V49" s="386">
        <v>138157.97</v>
      </c>
      <c r="W49" s="386">
        <v>138157.95000000001</v>
      </c>
      <c r="X49" s="386">
        <v>138157.97</v>
      </c>
      <c r="Y49" s="386">
        <v>138157.95000000001</v>
      </c>
      <c r="Z49" s="386">
        <v>138157.97</v>
      </c>
      <c r="AA49" s="386">
        <v>138157.95000000001</v>
      </c>
      <c r="AB49" s="386">
        <v>138157.97</v>
      </c>
      <c r="AC49" s="386">
        <v>138157.95000000001</v>
      </c>
      <c r="AD49" s="386">
        <v>138157.95000000001</v>
      </c>
      <c r="AE49" s="386">
        <f t="shared" ref="AE49:AF91" si="3">+(E49+AC49+(+G49+I49+K49+M49+O49+Q49+S49+U49+W49+Y49+AA49)*2)/24</f>
        <v>138157.94999999998</v>
      </c>
      <c r="AF49" s="386">
        <f t="shared" si="3"/>
        <v>138157.96916666665</v>
      </c>
    </row>
    <row r="50" spans="1:32">
      <c r="A50" s="380">
        <v>41</v>
      </c>
      <c r="C50" s="14" t="s">
        <v>840</v>
      </c>
      <c r="D50" s="385" t="s">
        <v>841</v>
      </c>
      <c r="E50" s="386">
        <v>0</v>
      </c>
      <c r="F50" s="386">
        <v>0</v>
      </c>
      <c r="G50" s="386">
        <v>0</v>
      </c>
      <c r="H50" s="386">
        <v>0</v>
      </c>
      <c r="I50" s="386">
        <v>0</v>
      </c>
      <c r="J50" s="386">
        <v>0</v>
      </c>
      <c r="K50" s="386">
        <v>0</v>
      </c>
      <c r="L50" s="386">
        <v>0</v>
      </c>
      <c r="M50" s="386">
        <v>0</v>
      </c>
      <c r="N50" s="386">
        <v>0</v>
      </c>
      <c r="O50" s="386">
        <v>0</v>
      </c>
      <c r="P50" s="386">
        <v>0</v>
      </c>
      <c r="Q50" s="386">
        <v>0</v>
      </c>
      <c r="R50" s="386">
        <v>0</v>
      </c>
      <c r="S50" s="386">
        <v>0</v>
      </c>
      <c r="T50" s="386">
        <v>0</v>
      </c>
      <c r="U50" s="386">
        <v>0</v>
      </c>
      <c r="V50" s="386">
        <v>0</v>
      </c>
      <c r="W50" s="386">
        <v>0</v>
      </c>
      <c r="X50" s="386">
        <v>0</v>
      </c>
      <c r="Y50" s="386">
        <v>0</v>
      </c>
      <c r="Z50" s="386">
        <v>0</v>
      </c>
      <c r="AA50" s="386">
        <v>0</v>
      </c>
      <c r="AB50" s="386">
        <v>0</v>
      </c>
      <c r="AC50" s="386">
        <v>0</v>
      </c>
      <c r="AD50" s="386">
        <v>0</v>
      </c>
      <c r="AE50" s="386">
        <f t="shared" si="3"/>
        <v>0</v>
      </c>
      <c r="AF50" s="386">
        <f t="shared" si="3"/>
        <v>0</v>
      </c>
    </row>
    <row r="51" spans="1:32">
      <c r="A51" s="380">
        <v>42</v>
      </c>
      <c r="C51" s="14" t="s">
        <v>1319</v>
      </c>
      <c r="D51" s="385" t="s">
        <v>841</v>
      </c>
      <c r="E51" s="386">
        <v>12647.45</v>
      </c>
      <c r="F51" s="386">
        <v>997.31000000000006</v>
      </c>
      <c r="G51" s="386">
        <v>12647.45</v>
      </c>
      <c r="H51" s="386">
        <v>1050.01</v>
      </c>
      <c r="I51" s="386">
        <v>12647.45</v>
      </c>
      <c r="J51" s="386">
        <v>1102.71</v>
      </c>
      <c r="K51" s="386">
        <v>12647.45</v>
      </c>
      <c r="L51" s="386">
        <v>1155.4100000000001</v>
      </c>
      <c r="M51" s="386">
        <v>12647.45</v>
      </c>
      <c r="N51" s="386">
        <v>1208.1100000000001</v>
      </c>
      <c r="O51" s="386">
        <v>12647.45</v>
      </c>
      <c r="P51" s="386">
        <v>1260.81</v>
      </c>
      <c r="Q51" s="386">
        <v>12647.45</v>
      </c>
      <c r="R51" s="386">
        <v>1313.51</v>
      </c>
      <c r="S51" s="386">
        <v>12647.45</v>
      </c>
      <c r="T51" s="386">
        <v>1366.21</v>
      </c>
      <c r="U51" s="386">
        <v>12647.45</v>
      </c>
      <c r="V51" s="386">
        <v>1418.91</v>
      </c>
      <c r="W51" s="386">
        <v>12647.45</v>
      </c>
      <c r="X51" s="386">
        <v>1471.6100000000001</v>
      </c>
      <c r="Y51" s="386">
        <v>12647.45</v>
      </c>
      <c r="Z51" s="386">
        <v>1524.31</v>
      </c>
      <c r="AA51" s="386">
        <v>12647.45</v>
      </c>
      <c r="AB51" s="386">
        <v>1577.01</v>
      </c>
      <c r="AC51" s="386">
        <v>12647.45</v>
      </c>
      <c r="AD51" s="386">
        <v>1629.71</v>
      </c>
      <c r="AE51" s="386">
        <f t="shared" si="3"/>
        <v>12647.449999999999</v>
      </c>
      <c r="AF51" s="386">
        <f t="shared" si="3"/>
        <v>1313.51</v>
      </c>
    </row>
    <row r="52" spans="1:32">
      <c r="A52" s="380">
        <v>43</v>
      </c>
      <c r="C52" s="14" t="s">
        <v>842</v>
      </c>
      <c r="D52" s="385" t="s">
        <v>841</v>
      </c>
      <c r="E52" s="386">
        <v>45037.37</v>
      </c>
      <c r="F52" s="386">
        <v>4597.67</v>
      </c>
      <c r="G52" s="386">
        <v>45037.37</v>
      </c>
      <c r="H52" s="386">
        <v>4691.5</v>
      </c>
      <c r="I52" s="386">
        <v>45037.37</v>
      </c>
      <c r="J52" s="386">
        <v>4785.33</v>
      </c>
      <c r="K52" s="386">
        <v>45037.37</v>
      </c>
      <c r="L52" s="386">
        <v>4879.16</v>
      </c>
      <c r="M52" s="386">
        <v>45037.37</v>
      </c>
      <c r="N52" s="386">
        <v>4972.99</v>
      </c>
      <c r="O52" s="386">
        <v>45037.37</v>
      </c>
      <c r="P52" s="386">
        <v>5066.82</v>
      </c>
      <c r="Q52" s="386">
        <v>45037.37</v>
      </c>
      <c r="R52" s="386">
        <v>5160.6500000000005</v>
      </c>
      <c r="S52" s="386">
        <v>45037.37</v>
      </c>
      <c r="T52" s="386">
        <v>5254.4800000000005</v>
      </c>
      <c r="U52" s="386">
        <v>45037.37</v>
      </c>
      <c r="V52" s="386">
        <v>5348.31</v>
      </c>
      <c r="W52" s="386">
        <v>45037.37</v>
      </c>
      <c r="X52" s="386">
        <v>5442.14</v>
      </c>
      <c r="Y52" s="386">
        <v>45037.37</v>
      </c>
      <c r="Z52" s="386">
        <v>5535.97</v>
      </c>
      <c r="AA52" s="386">
        <v>45037.37</v>
      </c>
      <c r="AB52" s="386">
        <v>5629.8</v>
      </c>
      <c r="AC52" s="386">
        <v>45037.37</v>
      </c>
      <c r="AD52" s="386">
        <v>5723.63</v>
      </c>
      <c r="AE52" s="386">
        <f t="shared" si="3"/>
        <v>45037.37</v>
      </c>
      <c r="AF52" s="386">
        <f t="shared" si="3"/>
        <v>5160.6500000000005</v>
      </c>
    </row>
    <row r="53" spans="1:32">
      <c r="A53" s="380">
        <v>44</v>
      </c>
      <c r="C53" s="14" t="s">
        <v>843</v>
      </c>
      <c r="D53" s="14" t="s">
        <v>841</v>
      </c>
      <c r="E53" s="386">
        <v>1218966.19</v>
      </c>
      <c r="F53" s="386">
        <v>95962.38</v>
      </c>
      <c r="G53" s="386">
        <v>1218966.19</v>
      </c>
      <c r="H53" s="386">
        <v>98501.89</v>
      </c>
      <c r="I53" s="386">
        <v>1218966.19</v>
      </c>
      <c r="J53" s="386">
        <v>101041.40000000001</v>
      </c>
      <c r="K53" s="386">
        <v>1218966.19</v>
      </c>
      <c r="L53" s="386">
        <v>103580.91</v>
      </c>
      <c r="M53" s="386">
        <v>1218966.19</v>
      </c>
      <c r="N53" s="386">
        <v>106120.42</v>
      </c>
      <c r="O53" s="386">
        <v>1218966.19</v>
      </c>
      <c r="P53" s="386">
        <v>108659.93000000001</v>
      </c>
      <c r="Q53" s="386">
        <v>1218966.19</v>
      </c>
      <c r="R53" s="386">
        <v>111199.44</v>
      </c>
      <c r="S53" s="386">
        <v>1218966.19</v>
      </c>
      <c r="T53" s="386">
        <v>113738.95</v>
      </c>
      <c r="U53" s="386">
        <v>1218966.19</v>
      </c>
      <c r="V53" s="386">
        <v>116278.46</v>
      </c>
      <c r="W53" s="386">
        <v>1218966.19</v>
      </c>
      <c r="X53" s="386">
        <v>118817.97</v>
      </c>
      <c r="Y53" s="386">
        <v>1218966.19</v>
      </c>
      <c r="Z53" s="386">
        <v>121357.48</v>
      </c>
      <c r="AA53" s="386">
        <v>1218966.19</v>
      </c>
      <c r="AB53" s="386">
        <v>123896.99</v>
      </c>
      <c r="AC53" s="386">
        <v>1218966.19</v>
      </c>
      <c r="AD53" s="386">
        <v>126436.5</v>
      </c>
      <c r="AE53" s="386">
        <f t="shared" si="3"/>
        <v>1218966.1899999997</v>
      </c>
      <c r="AF53" s="386">
        <f t="shared" si="3"/>
        <v>111199.43999999999</v>
      </c>
    </row>
    <row r="54" spans="1:32">
      <c r="A54" s="380">
        <v>45</v>
      </c>
      <c r="C54" s="14" t="s">
        <v>1320</v>
      </c>
      <c r="D54" s="14" t="s">
        <v>841</v>
      </c>
      <c r="E54" s="386">
        <v>2333239.5300000003</v>
      </c>
      <c r="F54" s="386">
        <v>57023.64</v>
      </c>
      <c r="G54" s="386">
        <v>2333239.5300000003</v>
      </c>
      <c r="H54" s="386">
        <v>61884.56</v>
      </c>
      <c r="I54" s="386">
        <v>2333239.5300000003</v>
      </c>
      <c r="J54" s="386">
        <v>66745.48</v>
      </c>
      <c r="K54" s="386">
        <v>2333239.5300000003</v>
      </c>
      <c r="L54" s="386">
        <v>71606.400000000009</v>
      </c>
      <c r="M54" s="386">
        <v>2333239.5300000003</v>
      </c>
      <c r="N54" s="386">
        <v>76467.320000000007</v>
      </c>
      <c r="O54" s="386">
        <v>2333239.5300000003</v>
      </c>
      <c r="P54" s="386">
        <v>81328.240000000005</v>
      </c>
      <c r="Q54" s="386">
        <v>2333239.5300000003</v>
      </c>
      <c r="R54" s="386">
        <v>86189.16</v>
      </c>
      <c r="S54" s="386">
        <v>2333239.5300000003</v>
      </c>
      <c r="T54" s="386">
        <v>91050.08</v>
      </c>
      <c r="U54" s="386">
        <v>2333239.5300000003</v>
      </c>
      <c r="V54" s="386">
        <v>95911</v>
      </c>
      <c r="W54" s="386">
        <v>2333239.5300000003</v>
      </c>
      <c r="X54" s="386">
        <v>100771.92</v>
      </c>
      <c r="Y54" s="386">
        <v>2333239.5300000003</v>
      </c>
      <c r="Z54" s="386">
        <v>105632.84</v>
      </c>
      <c r="AA54" s="386">
        <v>2333239.5300000003</v>
      </c>
      <c r="AB54" s="386">
        <v>110493.76000000001</v>
      </c>
      <c r="AC54" s="386">
        <v>2333239.5300000003</v>
      </c>
      <c r="AD54" s="386">
        <v>115354.68000000001</v>
      </c>
      <c r="AE54" s="386">
        <f t="shared" si="3"/>
        <v>2333239.5300000007</v>
      </c>
      <c r="AF54" s="386">
        <f t="shared" si="3"/>
        <v>86189.16</v>
      </c>
    </row>
    <row r="55" spans="1:32">
      <c r="A55" s="380">
        <v>46</v>
      </c>
      <c r="C55" s="14" t="s">
        <v>1321</v>
      </c>
      <c r="D55" s="14" t="s">
        <v>841</v>
      </c>
      <c r="E55" s="386">
        <v>8000.9000000000005</v>
      </c>
      <c r="F55" s="386">
        <v>66.680000000000007</v>
      </c>
      <c r="G55" s="386">
        <v>8000.9000000000005</v>
      </c>
      <c r="H55" s="386">
        <v>83.350000000000009</v>
      </c>
      <c r="I55" s="386">
        <v>8000.9000000000005</v>
      </c>
      <c r="J55" s="386">
        <v>100.02</v>
      </c>
      <c r="K55" s="386">
        <v>8000.9000000000005</v>
      </c>
      <c r="L55" s="386">
        <v>116.69</v>
      </c>
      <c r="M55" s="386">
        <v>8000.9000000000005</v>
      </c>
      <c r="N55" s="386">
        <v>133.36000000000001</v>
      </c>
      <c r="O55" s="386">
        <v>8000.9000000000005</v>
      </c>
      <c r="P55" s="386">
        <v>150.03</v>
      </c>
      <c r="Q55" s="386">
        <v>8000.9000000000005</v>
      </c>
      <c r="R55" s="386">
        <v>166.70000000000002</v>
      </c>
      <c r="S55" s="386">
        <v>8000.9000000000005</v>
      </c>
      <c r="T55" s="386">
        <v>183.37</v>
      </c>
      <c r="U55" s="386">
        <v>8000.9000000000005</v>
      </c>
      <c r="V55" s="386">
        <v>200.04</v>
      </c>
      <c r="W55" s="386">
        <v>8000.9000000000005</v>
      </c>
      <c r="X55" s="386">
        <v>216.71</v>
      </c>
      <c r="Y55" s="386">
        <v>8000.9000000000005</v>
      </c>
      <c r="Z55" s="386">
        <v>233.38</v>
      </c>
      <c r="AA55" s="386">
        <v>8000.9000000000005</v>
      </c>
      <c r="AB55" s="386">
        <v>250.05</v>
      </c>
      <c r="AC55" s="386">
        <v>8000.9000000000005</v>
      </c>
      <c r="AD55" s="386">
        <v>266.72000000000003</v>
      </c>
      <c r="AE55" s="386">
        <f t="shared" si="3"/>
        <v>8000.8999999999987</v>
      </c>
      <c r="AF55" s="386">
        <f t="shared" si="3"/>
        <v>166.70000000000002</v>
      </c>
    </row>
    <row r="56" spans="1:32">
      <c r="A56" s="380">
        <v>47</v>
      </c>
      <c r="C56" s="14" t="s">
        <v>844</v>
      </c>
      <c r="D56" s="14" t="s">
        <v>841</v>
      </c>
      <c r="E56" s="386">
        <v>211404.97</v>
      </c>
      <c r="F56" s="386">
        <v>0</v>
      </c>
      <c r="G56" s="386">
        <v>211404.97</v>
      </c>
      <c r="H56" s="386">
        <v>0</v>
      </c>
      <c r="I56" s="386">
        <v>211404.97</v>
      </c>
      <c r="J56" s="386">
        <v>0</v>
      </c>
      <c r="K56" s="386">
        <v>211404.97</v>
      </c>
      <c r="L56" s="386">
        <v>0</v>
      </c>
      <c r="M56" s="386">
        <v>211404.97</v>
      </c>
      <c r="N56" s="386">
        <v>0</v>
      </c>
      <c r="O56" s="386">
        <v>211404.97</v>
      </c>
      <c r="P56" s="386">
        <v>0</v>
      </c>
      <c r="Q56" s="386">
        <v>211404.97</v>
      </c>
      <c r="R56" s="386">
        <v>0</v>
      </c>
      <c r="S56" s="386">
        <v>211404.97</v>
      </c>
      <c r="T56" s="386">
        <v>0</v>
      </c>
      <c r="U56" s="386">
        <v>211404.97</v>
      </c>
      <c r="V56" s="386">
        <v>0</v>
      </c>
      <c r="W56" s="386">
        <v>211404.97</v>
      </c>
      <c r="X56" s="386">
        <v>0</v>
      </c>
      <c r="Y56" s="386">
        <v>211404.97</v>
      </c>
      <c r="Z56" s="386">
        <v>0</v>
      </c>
      <c r="AA56" s="386">
        <v>211404.97</v>
      </c>
      <c r="AB56" s="386">
        <v>0</v>
      </c>
      <c r="AC56" s="386">
        <v>211404.97</v>
      </c>
      <c r="AD56" s="386">
        <v>0</v>
      </c>
      <c r="AE56" s="386">
        <f t="shared" si="3"/>
        <v>211404.97000000006</v>
      </c>
      <c r="AF56" s="386">
        <f t="shared" si="3"/>
        <v>0</v>
      </c>
    </row>
    <row r="57" spans="1:32">
      <c r="A57" s="380">
        <v>48</v>
      </c>
      <c r="C57" s="14" t="s">
        <v>845</v>
      </c>
      <c r="D57" s="14" t="s">
        <v>841</v>
      </c>
      <c r="E57" s="386">
        <v>1018396.75</v>
      </c>
      <c r="F57" s="386">
        <v>793013.88</v>
      </c>
      <c r="G57" s="386">
        <v>1018396.75</v>
      </c>
      <c r="H57" s="386">
        <v>794354.77</v>
      </c>
      <c r="I57" s="386">
        <v>1018396.75</v>
      </c>
      <c r="J57" s="386">
        <v>795695.66</v>
      </c>
      <c r="K57" s="386">
        <v>1018396.75</v>
      </c>
      <c r="L57" s="386">
        <v>797036.55</v>
      </c>
      <c r="M57" s="386">
        <v>1018396.75</v>
      </c>
      <c r="N57" s="386">
        <v>798377.44000000006</v>
      </c>
      <c r="O57" s="386">
        <v>1018396.75</v>
      </c>
      <c r="P57" s="386">
        <v>799718.33000000007</v>
      </c>
      <c r="Q57" s="386">
        <v>1018396.75</v>
      </c>
      <c r="R57" s="386">
        <v>801059.22</v>
      </c>
      <c r="S57" s="386">
        <v>1018396.75</v>
      </c>
      <c r="T57" s="386">
        <v>802400.11</v>
      </c>
      <c r="U57" s="386">
        <v>1018396.75</v>
      </c>
      <c r="V57" s="386">
        <v>803741</v>
      </c>
      <c r="W57" s="386">
        <v>1018396.75</v>
      </c>
      <c r="X57" s="386">
        <v>805081.89</v>
      </c>
      <c r="Y57" s="386">
        <v>1018396.75</v>
      </c>
      <c r="Z57" s="386">
        <v>806422.78</v>
      </c>
      <c r="AA57" s="386">
        <v>1018396.75</v>
      </c>
      <c r="AB57" s="386">
        <v>807763.67</v>
      </c>
      <c r="AC57" s="386">
        <v>1018396.75</v>
      </c>
      <c r="AD57" s="386">
        <v>809104.56</v>
      </c>
      <c r="AE57" s="386">
        <f t="shared" si="3"/>
        <v>1018396.75</v>
      </c>
      <c r="AF57" s="386">
        <f t="shared" si="3"/>
        <v>801059.2200000002</v>
      </c>
    </row>
    <row r="58" spans="1:32">
      <c r="A58" s="380">
        <v>49</v>
      </c>
      <c r="C58" s="14" t="s">
        <v>846</v>
      </c>
      <c r="D58" s="14" t="s">
        <v>841</v>
      </c>
      <c r="E58" s="386">
        <v>15968181.91</v>
      </c>
      <c r="F58" s="386">
        <v>11139694.51</v>
      </c>
      <c r="G58" s="386">
        <v>15968181.91</v>
      </c>
      <c r="H58" s="386">
        <v>11163912.92</v>
      </c>
      <c r="I58" s="386">
        <v>15968181.91</v>
      </c>
      <c r="J58" s="386">
        <v>11188131.109999999</v>
      </c>
      <c r="K58" s="386">
        <v>15968181.91</v>
      </c>
      <c r="L58" s="386">
        <v>11212349.52</v>
      </c>
      <c r="M58" s="386">
        <v>15968181.91</v>
      </c>
      <c r="N58" s="386">
        <v>11236566.08</v>
      </c>
      <c r="O58" s="386">
        <v>15968181.91</v>
      </c>
      <c r="P58" s="386">
        <v>11260784.49</v>
      </c>
      <c r="Q58" s="386">
        <v>15968181.91</v>
      </c>
      <c r="R58" s="386">
        <v>11285002.9</v>
      </c>
      <c r="S58" s="386">
        <v>15968181.91</v>
      </c>
      <c r="T58" s="386">
        <v>11309221.310000001</v>
      </c>
      <c r="U58" s="386">
        <v>15968181.91</v>
      </c>
      <c r="V58" s="386">
        <v>11333439.720000001</v>
      </c>
      <c r="W58" s="386">
        <v>15900055.619999999</v>
      </c>
      <c r="X58" s="386">
        <v>11289531.84</v>
      </c>
      <c r="Y58" s="386">
        <v>15900055.619999999</v>
      </c>
      <c r="Z58" s="386">
        <v>11277498.949999999</v>
      </c>
      <c r="AA58" s="386">
        <v>15900055.619999999</v>
      </c>
      <c r="AB58" s="386">
        <v>11301575.5</v>
      </c>
      <c r="AC58" s="386">
        <v>15900055.619999999</v>
      </c>
      <c r="AD58" s="386">
        <v>11325653.23</v>
      </c>
      <c r="AE58" s="386">
        <f t="shared" si="3"/>
        <v>15948311.742083332</v>
      </c>
      <c r="AF58" s="386">
        <f t="shared" si="3"/>
        <v>11257557.350833334</v>
      </c>
    </row>
    <row r="59" spans="1:32">
      <c r="A59" s="380">
        <v>50</v>
      </c>
      <c r="C59" s="14" t="s">
        <v>847</v>
      </c>
      <c r="D59" s="14" t="s">
        <v>841</v>
      </c>
      <c r="E59" s="386">
        <v>144661.1</v>
      </c>
      <c r="F59" s="386">
        <v>154547.26</v>
      </c>
      <c r="G59" s="386">
        <v>144661.1</v>
      </c>
      <c r="H59" s="386">
        <v>154596.69</v>
      </c>
      <c r="I59" s="386">
        <v>144661.1</v>
      </c>
      <c r="J59" s="386">
        <v>154646.12</v>
      </c>
      <c r="K59" s="386">
        <v>144661.1</v>
      </c>
      <c r="L59" s="386">
        <v>154695.55000000002</v>
      </c>
      <c r="M59" s="386">
        <v>144661.1</v>
      </c>
      <c r="N59" s="386">
        <v>154744.98000000001</v>
      </c>
      <c r="O59" s="386">
        <v>144661.1</v>
      </c>
      <c r="P59" s="386">
        <v>154794.41</v>
      </c>
      <c r="Q59" s="386">
        <v>144661.1</v>
      </c>
      <c r="R59" s="386">
        <v>154843.84</v>
      </c>
      <c r="S59" s="386">
        <v>144661.1</v>
      </c>
      <c r="T59" s="386">
        <v>154893.26999999999</v>
      </c>
      <c r="U59" s="386">
        <v>144661.1</v>
      </c>
      <c r="V59" s="386">
        <v>154942.70000000001</v>
      </c>
      <c r="W59" s="386">
        <v>144661.1</v>
      </c>
      <c r="X59" s="386">
        <v>154992.13</v>
      </c>
      <c r="Y59" s="386">
        <v>144661.1</v>
      </c>
      <c r="Z59" s="386">
        <v>155041.56</v>
      </c>
      <c r="AA59" s="386">
        <v>144661.1</v>
      </c>
      <c r="AB59" s="386">
        <v>155090.99</v>
      </c>
      <c r="AC59" s="386">
        <v>144661.1</v>
      </c>
      <c r="AD59" s="386">
        <v>155140.42000000001</v>
      </c>
      <c r="AE59" s="386">
        <f t="shared" si="3"/>
        <v>144661.10000000003</v>
      </c>
      <c r="AF59" s="386">
        <f t="shared" si="3"/>
        <v>154843.84</v>
      </c>
    </row>
    <row r="60" spans="1:32">
      <c r="A60" s="380">
        <v>51</v>
      </c>
      <c r="C60" s="14" t="s">
        <v>848</v>
      </c>
      <c r="D60" s="14" t="s">
        <v>841</v>
      </c>
      <c r="E60" s="386">
        <v>1922322.92</v>
      </c>
      <c r="F60" s="386">
        <v>712240.43</v>
      </c>
      <c r="G60" s="386">
        <v>1922322.92</v>
      </c>
      <c r="H60" s="386">
        <v>715252.07000000007</v>
      </c>
      <c r="I60" s="386">
        <v>1922322.92</v>
      </c>
      <c r="J60" s="386">
        <v>718263.71</v>
      </c>
      <c r="K60" s="386">
        <v>1922322.92</v>
      </c>
      <c r="L60" s="386">
        <v>721275.35</v>
      </c>
      <c r="M60" s="386">
        <v>1922322.92</v>
      </c>
      <c r="N60" s="386">
        <v>724286.99</v>
      </c>
      <c r="O60" s="386">
        <v>1922322.92</v>
      </c>
      <c r="P60" s="386">
        <v>727298.63</v>
      </c>
      <c r="Q60" s="386">
        <v>1922322.92</v>
      </c>
      <c r="R60" s="386">
        <v>730310.27</v>
      </c>
      <c r="S60" s="386">
        <v>1922322.92</v>
      </c>
      <c r="T60" s="386">
        <v>733321.91</v>
      </c>
      <c r="U60" s="386">
        <v>1922322.92</v>
      </c>
      <c r="V60" s="386">
        <v>736333.55</v>
      </c>
      <c r="W60" s="386">
        <v>1922322.92</v>
      </c>
      <c r="X60" s="386">
        <v>739345.19000000006</v>
      </c>
      <c r="Y60" s="386">
        <v>1922322.92</v>
      </c>
      <c r="Z60" s="386">
        <v>742356.83</v>
      </c>
      <c r="AA60" s="386">
        <v>1922322.92</v>
      </c>
      <c r="AB60" s="386">
        <v>745368.47</v>
      </c>
      <c r="AC60" s="386">
        <v>1922322.92</v>
      </c>
      <c r="AD60" s="386">
        <v>748380.11</v>
      </c>
      <c r="AE60" s="386">
        <f t="shared" si="3"/>
        <v>1922322.9200000006</v>
      </c>
      <c r="AF60" s="386">
        <f t="shared" si="3"/>
        <v>730310.27</v>
      </c>
    </row>
    <row r="61" spans="1:32">
      <c r="A61" s="380">
        <v>52</v>
      </c>
      <c r="C61" s="14" t="s">
        <v>849</v>
      </c>
      <c r="D61" s="14" t="s">
        <v>841</v>
      </c>
      <c r="E61" s="386">
        <v>268634.66000000003</v>
      </c>
      <c r="F61" s="386">
        <v>183.54</v>
      </c>
      <c r="G61" s="386">
        <v>268634.66000000003</v>
      </c>
      <c r="H61" s="386">
        <v>183.54</v>
      </c>
      <c r="I61" s="386">
        <v>268634.66000000003</v>
      </c>
      <c r="J61" s="386">
        <v>183.54</v>
      </c>
      <c r="K61" s="386">
        <v>268634.66000000003</v>
      </c>
      <c r="L61" s="386">
        <v>183.54</v>
      </c>
      <c r="M61" s="386">
        <v>325865.8</v>
      </c>
      <c r="N61" s="386">
        <v>613.48</v>
      </c>
      <c r="O61" s="386">
        <v>325865.8</v>
      </c>
      <c r="P61" s="386">
        <v>613.48</v>
      </c>
      <c r="Q61" s="386">
        <v>325865.8</v>
      </c>
      <c r="R61" s="386">
        <v>613.48</v>
      </c>
      <c r="S61" s="386">
        <v>316965.8</v>
      </c>
      <c r="T61" s="386">
        <v>613.48</v>
      </c>
      <c r="U61" s="386">
        <v>316965.8</v>
      </c>
      <c r="V61" s="386">
        <v>613.48</v>
      </c>
      <c r="W61" s="386">
        <v>316965.8</v>
      </c>
      <c r="X61" s="386">
        <v>613.48</v>
      </c>
      <c r="Y61" s="386">
        <v>316965.8</v>
      </c>
      <c r="Z61" s="386">
        <v>613.48</v>
      </c>
      <c r="AA61" s="386">
        <v>316965.8</v>
      </c>
      <c r="AB61" s="386">
        <v>613.48</v>
      </c>
      <c r="AC61" s="386">
        <v>316965.8</v>
      </c>
      <c r="AD61" s="386">
        <v>613.48</v>
      </c>
      <c r="AE61" s="386">
        <f t="shared" si="3"/>
        <v>305094.21749999997</v>
      </c>
      <c r="AF61" s="386">
        <f t="shared" si="3"/>
        <v>488.08083333333326</v>
      </c>
    </row>
    <row r="62" spans="1:32">
      <c r="A62" s="380">
        <v>53</v>
      </c>
      <c r="C62" s="14" t="s">
        <v>850</v>
      </c>
      <c r="D62" s="14" t="s">
        <v>841</v>
      </c>
      <c r="E62" s="386">
        <v>702922.71</v>
      </c>
      <c r="F62" s="386">
        <v>671550.31</v>
      </c>
      <c r="G62" s="386">
        <v>702922.71</v>
      </c>
      <c r="H62" s="386">
        <v>672264.95000000007</v>
      </c>
      <c r="I62" s="386">
        <v>702922.71</v>
      </c>
      <c r="J62" s="386">
        <v>672979.59</v>
      </c>
      <c r="K62" s="386">
        <v>702922.71</v>
      </c>
      <c r="L62" s="386">
        <v>673694.23</v>
      </c>
      <c r="M62" s="386">
        <v>702922.71</v>
      </c>
      <c r="N62" s="386">
        <v>674408.87</v>
      </c>
      <c r="O62" s="386">
        <v>702922.71</v>
      </c>
      <c r="P62" s="386">
        <v>675123.51</v>
      </c>
      <c r="Q62" s="386">
        <v>702922.71</v>
      </c>
      <c r="R62" s="386">
        <v>675838.15</v>
      </c>
      <c r="S62" s="386">
        <v>702922.71</v>
      </c>
      <c r="T62" s="386">
        <v>676552.79</v>
      </c>
      <c r="U62" s="386">
        <v>702922.71</v>
      </c>
      <c r="V62" s="386">
        <v>677267.43</v>
      </c>
      <c r="W62" s="386">
        <v>702922.71</v>
      </c>
      <c r="X62" s="386">
        <v>677982.07000000007</v>
      </c>
      <c r="Y62" s="386">
        <v>702922.71</v>
      </c>
      <c r="Z62" s="386">
        <v>678696.71</v>
      </c>
      <c r="AA62" s="386">
        <v>702922.71</v>
      </c>
      <c r="AB62" s="386">
        <v>679411.35</v>
      </c>
      <c r="AC62" s="386">
        <v>702922.71</v>
      </c>
      <c r="AD62" s="386">
        <v>680125.99</v>
      </c>
      <c r="AE62" s="386">
        <f t="shared" si="3"/>
        <v>702922.71</v>
      </c>
      <c r="AF62" s="386">
        <f t="shared" si="3"/>
        <v>675838.15</v>
      </c>
    </row>
    <row r="63" spans="1:32">
      <c r="A63" s="380">
        <v>54</v>
      </c>
      <c r="C63" s="14" t="s">
        <v>851</v>
      </c>
      <c r="D63" s="14" t="s">
        <v>841</v>
      </c>
      <c r="E63" s="386">
        <v>152081117.31999999</v>
      </c>
      <c r="F63" s="386">
        <v>35767901.090000004</v>
      </c>
      <c r="G63" s="386">
        <v>152285876.18000001</v>
      </c>
      <c r="H63" s="386">
        <v>35807696.740000002</v>
      </c>
      <c r="I63" s="386">
        <v>152383338.86000001</v>
      </c>
      <c r="J63" s="386">
        <v>35966327.859999999</v>
      </c>
      <c r="K63" s="386">
        <v>152545252</v>
      </c>
      <c r="L63" s="386">
        <v>36124700.659999996</v>
      </c>
      <c r="M63" s="386">
        <v>152635695.47</v>
      </c>
      <c r="N63" s="386">
        <v>36283297.619999997</v>
      </c>
      <c r="O63" s="386">
        <v>152533201.38</v>
      </c>
      <c r="P63" s="386">
        <v>36316353.399999999</v>
      </c>
      <c r="Q63" s="386">
        <v>152584663.47999999</v>
      </c>
      <c r="R63" s="386">
        <v>36475242.149999999</v>
      </c>
      <c r="S63" s="386">
        <v>152894625.53</v>
      </c>
      <c r="T63" s="386">
        <v>36634184.509999998</v>
      </c>
      <c r="U63" s="386">
        <v>152672504.81999999</v>
      </c>
      <c r="V63" s="386">
        <v>36790426.789999999</v>
      </c>
      <c r="W63" s="386">
        <v>152717699.28999999</v>
      </c>
      <c r="X63" s="386">
        <v>36949460.649999999</v>
      </c>
      <c r="Y63" s="386">
        <v>153253677.31</v>
      </c>
      <c r="Z63" s="386">
        <v>37095357.270000003</v>
      </c>
      <c r="AA63" s="386">
        <v>155549589.37</v>
      </c>
      <c r="AB63" s="386">
        <v>37248965.939999998</v>
      </c>
      <c r="AC63" s="386">
        <v>159069534.16</v>
      </c>
      <c r="AD63" s="386">
        <v>37410983.57</v>
      </c>
      <c r="AE63" s="386">
        <f t="shared" si="3"/>
        <v>153135954.11916667</v>
      </c>
      <c r="AF63" s="386">
        <f t="shared" si="3"/>
        <v>36523454.659999996</v>
      </c>
    </row>
    <row r="64" spans="1:32">
      <c r="A64" s="380">
        <v>55</v>
      </c>
      <c r="C64" s="14" t="s">
        <v>852</v>
      </c>
      <c r="D64" s="14" t="s">
        <v>841</v>
      </c>
      <c r="E64" s="386">
        <v>136092339.77000001</v>
      </c>
      <c r="F64" s="386">
        <v>38451996.719999999</v>
      </c>
      <c r="G64" s="386">
        <v>137006519.52000001</v>
      </c>
      <c r="H64" s="386">
        <v>38910162.18</v>
      </c>
      <c r="I64" s="386">
        <v>137612464.56999999</v>
      </c>
      <c r="J64" s="386">
        <v>39379777.189999998</v>
      </c>
      <c r="K64" s="386">
        <v>138162323.05000001</v>
      </c>
      <c r="L64" s="386">
        <v>39842535.009999998</v>
      </c>
      <c r="M64" s="386">
        <v>138840522.22999999</v>
      </c>
      <c r="N64" s="386">
        <v>40308454.850000001</v>
      </c>
      <c r="O64" s="386">
        <v>140704316.47</v>
      </c>
      <c r="P64" s="386">
        <v>40785503.18</v>
      </c>
      <c r="Q64" s="386">
        <v>141664246.24000001</v>
      </c>
      <c r="R64" s="386">
        <v>41266233.960000001</v>
      </c>
      <c r="S64" s="386">
        <v>142461885.88999999</v>
      </c>
      <c r="T64" s="386">
        <v>41751850.579999998</v>
      </c>
      <c r="U64" s="386">
        <v>143506434.94</v>
      </c>
      <c r="V64" s="386">
        <v>42242156.899999999</v>
      </c>
      <c r="W64" s="386">
        <v>145731909.34999999</v>
      </c>
      <c r="X64" s="386">
        <v>42736058.210000001</v>
      </c>
      <c r="Y64" s="386">
        <v>148303899.88</v>
      </c>
      <c r="Z64" s="386">
        <v>43227156.189999998</v>
      </c>
      <c r="AA64" s="386">
        <v>149221778.66999999</v>
      </c>
      <c r="AB64" s="386">
        <v>43734678.659999996</v>
      </c>
      <c r="AC64" s="386">
        <v>151836907.28999999</v>
      </c>
      <c r="AD64" s="386">
        <v>44242872.240000002</v>
      </c>
      <c r="AE64" s="386">
        <f t="shared" si="3"/>
        <v>142265077.02833334</v>
      </c>
      <c r="AF64" s="386">
        <f t="shared" si="3"/>
        <v>41294333.449166663</v>
      </c>
    </row>
    <row r="65" spans="1:32">
      <c r="A65" s="380">
        <v>56</v>
      </c>
      <c r="C65" s="14" t="s">
        <v>853</v>
      </c>
      <c r="D65" s="14" t="s">
        <v>841</v>
      </c>
      <c r="E65" s="386">
        <v>116563175.39</v>
      </c>
      <c r="F65" s="386">
        <v>82978755.939999998</v>
      </c>
      <c r="G65" s="386">
        <v>116699053.47</v>
      </c>
      <c r="H65" s="386">
        <v>83188926.189999998</v>
      </c>
      <c r="I65" s="386">
        <v>116700326.02</v>
      </c>
      <c r="J65" s="386">
        <v>83386878.290000007</v>
      </c>
      <c r="K65" s="386">
        <v>116789435.97</v>
      </c>
      <c r="L65" s="386">
        <v>83595230.420000002</v>
      </c>
      <c r="M65" s="386">
        <v>116804618.29000001</v>
      </c>
      <c r="N65" s="386">
        <v>83785901.310000002</v>
      </c>
      <c r="O65" s="386">
        <v>116789795.88</v>
      </c>
      <c r="P65" s="386">
        <v>83905115.900000006</v>
      </c>
      <c r="Q65" s="386">
        <v>116864730.40000001</v>
      </c>
      <c r="R65" s="386">
        <v>84117908.700000003</v>
      </c>
      <c r="S65" s="386">
        <v>116979841.54000001</v>
      </c>
      <c r="T65" s="386">
        <v>84271864.430000007</v>
      </c>
      <c r="U65" s="386">
        <v>117271774.18000001</v>
      </c>
      <c r="V65" s="386">
        <v>84477890.290000007</v>
      </c>
      <c r="W65" s="386">
        <v>117750554.17</v>
      </c>
      <c r="X65" s="386">
        <v>84681237.549999997</v>
      </c>
      <c r="Y65" s="386">
        <v>117973295.04000001</v>
      </c>
      <c r="Z65" s="386">
        <v>84887392.069999993</v>
      </c>
      <c r="AA65" s="386">
        <v>118237750.54000001</v>
      </c>
      <c r="AB65" s="386">
        <v>85057431.269999996</v>
      </c>
      <c r="AC65" s="386">
        <v>118986847.06999999</v>
      </c>
      <c r="AD65" s="386">
        <v>85235842.780000001</v>
      </c>
      <c r="AE65" s="386">
        <f t="shared" si="3"/>
        <v>117219682.22750001</v>
      </c>
      <c r="AF65" s="386">
        <f t="shared" si="3"/>
        <v>84121922.981666654</v>
      </c>
    </row>
    <row r="66" spans="1:32">
      <c r="A66" s="380">
        <v>57</v>
      </c>
      <c r="C66" s="14" t="s">
        <v>854</v>
      </c>
      <c r="D66" s="14" t="s">
        <v>841</v>
      </c>
      <c r="E66" s="386">
        <v>2097766.77</v>
      </c>
      <c r="F66" s="386">
        <v>1463846.94</v>
      </c>
      <c r="G66" s="386">
        <v>2097766.77</v>
      </c>
      <c r="H66" s="386">
        <v>1466958.63</v>
      </c>
      <c r="I66" s="386">
        <v>2097766.77</v>
      </c>
      <c r="J66" s="386">
        <v>1470070.32</v>
      </c>
      <c r="K66" s="386">
        <v>2097766.77</v>
      </c>
      <c r="L66" s="386">
        <v>1473182.01</v>
      </c>
      <c r="M66" s="386">
        <v>2097766.77</v>
      </c>
      <c r="N66" s="386">
        <v>1476293.7</v>
      </c>
      <c r="O66" s="386">
        <v>2097766.77</v>
      </c>
      <c r="P66" s="386">
        <v>1479405.3900000001</v>
      </c>
      <c r="Q66" s="386">
        <v>2097766.77</v>
      </c>
      <c r="R66" s="386">
        <v>1482517.08</v>
      </c>
      <c r="S66" s="386">
        <v>2097766.77</v>
      </c>
      <c r="T66" s="386">
        <v>1485628.77</v>
      </c>
      <c r="U66" s="386">
        <v>2097766.77</v>
      </c>
      <c r="V66" s="386">
        <v>1488740.46</v>
      </c>
      <c r="W66" s="386">
        <v>2097766.77</v>
      </c>
      <c r="X66" s="386">
        <v>1491852.15</v>
      </c>
      <c r="Y66" s="386">
        <v>2097766.77</v>
      </c>
      <c r="Z66" s="386">
        <v>1494963.84</v>
      </c>
      <c r="AA66" s="386">
        <v>2097766.77</v>
      </c>
      <c r="AB66" s="386">
        <v>1498075.53</v>
      </c>
      <c r="AC66" s="386">
        <v>2097766.77</v>
      </c>
      <c r="AD66" s="386">
        <v>1501187.22</v>
      </c>
      <c r="AE66" s="386">
        <f t="shared" si="3"/>
        <v>2097766.77</v>
      </c>
      <c r="AF66" s="386">
        <f t="shared" si="3"/>
        <v>1482517.08</v>
      </c>
    </row>
    <row r="67" spans="1:32">
      <c r="A67" s="380">
        <v>58</v>
      </c>
      <c r="C67" s="14" t="s">
        <v>855</v>
      </c>
      <c r="D67" s="14" t="s">
        <v>841</v>
      </c>
      <c r="E67" s="386">
        <v>22436101.879999999</v>
      </c>
      <c r="F67" s="386">
        <v>5987789.96</v>
      </c>
      <c r="G67" s="386">
        <v>22415457.609999999</v>
      </c>
      <c r="H67" s="386">
        <v>6018279.5999999996</v>
      </c>
      <c r="I67" s="386">
        <v>22449834.93</v>
      </c>
      <c r="J67" s="386">
        <v>6051815.3899999997</v>
      </c>
      <c r="K67" s="386">
        <v>22558546.760000002</v>
      </c>
      <c r="L67" s="386">
        <v>6087735.1299999999</v>
      </c>
      <c r="M67" s="386">
        <v>22498581.940000001</v>
      </c>
      <c r="N67" s="386">
        <v>6119546.3799999999</v>
      </c>
      <c r="O67" s="386">
        <v>22507090.149999999</v>
      </c>
      <c r="P67" s="386">
        <v>6117780.5099999998</v>
      </c>
      <c r="Q67" s="386">
        <v>23436311.629999999</v>
      </c>
      <c r="R67" s="386">
        <v>6153320.9199999999</v>
      </c>
      <c r="S67" s="386">
        <v>23520464.469999999</v>
      </c>
      <c r="T67" s="386">
        <v>6186702.2599999998</v>
      </c>
      <c r="U67" s="386">
        <v>23606781.100000001</v>
      </c>
      <c r="V67" s="386">
        <v>6174680</v>
      </c>
      <c r="W67" s="386">
        <v>24157840.940000001</v>
      </c>
      <c r="X67" s="386">
        <v>6212450.8499999996</v>
      </c>
      <c r="Y67" s="386">
        <v>24242516.460000001</v>
      </c>
      <c r="Z67" s="386">
        <v>6220048.04</v>
      </c>
      <c r="AA67" s="386">
        <v>24548567.699999999</v>
      </c>
      <c r="AB67" s="386">
        <v>6228926.6500000004</v>
      </c>
      <c r="AC67" s="386">
        <v>25599862.800000001</v>
      </c>
      <c r="AD67" s="386">
        <v>6268204.3600000003</v>
      </c>
      <c r="AE67" s="386">
        <f t="shared" si="3"/>
        <v>23329998.002499998</v>
      </c>
      <c r="AF67" s="386">
        <f t="shared" si="3"/>
        <v>6141606.9074999997</v>
      </c>
    </row>
    <row r="68" spans="1:32">
      <c r="A68" s="380">
        <v>59</v>
      </c>
      <c r="C68" s="14" t="s">
        <v>856</v>
      </c>
      <c r="D68" s="14" t="s">
        <v>841</v>
      </c>
      <c r="E68" s="386">
        <v>130923599.2</v>
      </c>
      <c r="F68" s="386">
        <v>49663854.890000001</v>
      </c>
      <c r="G68" s="386">
        <v>132332881.73</v>
      </c>
      <c r="H68" s="386">
        <v>50076063.969999999</v>
      </c>
      <c r="I68" s="386">
        <v>133094871.36</v>
      </c>
      <c r="J68" s="386">
        <v>50486820.909999996</v>
      </c>
      <c r="K68" s="386">
        <v>133983648.92</v>
      </c>
      <c r="L68" s="386">
        <v>50906646.460000001</v>
      </c>
      <c r="M68" s="386">
        <v>134936279.41</v>
      </c>
      <c r="N68" s="386">
        <v>51330840.289999999</v>
      </c>
      <c r="O68" s="386">
        <v>136394856.5</v>
      </c>
      <c r="P68" s="386">
        <v>51759981.020000003</v>
      </c>
      <c r="Q68" s="386">
        <v>137743445.83000001</v>
      </c>
      <c r="R68" s="386">
        <v>52187847.490000002</v>
      </c>
      <c r="S68" s="386">
        <v>139037096.52000001</v>
      </c>
      <c r="T68" s="386">
        <v>52622138.159999996</v>
      </c>
      <c r="U68" s="386">
        <v>140108686.43000001</v>
      </c>
      <c r="V68" s="386">
        <v>53067273.030000001</v>
      </c>
      <c r="W68" s="386">
        <v>141392550.86000001</v>
      </c>
      <c r="X68" s="386">
        <v>53519768</v>
      </c>
      <c r="Y68" s="386">
        <v>143370497.22999999</v>
      </c>
      <c r="Z68" s="386">
        <v>53968448.850000001</v>
      </c>
      <c r="AA68" s="386">
        <v>144375197.65000001</v>
      </c>
      <c r="AB68" s="386">
        <v>54408081.259999998</v>
      </c>
      <c r="AC68" s="386">
        <v>146616703.03999999</v>
      </c>
      <c r="AD68" s="386">
        <v>54842146.780000001</v>
      </c>
      <c r="AE68" s="386">
        <f t="shared" si="3"/>
        <v>137961680.29666665</v>
      </c>
      <c r="AF68" s="386">
        <f t="shared" si="3"/>
        <v>52215575.856249996</v>
      </c>
    </row>
    <row r="69" spans="1:32">
      <c r="A69" s="380">
        <v>60</v>
      </c>
      <c r="C69" s="14" t="s">
        <v>857</v>
      </c>
      <c r="D69" s="14" t="s">
        <v>841</v>
      </c>
      <c r="E69" s="386">
        <v>62228709.439999998</v>
      </c>
      <c r="F69" s="386">
        <v>93345534.5</v>
      </c>
      <c r="G69" s="386">
        <v>62177550.359999999</v>
      </c>
      <c r="H69" s="386">
        <v>93423761.219999999</v>
      </c>
      <c r="I69" s="386">
        <v>62163585.369999997</v>
      </c>
      <c r="J69" s="386">
        <v>93474597</v>
      </c>
      <c r="K69" s="386">
        <v>62156756.439999998</v>
      </c>
      <c r="L69" s="386">
        <v>93636493.230000004</v>
      </c>
      <c r="M69" s="386">
        <v>62144887.159999996</v>
      </c>
      <c r="N69" s="386">
        <v>93775015.409999996</v>
      </c>
      <c r="O69" s="386">
        <v>62144888.009999998</v>
      </c>
      <c r="P69" s="386">
        <v>93886522.650000006</v>
      </c>
      <c r="Q69" s="386">
        <v>62143627.539999999</v>
      </c>
      <c r="R69" s="386">
        <v>94025528.219999999</v>
      </c>
      <c r="S69" s="386">
        <v>62143627.600000001</v>
      </c>
      <c r="T69" s="386">
        <v>94124275.239999995</v>
      </c>
      <c r="U69" s="386">
        <v>62141310.5</v>
      </c>
      <c r="V69" s="386">
        <v>94275793.319999993</v>
      </c>
      <c r="W69" s="386">
        <v>62143085.75</v>
      </c>
      <c r="X69" s="386">
        <v>94438119.299999997</v>
      </c>
      <c r="Y69" s="386">
        <v>62167487.270000003</v>
      </c>
      <c r="Z69" s="386">
        <v>94565449.409999996</v>
      </c>
      <c r="AA69" s="386">
        <v>62152142.090000004</v>
      </c>
      <c r="AB69" s="386">
        <v>94506664.209999993</v>
      </c>
      <c r="AC69" s="386">
        <v>62126401.859999999</v>
      </c>
      <c r="AD69" s="386">
        <v>94458601.310000002</v>
      </c>
      <c r="AE69" s="386">
        <f t="shared" si="3"/>
        <v>62154708.645000003</v>
      </c>
      <c r="AF69" s="386">
        <f t="shared" si="3"/>
        <v>94002857.259583339</v>
      </c>
    </row>
    <row r="70" spans="1:32">
      <c r="A70" s="380">
        <v>61</v>
      </c>
      <c r="C70" s="14" t="s">
        <v>858</v>
      </c>
      <c r="D70" s="14" t="s">
        <v>841</v>
      </c>
      <c r="E70" s="386">
        <v>0</v>
      </c>
      <c r="F70" s="386">
        <v>0.01</v>
      </c>
      <c r="G70" s="386">
        <v>0</v>
      </c>
      <c r="H70" s="386">
        <v>0.01</v>
      </c>
      <c r="I70" s="386">
        <v>0</v>
      </c>
      <c r="J70" s="386">
        <v>0.01</v>
      </c>
      <c r="K70" s="386">
        <v>0</v>
      </c>
      <c r="L70" s="386">
        <v>0.01</v>
      </c>
      <c r="M70" s="386">
        <v>0</v>
      </c>
      <c r="N70" s="386">
        <v>0.01</v>
      </c>
      <c r="O70" s="386">
        <v>0</v>
      </c>
      <c r="P70" s="386">
        <v>0.01</v>
      </c>
      <c r="Q70" s="386">
        <v>0</v>
      </c>
      <c r="R70" s="386">
        <v>0.01</v>
      </c>
      <c r="S70" s="386">
        <v>0</v>
      </c>
      <c r="T70" s="386">
        <v>0.01</v>
      </c>
      <c r="U70" s="386">
        <v>0</v>
      </c>
      <c r="V70" s="386">
        <v>0.01</v>
      </c>
      <c r="W70" s="386">
        <v>0</v>
      </c>
      <c r="X70" s="386">
        <v>0.01</v>
      </c>
      <c r="Y70" s="386">
        <v>0</v>
      </c>
      <c r="Z70" s="386">
        <v>0.01</v>
      </c>
      <c r="AA70" s="386">
        <v>0</v>
      </c>
      <c r="AB70" s="386">
        <v>0.01</v>
      </c>
      <c r="AC70" s="386">
        <v>0</v>
      </c>
      <c r="AD70" s="386">
        <v>0.01</v>
      </c>
      <c r="AE70" s="386">
        <f t="shared" si="3"/>
        <v>0</v>
      </c>
      <c r="AF70" s="386">
        <f t="shared" si="3"/>
        <v>9.9999999999999985E-3</v>
      </c>
    </row>
    <row r="71" spans="1:32">
      <c r="A71" s="380">
        <v>62</v>
      </c>
      <c r="C71" s="14" t="s">
        <v>859</v>
      </c>
      <c r="D71" s="14" t="s">
        <v>841</v>
      </c>
      <c r="E71" s="386">
        <v>23995708.359999999</v>
      </c>
      <c r="F71" s="386">
        <v>11207165</v>
      </c>
      <c r="G71" s="386">
        <v>24009499.109999999</v>
      </c>
      <c r="H71" s="386">
        <v>11244018.880000001</v>
      </c>
      <c r="I71" s="386">
        <v>24028445.699999999</v>
      </c>
      <c r="J71" s="386">
        <v>11277197.380000001</v>
      </c>
      <c r="K71" s="386">
        <v>24046225.010000002</v>
      </c>
      <c r="L71" s="386">
        <v>11313809.380000001</v>
      </c>
      <c r="M71" s="386">
        <v>24040527.699999999</v>
      </c>
      <c r="N71" s="386">
        <v>11333367.210000001</v>
      </c>
      <c r="O71" s="386">
        <v>24074886.859999999</v>
      </c>
      <c r="P71" s="386">
        <v>11370320.949999999</v>
      </c>
      <c r="Q71" s="386">
        <v>24091655.710000001</v>
      </c>
      <c r="R71" s="386">
        <v>11407511.59</v>
      </c>
      <c r="S71" s="386">
        <v>24106981.829999998</v>
      </c>
      <c r="T71" s="386">
        <v>11444547.720000001</v>
      </c>
      <c r="U71" s="386">
        <v>24110435.620000001</v>
      </c>
      <c r="V71" s="386">
        <v>11470461.039999999</v>
      </c>
      <c r="W71" s="386">
        <v>24120106.18</v>
      </c>
      <c r="X71" s="386">
        <v>11507832.220000001</v>
      </c>
      <c r="Y71" s="386">
        <v>24143286.52</v>
      </c>
      <c r="Z71" s="386">
        <v>11544598.16</v>
      </c>
      <c r="AA71" s="386">
        <v>24151932.48</v>
      </c>
      <c r="AB71" s="386">
        <v>11577400.66</v>
      </c>
      <c r="AC71" s="386">
        <v>24129820.09</v>
      </c>
      <c r="AD71" s="386">
        <v>11609933</v>
      </c>
      <c r="AE71" s="386">
        <f t="shared" si="3"/>
        <v>24082228.912083339</v>
      </c>
      <c r="AF71" s="386">
        <f t="shared" si="3"/>
        <v>11408301.182499999</v>
      </c>
    </row>
    <row r="72" spans="1:32">
      <c r="A72" s="380">
        <v>63</v>
      </c>
      <c r="C72" s="14" t="s">
        <v>860</v>
      </c>
      <c r="D72" s="14" t="s">
        <v>841</v>
      </c>
      <c r="E72" s="386">
        <v>9441928.3100000005</v>
      </c>
      <c r="F72" s="386">
        <v>3952589.04</v>
      </c>
      <c r="G72" s="386">
        <v>9454018.0099999998</v>
      </c>
      <c r="H72" s="386">
        <v>3965194.13</v>
      </c>
      <c r="I72" s="386">
        <v>9458587.6999999993</v>
      </c>
      <c r="J72" s="386">
        <v>3968323.86</v>
      </c>
      <c r="K72" s="386">
        <v>9459900.9499999993</v>
      </c>
      <c r="L72" s="386">
        <v>3970771.91</v>
      </c>
      <c r="M72" s="386">
        <v>9473642.7100000009</v>
      </c>
      <c r="N72" s="386">
        <v>3987990.24</v>
      </c>
      <c r="O72" s="386">
        <v>9457659.2300000004</v>
      </c>
      <c r="P72" s="386">
        <v>3996840.83</v>
      </c>
      <c r="Q72" s="386">
        <v>9464898.5399999991</v>
      </c>
      <c r="R72" s="386">
        <v>4013262.13</v>
      </c>
      <c r="S72" s="386">
        <v>9507831.6600000001</v>
      </c>
      <c r="T72" s="386">
        <v>4027747.17</v>
      </c>
      <c r="U72" s="386">
        <v>9548823.1099999994</v>
      </c>
      <c r="V72" s="386">
        <v>4041969.8</v>
      </c>
      <c r="W72" s="386">
        <v>9598790.9299999997</v>
      </c>
      <c r="X72" s="386">
        <v>4046489.75</v>
      </c>
      <c r="Y72" s="386">
        <v>9623421.2200000007</v>
      </c>
      <c r="Z72" s="386">
        <v>4062865.35</v>
      </c>
      <c r="AA72" s="386">
        <v>9642433.2200000007</v>
      </c>
      <c r="AB72" s="386">
        <v>4075168.64</v>
      </c>
      <c r="AC72" s="386">
        <v>9718288.5999999996</v>
      </c>
      <c r="AD72" s="386">
        <v>4089802.52</v>
      </c>
      <c r="AE72" s="386">
        <f t="shared" si="3"/>
        <v>9522509.6445833333</v>
      </c>
      <c r="AF72" s="386">
        <f t="shared" si="3"/>
        <v>4014818.2991666663</v>
      </c>
    </row>
    <row r="73" spans="1:32">
      <c r="A73" s="380">
        <v>64</v>
      </c>
      <c r="C73" s="14" t="s">
        <v>861</v>
      </c>
      <c r="D73" s="14" t="s">
        <v>841</v>
      </c>
      <c r="E73" s="386">
        <v>0</v>
      </c>
      <c r="F73" s="386">
        <v>-305.76</v>
      </c>
      <c r="G73" s="386">
        <v>0</v>
      </c>
      <c r="H73" s="386">
        <v>-305.76</v>
      </c>
      <c r="I73" s="386">
        <v>0</v>
      </c>
      <c r="J73" s="386">
        <v>-305.76</v>
      </c>
      <c r="K73" s="386">
        <v>0</v>
      </c>
      <c r="L73" s="386">
        <v>-305.76</v>
      </c>
      <c r="M73" s="386">
        <v>0</v>
      </c>
      <c r="N73" s="386">
        <v>-305.76</v>
      </c>
      <c r="O73" s="386">
        <v>0</v>
      </c>
      <c r="P73" s="386">
        <v>-305.76</v>
      </c>
      <c r="Q73" s="386">
        <v>0</v>
      </c>
      <c r="R73" s="386">
        <v>-305.76</v>
      </c>
      <c r="S73" s="386">
        <v>0</v>
      </c>
      <c r="T73" s="386">
        <v>-305.76</v>
      </c>
      <c r="U73" s="386">
        <v>0</v>
      </c>
      <c r="V73" s="386">
        <v>-305.76</v>
      </c>
      <c r="W73" s="386">
        <v>0</v>
      </c>
      <c r="X73" s="386">
        <v>-305.76</v>
      </c>
      <c r="Y73" s="386">
        <v>0</v>
      </c>
      <c r="Z73" s="386">
        <v>-305.76</v>
      </c>
      <c r="AA73" s="386">
        <v>0</v>
      </c>
      <c r="AB73" s="386">
        <v>-305.76</v>
      </c>
      <c r="AC73" s="386">
        <v>0</v>
      </c>
      <c r="AD73" s="386">
        <v>0</v>
      </c>
      <c r="AE73" s="386">
        <f t="shared" si="3"/>
        <v>0</v>
      </c>
      <c r="AF73" s="386">
        <f t="shared" si="3"/>
        <v>-293.02000000000004</v>
      </c>
    </row>
    <row r="74" spans="1:32">
      <c r="A74" s="380">
        <v>65</v>
      </c>
      <c r="C74" s="14" t="s">
        <v>862</v>
      </c>
      <c r="D74" s="14" t="s">
        <v>841</v>
      </c>
      <c r="E74" s="386">
        <v>2020069.02</v>
      </c>
      <c r="F74" s="386">
        <v>0</v>
      </c>
      <c r="G74" s="386">
        <v>2020069.02</v>
      </c>
      <c r="H74" s="386">
        <v>0</v>
      </c>
      <c r="I74" s="386">
        <v>2020069.02</v>
      </c>
      <c r="J74" s="386">
        <v>0</v>
      </c>
      <c r="K74" s="386">
        <v>2020069.02</v>
      </c>
      <c r="L74" s="386">
        <v>0</v>
      </c>
      <c r="M74" s="386">
        <v>2020069.02</v>
      </c>
      <c r="N74" s="386">
        <v>0</v>
      </c>
      <c r="O74" s="386">
        <v>2020069.02</v>
      </c>
      <c r="P74" s="386">
        <v>0</v>
      </c>
      <c r="Q74" s="386">
        <v>2020069.02</v>
      </c>
      <c r="R74" s="386">
        <v>0</v>
      </c>
      <c r="S74" s="386">
        <v>2020069.02</v>
      </c>
      <c r="T74" s="386">
        <v>0</v>
      </c>
      <c r="U74" s="386">
        <v>2020069.02</v>
      </c>
      <c r="V74" s="386">
        <v>0</v>
      </c>
      <c r="W74" s="386">
        <v>2558710.29</v>
      </c>
      <c r="X74" s="386">
        <v>0</v>
      </c>
      <c r="Y74" s="386">
        <v>2558710.29</v>
      </c>
      <c r="Z74" s="386">
        <v>0</v>
      </c>
      <c r="AA74" s="386">
        <v>2558710.29</v>
      </c>
      <c r="AB74" s="386">
        <v>0</v>
      </c>
      <c r="AC74" s="386">
        <v>2549877.4</v>
      </c>
      <c r="AD74" s="386">
        <v>0</v>
      </c>
      <c r="AE74" s="386">
        <f t="shared" si="3"/>
        <v>2176804.6866666665</v>
      </c>
      <c r="AF74" s="386">
        <f t="shared" si="3"/>
        <v>0</v>
      </c>
    </row>
    <row r="75" spans="1:32">
      <c r="A75" s="380">
        <v>66</v>
      </c>
      <c r="C75" s="14" t="s">
        <v>863</v>
      </c>
      <c r="D75" s="14" t="s">
        <v>841</v>
      </c>
      <c r="E75" s="386">
        <v>7933.28</v>
      </c>
      <c r="F75" s="386">
        <v>4703.88</v>
      </c>
      <c r="G75" s="386">
        <v>7933.28</v>
      </c>
      <c r="H75" s="386">
        <v>4703.88</v>
      </c>
      <c r="I75" s="386">
        <v>7933.28</v>
      </c>
      <c r="J75" s="386">
        <v>4703.88</v>
      </c>
      <c r="K75" s="386">
        <v>7933.28</v>
      </c>
      <c r="L75" s="386">
        <v>4703.88</v>
      </c>
      <c r="M75" s="386">
        <v>7933.28</v>
      </c>
      <c r="N75" s="386">
        <v>4703.88</v>
      </c>
      <c r="O75" s="386">
        <v>7933.28</v>
      </c>
      <c r="P75" s="386">
        <v>4703.88</v>
      </c>
      <c r="Q75" s="386">
        <v>7933.28</v>
      </c>
      <c r="R75" s="386">
        <v>4703.88</v>
      </c>
      <c r="S75" s="386">
        <v>7933.28</v>
      </c>
      <c r="T75" s="386">
        <v>4703.88</v>
      </c>
      <c r="U75" s="386">
        <v>7933.28</v>
      </c>
      <c r="V75" s="386">
        <v>4703.88</v>
      </c>
      <c r="W75" s="386">
        <v>7933.28</v>
      </c>
      <c r="X75" s="386">
        <v>4703.88</v>
      </c>
      <c r="Y75" s="386">
        <v>7933.28</v>
      </c>
      <c r="Z75" s="386">
        <v>4703.88</v>
      </c>
      <c r="AA75" s="386">
        <v>7933.28</v>
      </c>
      <c r="AB75" s="386">
        <v>4703.88</v>
      </c>
      <c r="AC75" s="386">
        <v>7933.28</v>
      </c>
      <c r="AD75" s="386">
        <v>4703.88</v>
      </c>
      <c r="AE75" s="386">
        <f t="shared" si="3"/>
        <v>7933.28</v>
      </c>
      <c r="AF75" s="386">
        <f t="shared" si="3"/>
        <v>4703.8799999999992</v>
      </c>
    </row>
    <row r="76" spans="1:32">
      <c r="A76" s="380">
        <v>67</v>
      </c>
      <c r="C76" s="14" t="s">
        <v>864</v>
      </c>
      <c r="D76" s="14" t="s">
        <v>841</v>
      </c>
      <c r="E76" s="386">
        <v>9555549.6300000008</v>
      </c>
      <c r="F76" s="386">
        <v>4799302.57</v>
      </c>
      <c r="G76" s="386">
        <v>9562360.2200000007</v>
      </c>
      <c r="H76" s="386">
        <v>4809176.6399999997</v>
      </c>
      <c r="I76" s="386">
        <v>9559168.8499999996</v>
      </c>
      <c r="J76" s="386">
        <v>4808721.75</v>
      </c>
      <c r="K76" s="386">
        <v>9539433.9399999995</v>
      </c>
      <c r="L76" s="386">
        <v>4818500.26</v>
      </c>
      <c r="M76" s="386">
        <v>12328441.6</v>
      </c>
      <c r="N76" s="386">
        <v>4828357.68</v>
      </c>
      <c r="O76" s="386">
        <v>12354137.25</v>
      </c>
      <c r="P76" s="386">
        <v>4841097.07</v>
      </c>
      <c r="Q76" s="386">
        <v>12354280.359999999</v>
      </c>
      <c r="R76" s="386">
        <v>4853863.01</v>
      </c>
      <c r="S76" s="386">
        <v>12358344.220000001</v>
      </c>
      <c r="T76" s="386">
        <v>4865853.03</v>
      </c>
      <c r="U76" s="386">
        <v>12359983.75</v>
      </c>
      <c r="V76" s="386">
        <v>4878623.32</v>
      </c>
      <c r="W76" s="386">
        <v>12360374.58</v>
      </c>
      <c r="X76" s="386">
        <v>4891395.3</v>
      </c>
      <c r="Y76" s="386">
        <v>12360374.58</v>
      </c>
      <c r="Z76" s="386">
        <v>4904167.6900000004</v>
      </c>
      <c r="AA76" s="386">
        <v>12383866.98</v>
      </c>
      <c r="AB76" s="386">
        <v>4916434.0600000005</v>
      </c>
      <c r="AC76" s="386">
        <v>12467225.67</v>
      </c>
      <c r="AD76" s="386">
        <v>4929230.72</v>
      </c>
      <c r="AE76" s="386">
        <f t="shared" si="3"/>
        <v>11544346.164999999</v>
      </c>
      <c r="AF76" s="386">
        <f t="shared" si="3"/>
        <v>4856704.7045833329</v>
      </c>
    </row>
    <row r="77" spans="1:32">
      <c r="A77" s="380">
        <v>68</v>
      </c>
      <c r="C77" s="14" t="s">
        <v>865</v>
      </c>
      <c r="D77" s="14" t="s">
        <v>841</v>
      </c>
      <c r="E77" s="386">
        <v>102325.73</v>
      </c>
      <c r="F77" s="386">
        <v>39019.07</v>
      </c>
      <c r="G77" s="386">
        <v>102325.73</v>
      </c>
      <c r="H77" s="386">
        <v>40500.230000000003</v>
      </c>
      <c r="I77" s="386">
        <v>102325.73</v>
      </c>
      <c r="J77" s="386">
        <v>41981.39</v>
      </c>
      <c r="K77" s="386">
        <v>102325.73</v>
      </c>
      <c r="L77" s="386">
        <v>43462.55</v>
      </c>
      <c r="M77" s="386">
        <v>102325.73</v>
      </c>
      <c r="N77" s="386">
        <v>44943.71</v>
      </c>
      <c r="O77" s="386">
        <v>102325.73</v>
      </c>
      <c r="P77" s="386">
        <v>46424.87</v>
      </c>
      <c r="Q77" s="386">
        <v>102325.73</v>
      </c>
      <c r="R77" s="386">
        <v>47906.03</v>
      </c>
      <c r="S77" s="386">
        <v>102325.73</v>
      </c>
      <c r="T77" s="386">
        <v>49387.19</v>
      </c>
      <c r="U77" s="386">
        <v>113762.56</v>
      </c>
      <c r="V77" s="386">
        <v>50868.35</v>
      </c>
      <c r="W77" s="386">
        <v>114979.17</v>
      </c>
      <c r="X77" s="386">
        <v>52515.06</v>
      </c>
      <c r="Y77" s="386">
        <v>114979.17</v>
      </c>
      <c r="Z77" s="386">
        <v>54179.380000000005</v>
      </c>
      <c r="AA77" s="386">
        <v>114979.17</v>
      </c>
      <c r="AB77" s="386">
        <v>55843.700000000004</v>
      </c>
      <c r="AC77" s="386">
        <v>114769.47</v>
      </c>
      <c r="AD77" s="386">
        <v>57508.020000000004</v>
      </c>
      <c r="AE77" s="386">
        <f t="shared" si="3"/>
        <v>106960.64833333333</v>
      </c>
      <c r="AF77" s="386">
        <f t="shared" si="3"/>
        <v>48023.000416666669</v>
      </c>
    </row>
    <row r="78" spans="1:32">
      <c r="A78" s="380">
        <v>69</v>
      </c>
      <c r="C78" s="14" t="s">
        <v>866</v>
      </c>
      <c r="D78" s="14" t="s">
        <v>841</v>
      </c>
      <c r="E78" s="386">
        <v>447968.56</v>
      </c>
      <c r="F78" s="386">
        <v>123514.99</v>
      </c>
      <c r="G78" s="386">
        <v>447968.56</v>
      </c>
      <c r="H78" s="386">
        <v>125374.06</v>
      </c>
      <c r="I78" s="386">
        <v>447968.56</v>
      </c>
      <c r="J78" s="386">
        <v>127233.13</v>
      </c>
      <c r="K78" s="386">
        <v>441814.81</v>
      </c>
      <c r="L78" s="386">
        <v>129092.2</v>
      </c>
      <c r="M78" s="386">
        <v>441814.81</v>
      </c>
      <c r="N78" s="386">
        <v>130925.73</v>
      </c>
      <c r="O78" s="386">
        <v>441814.81</v>
      </c>
      <c r="P78" s="386">
        <v>132759.26</v>
      </c>
      <c r="Q78" s="386">
        <v>441814.81</v>
      </c>
      <c r="R78" s="386">
        <v>134592.79</v>
      </c>
      <c r="S78" s="386">
        <v>441814.81</v>
      </c>
      <c r="T78" s="386">
        <v>136426.32</v>
      </c>
      <c r="U78" s="386">
        <v>446171.05</v>
      </c>
      <c r="V78" s="386">
        <v>138259.85</v>
      </c>
      <c r="W78" s="386">
        <v>446171.05</v>
      </c>
      <c r="X78" s="386">
        <v>140111.46</v>
      </c>
      <c r="Y78" s="386">
        <v>446171.05</v>
      </c>
      <c r="Z78" s="386">
        <v>141963.07</v>
      </c>
      <c r="AA78" s="386">
        <v>446171.05</v>
      </c>
      <c r="AB78" s="386">
        <v>143814.68</v>
      </c>
      <c r="AC78" s="386">
        <v>446098.85000000003</v>
      </c>
      <c r="AD78" s="386">
        <v>145666.29</v>
      </c>
      <c r="AE78" s="386">
        <f t="shared" si="3"/>
        <v>444727.4229166666</v>
      </c>
      <c r="AF78" s="386">
        <f t="shared" si="3"/>
        <v>134595.26583333334</v>
      </c>
    </row>
    <row r="79" spans="1:32">
      <c r="A79" s="380">
        <v>70</v>
      </c>
      <c r="C79" s="14" t="s">
        <v>867</v>
      </c>
      <c r="D79" s="14" t="s">
        <v>841</v>
      </c>
      <c r="E79" s="386">
        <v>208790.52000000002</v>
      </c>
      <c r="F79" s="386">
        <v>97529.52</v>
      </c>
      <c r="G79" s="386">
        <v>208790.52000000002</v>
      </c>
      <c r="H79" s="386">
        <v>98077.59</v>
      </c>
      <c r="I79" s="386">
        <v>208790.52000000002</v>
      </c>
      <c r="J79" s="386">
        <v>98625.66</v>
      </c>
      <c r="K79" s="386">
        <v>208790.52000000002</v>
      </c>
      <c r="L79" s="386">
        <v>99173.73</v>
      </c>
      <c r="M79" s="386">
        <v>208790.52000000002</v>
      </c>
      <c r="N79" s="386">
        <v>99721.8</v>
      </c>
      <c r="O79" s="386">
        <v>208790.52000000002</v>
      </c>
      <c r="P79" s="386">
        <v>100269.87</v>
      </c>
      <c r="Q79" s="386">
        <v>208790.52000000002</v>
      </c>
      <c r="R79" s="386">
        <v>100817.94</v>
      </c>
      <c r="S79" s="386">
        <v>208790.52000000002</v>
      </c>
      <c r="T79" s="386">
        <v>101366.01000000001</v>
      </c>
      <c r="U79" s="386">
        <v>208790.52000000002</v>
      </c>
      <c r="V79" s="386">
        <v>101914.08</v>
      </c>
      <c r="W79" s="386">
        <v>203549.89</v>
      </c>
      <c r="X79" s="386">
        <v>97721.52</v>
      </c>
      <c r="Y79" s="386">
        <v>203549.89</v>
      </c>
      <c r="Z79" s="386">
        <v>98255.84</v>
      </c>
      <c r="AA79" s="386">
        <v>203549.89</v>
      </c>
      <c r="AB79" s="386">
        <v>98790.16</v>
      </c>
      <c r="AC79" s="386">
        <v>203549.89</v>
      </c>
      <c r="AD79" s="386">
        <v>99324.479999999996</v>
      </c>
      <c r="AE79" s="386">
        <f t="shared" si="3"/>
        <v>207262.00291666671</v>
      </c>
      <c r="AF79" s="386">
        <f t="shared" si="3"/>
        <v>99430.099999999991</v>
      </c>
    </row>
    <row r="80" spans="1:32">
      <c r="A80" s="380">
        <v>71</v>
      </c>
      <c r="C80" s="14" t="s">
        <v>868</v>
      </c>
      <c r="D80" s="14" t="s">
        <v>841</v>
      </c>
      <c r="E80" s="386">
        <v>11132770.07</v>
      </c>
      <c r="F80" s="386">
        <v>3665685.4</v>
      </c>
      <c r="G80" s="386">
        <v>11216656.800000001</v>
      </c>
      <c r="H80" s="386">
        <v>3722740.84</v>
      </c>
      <c r="I80" s="386">
        <v>11034806.4</v>
      </c>
      <c r="J80" s="386">
        <v>3645780.09</v>
      </c>
      <c r="K80" s="386">
        <v>11040618.57</v>
      </c>
      <c r="L80" s="386">
        <v>3684844.69</v>
      </c>
      <c r="M80" s="386">
        <v>11082041.82</v>
      </c>
      <c r="N80" s="386">
        <v>3702527.61</v>
      </c>
      <c r="O80" s="386">
        <v>11145849.17</v>
      </c>
      <c r="P80" s="386">
        <v>3748029.0300000003</v>
      </c>
      <c r="Q80" s="386">
        <v>11090363.529999999</v>
      </c>
      <c r="R80" s="386">
        <v>3681116.13</v>
      </c>
      <c r="S80" s="386">
        <v>10944183</v>
      </c>
      <c r="T80" s="386">
        <v>3622538.86</v>
      </c>
      <c r="U80" s="386">
        <v>11163686.34</v>
      </c>
      <c r="V80" s="386">
        <v>3687335.95</v>
      </c>
      <c r="W80" s="386">
        <v>11275500.68</v>
      </c>
      <c r="X80" s="386">
        <v>3590028.3</v>
      </c>
      <c r="Y80" s="386">
        <v>11221880.85</v>
      </c>
      <c r="Z80" s="386">
        <v>3581881.02</v>
      </c>
      <c r="AA80" s="386">
        <v>11021655.4</v>
      </c>
      <c r="AB80" s="386">
        <v>3496945.23</v>
      </c>
      <c r="AC80" s="386">
        <v>11625924.470000001</v>
      </c>
      <c r="AD80" s="386">
        <v>3502362.43</v>
      </c>
      <c r="AE80" s="386">
        <f t="shared" si="3"/>
        <v>11134715.819166666</v>
      </c>
      <c r="AF80" s="386">
        <f t="shared" si="3"/>
        <v>3645649.305416666</v>
      </c>
    </row>
    <row r="81" spans="1:32">
      <c r="A81" s="380">
        <v>72</v>
      </c>
      <c r="C81" s="14" t="s">
        <v>869</v>
      </c>
      <c r="D81" s="14" t="s">
        <v>841</v>
      </c>
      <c r="E81" s="386">
        <v>23837.02</v>
      </c>
      <c r="F81" s="386">
        <v>11691.89</v>
      </c>
      <c r="G81" s="386">
        <v>23837.02</v>
      </c>
      <c r="H81" s="386">
        <v>11797.960000000001</v>
      </c>
      <c r="I81" s="386">
        <v>23837.02</v>
      </c>
      <c r="J81" s="386">
        <v>11904.03</v>
      </c>
      <c r="K81" s="386">
        <v>23837.02</v>
      </c>
      <c r="L81" s="386">
        <v>12010.1</v>
      </c>
      <c r="M81" s="386">
        <v>23837.02</v>
      </c>
      <c r="N81" s="386">
        <v>12116.17</v>
      </c>
      <c r="O81" s="386">
        <v>23837.02</v>
      </c>
      <c r="P81" s="386">
        <v>12222.24</v>
      </c>
      <c r="Q81" s="386">
        <v>23837.02</v>
      </c>
      <c r="R81" s="386">
        <v>12328.31</v>
      </c>
      <c r="S81" s="386">
        <v>23837.02</v>
      </c>
      <c r="T81" s="386">
        <v>12434.380000000001</v>
      </c>
      <c r="U81" s="386">
        <v>23837.02</v>
      </c>
      <c r="V81" s="386">
        <v>12540.45</v>
      </c>
      <c r="W81" s="386">
        <v>23837.02</v>
      </c>
      <c r="X81" s="386">
        <v>12646.52</v>
      </c>
      <c r="Y81" s="386">
        <v>23837.02</v>
      </c>
      <c r="Z81" s="386">
        <v>12752.59</v>
      </c>
      <c r="AA81" s="386">
        <v>23837.02</v>
      </c>
      <c r="AB81" s="386">
        <v>12858.66</v>
      </c>
      <c r="AC81" s="386">
        <v>23837.02</v>
      </c>
      <c r="AD81" s="386">
        <v>12964.73</v>
      </c>
      <c r="AE81" s="386">
        <f t="shared" si="3"/>
        <v>23837.02</v>
      </c>
      <c r="AF81" s="386">
        <f t="shared" si="3"/>
        <v>12328.31</v>
      </c>
    </row>
    <row r="82" spans="1:32">
      <c r="A82" s="380">
        <v>73</v>
      </c>
      <c r="C82" s="14" t="s">
        <v>870</v>
      </c>
      <c r="D82" s="14" t="s">
        <v>841</v>
      </c>
      <c r="E82" s="386">
        <v>4876288.05</v>
      </c>
      <c r="F82" s="386">
        <v>1349016.6600000001</v>
      </c>
      <c r="G82" s="386">
        <v>4882862.6399999997</v>
      </c>
      <c r="H82" s="386">
        <v>1363482.98</v>
      </c>
      <c r="I82" s="386">
        <v>4911312.6100000003</v>
      </c>
      <c r="J82" s="386">
        <v>1377968.81</v>
      </c>
      <c r="K82" s="386">
        <v>4865469.66</v>
      </c>
      <c r="L82" s="386">
        <v>1326297.99</v>
      </c>
      <c r="M82" s="386">
        <v>4905803.05</v>
      </c>
      <c r="N82" s="386">
        <v>1340732.22</v>
      </c>
      <c r="O82" s="386">
        <v>4918419.63</v>
      </c>
      <c r="P82" s="386">
        <v>1355286.1</v>
      </c>
      <c r="Q82" s="386">
        <v>4964085.72</v>
      </c>
      <c r="R82" s="386">
        <v>1369877.4100000001</v>
      </c>
      <c r="S82" s="386">
        <v>4969215.47</v>
      </c>
      <c r="T82" s="386">
        <v>1384604.2</v>
      </c>
      <c r="U82" s="386">
        <v>4973980.4800000004</v>
      </c>
      <c r="V82" s="386">
        <v>1399346.21</v>
      </c>
      <c r="W82" s="386">
        <v>4979486.47</v>
      </c>
      <c r="X82" s="386">
        <v>1414102.35</v>
      </c>
      <c r="Y82" s="386">
        <v>4984424.6399999997</v>
      </c>
      <c r="Z82" s="386">
        <v>1428874.83</v>
      </c>
      <c r="AA82" s="386">
        <v>4984424.6399999997</v>
      </c>
      <c r="AB82" s="386">
        <v>1443661.96</v>
      </c>
      <c r="AC82" s="386">
        <v>5008038.0999999996</v>
      </c>
      <c r="AD82" s="386">
        <v>1458449.09</v>
      </c>
      <c r="AE82" s="386">
        <f t="shared" si="3"/>
        <v>4940137.3404166671</v>
      </c>
      <c r="AF82" s="386">
        <f t="shared" si="3"/>
        <v>1383997.3279166666</v>
      </c>
    </row>
    <row r="83" spans="1:32">
      <c r="A83" s="380">
        <v>74</v>
      </c>
      <c r="C83" s="14" t="s">
        <v>871</v>
      </c>
      <c r="D83" s="14" t="s">
        <v>841</v>
      </c>
      <c r="E83" s="386">
        <v>131231.01999999999</v>
      </c>
      <c r="F83" s="386">
        <v>120288.42</v>
      </c>
      <c r="G83" s="386">
        <v>131231.01999999999</v>
      </c>
      <c r="H83" s="386">
        <v>120489.64</v>
      </c>
      <c r="I83" s="386">
        <v>131231.01999999999</v>
      </c>
      <c r="J83" s="386">
        <v>120690.86</v>
      </c>
      <c r="K83" s="386">
        <v>131231.01999999999</v>
      </c>
      <c r="L83" s="386">
        <v>120892.08</v>
      </c>
      <c r="M83" s="386">
        <v>131231.01999999999</v>
      </c>
      <c r="N83" s="386">
        <v>121093.3</v>
      </c>
      <c r="O83" s="386">
        <v>131231.01999999999</v>
      </c>
      <c r="P83" s="386">
        <v>121294.52</v>
      </c>
      <c r="Q83" s="386">
        <v>131231.01999999999</v>
      </c>
      <c r="R83" s="386">
        <v>121495.74</v>
      </c>
      <c r="S83" s="386">
        <v>131231.01999999999</v>
      </c>
      <c r="T83" s="386">
        <v>121696.96000000001</v>
      </c>
      <c r="U83" s="386">
        <v>131231.01999999999</v>
      </c>
      <c r="V83" s="386">
        <v>121898.18000000001</v>
      </c>
      <c r="W83" s="386">
        <v>131231.01999999999</v>
      </c>
      <c r="X83" s="386">
        <v>122099.40000000001</v>
      </c>
      <c r="Y83" s="386">
        <v>131231.01999999999</v>
      </c>
      <c r="Z83" s="386">
        <v>122300.62</v>
      </c>
      <c r="AA83" s="386">
        <v>131231.01999999999</v>
      </c>
      <c r="AB83" s="386">
        <v>122501.84</v>
      </c>
      <c r="AC83" s="386">
        <v>131231.01999999999</v>
      </c>
      <c r="AD83" s="386">
        <v>122703.06</v>
      </c>
      <c r="AE83" s="386">
        <f t="shared" si="3"/>
        <v>131231.01999999999</v>
      </c>
      <c r="AF83" s="386">
        <f t="shared" si="3"/>
        <v>121495.73999999999</v>
      </c>
    </row>
    <row r="84" spans="1:32">
      <c r="A84" s="380">
        <v>75</v>
      </c>
      <c r="C84" s="14" t="s">
        <v>872</v>
      </c>
      <c r="D84" s="14" t="s">
        <v>841</v>
      </c>
      <c r="E84" s="386">
        <v>29277.34</v>
      </c>
      <c r="F84" s="386">
        <v>21813.78</v>
      </c>
      <c r="G84" s="386">
        <v>29277.34</v>
      </c>
      <c r="H84" s="386">
        <v>21926.010000000002</v>
      </c>
      <c r="I84" s="386">
        <v>29277.34</v>
      </c>
      <c r="J84" s="386">
        <v>22038.240000000002</v>
      </c>
      <c r="K84" s="386">
        <v>5249.37</v>
      </c>
      <c r="L84" s="386">
        <v>-1877.5</v>
      </c>
      <c r="M84" s="386">
        <v>5249.37</v>
      </c>
      <c r="N84" s="386">
        <v>-1857.38</v>
      </c>
      <c r="O84" s="386">
        <v>5249.37</v>
      </c>
      <c r="P84" s="386">
        <v>-1837.26</v>
      </c>
      <c r="Q84" s="386">
        <v>5249.37</v>
      </c>
      <c r="R84" s="386">
        <v>-1817.14</v>
      </c>
      <c r="S84" s="386">
        <v>5249.37</v>
      </c>
      <c r="T84" s="386">
        <v>-1797.02</v>
      </c>
      <c r="U84" s="386">
        <v>5249.37</v>
      </c>
      <c r="V84" s="386">
        <v>-1776.9</v>
      </c>
      <c r="W84" s="386">
        <v>5249.37</v>
      </c>
      <c r="X84" s="386">
        <v>-1756.78</v>
      </c>
      <c r="Y84" s="386">
        <v>5249.37</v>
      </c>
      <c r="Z84" s="386">
        <v>-1736.66</v>
      </c>
      <c r="AA84" s="386">
        <v>5249.37</v>
      </c>
      <c r="AB84" s="386">
        <v>-1716.54</v>
      </c>
      <c r="AC84" s="386">
        <v>5249.37</v>
      </c>
      <c r="AD84" s="386">
        <v>-1696.42</v>
      </c>
      <c r="AE84" s="386">
        <f t="shared" si="3"/>
        <v>10255.197083333331</v>
      </c>
      <c r="AF84" s="386">
        <f t="shared" si="3"/>
        <v>3154.1458333333335</v>
      </c>
    </row>
    <row r="85" spans="1:32">
      <c r="A85" s="380">
        <v>76</v>
      </c>
      <c r="C85" s="14" t="s">
        <v>873</v>
      </c>
      <c r="D85" s="14" t="s">
        <v>841</v>
      </c>
      <c r="E85" s="386">
        <v>3239948.69</v>
      </c>
      <c r="F85" s="386">
        <v>-419854.45</v>
      </c>
      <c r="G85" s="386">
        <v>3430954.87</v>
      </c>
      <c r="H85" s="386">
        <v>-405868.68</v>
      </c>
      <c r="I85" s="386">
        <v>2098101.27</v>
      </c>
      <c r="J85" s="386">
        <v>-707089.84</v>
      </c>
      <c r="K85" s="386">
        <v>2016277.52</v>
      </c>
      <c r="L85" s="386">
        <v>-780256.79</v>
      </c>
      <c r="M85" s="386">
        <v>2016277.52</v>
      </c>
      <c r="N85" s="386">
        <v>-702070.84</v>
      </c>
      <c r="O85" s="386">
        <v>2016277.52</v>
      </c>
      <c r="P85" s="386">
        <v>-693367.24</v>
      </c>
      <c r="Q85" s="386">
        <v>2016277.52</v>
      </c>
      <c r="R85" s="386">
        <v>-684663.64</v>
      </c>
      <c r="S85" s="386">
        <v>2009397.16</v>
      </c>
      <c r="T85" s="386">
        <v>-681665.4</v>
      </c>
      <c r="U85" s="386">
        <v>2016778.44</v>
      </c>
      <c r="V85" s="386">
        <v>-707508.42</v>
      </c>
      <c r="W85" s="386">
        <v>2018911.32</v>
      </c>
      <c r="X85" s="386">
        <v>-739225.71</v>
      </c>
      <c r="Y85" s="386">
        <v>2021410.82</v>
      </c>
      <c r="Z85" s="386">
        <v>-743214.12</v>
      </c>
      <c r="AA85" s="386">
        <v>2139026.92</v>
      </c>
      <c r="AB85" s="386">
        <v>-734488.36</v>
      </c>
      <c r="AC85" s="386">
        <v>2099536.96</v>
      </c>
      <c r="AD85" s="386">
        <v>-1005357.87</v>
      </c>
      <c r="AE85" s="386">
        <f t="shared" si="3"/>
        <v>2205786.1420833333</v>
      </c>
      <c r="AF85" s="386">
        <f t="shared" si="3"/>
        <v>-691002.1</v>
      </c>
    </row>
    <row r="86" spans="1:32">
      <c r="A86" s="380">
        <v>77</v>
      </c>
      <c r="C86" s="14" t="s">
        <v>874</v>
      </c>
      <c r="D86" s="14" t="s">
        <v>841</v>
      </c>
      <c r="E86" s="386">
        <v>621602.63</v>
      </c>
      <c r="F86" s="386">
        <v>179102.77</v>
      </c>
      <c r="G86" s="386">
        <v>621602.63</v>
      </c>
      <c r="H86" s="386">
        <v>180718.94</v>
      </c>
      <c r="I86" s="386">
        <v>607706.98</v>
      </c>
      <c r="J86" s="386">
        <v>171539.46</v>
      </c>
      <c r="K86" s="386">
        <v>553326.53</v>
      </c>
      <c r="L86" s="386">
        <v>147864.05000000002</v>
      </c>
      <c r="M86" s="386">
        <v>553326.53</v>
      </c>
      <c r="N86" s="386">
        <v>149302.70000000001</v>
      </c>
      <c r="O86" s="386">
        <v>553326.53</v>
      </c>
      <c r="P86" s="386">
        <v>150741.35</v>
      </c>
      <c r="Q86" s="386">
        <v>553326.53</v>
      </c>
      <c r="R86" s="386">
        <v>152180</v>
      </c>
      <c r="S86" s="386">
        <v>553326.53</v>
      </c>
      <c r="T86" s="386">
        <v>153618.65</v>
      </c>
      <c r="U86" s="386">
        <v>553326.53</v>
      </c>
      <c r="V86" s="386">
        <v>155057.30000000002</v>
      </c>
      <c r="W86" s="386">
        <v>553326.53</v>
      </c>
      <c r="X86" s="386">
        <v>156495.95000000001</v>
      </c>
      <c r="Y86" s="386">
        <v>553326.53</v>
      </c>
      <c r="Z86" s="386">
        <v>157934.6</v>
      </c>
      <c r="AA86" s="386">
        <v>553326.53</v>
      </c>
      <c r="AB86" s="386">
        <v>159373.25</v>
      </c>
      <c r="AC86" s="386">
        <v>553326.53</v>
      </c>
      <c r="AD86" s="386">
        <v>160811.9</v>
      </c>
      <c r="AE86" s="386">
        <f t="shared" si="3"/>
        <v>566392.74666666682</v>
      </c>
      <c r="AF86" s="386">
        <f t="shared" si="3"/>
        <v>158731.96541666667</v>
      </c>
    </row>
    <row r="87" spans="1:32">
      <c r="A87" s="380">
        <v>78</v>
      </c>
      <c r="C87" s="14" t="s">
        <v>875</v>
      </c>
      <c r="D87" s="14" t="s">
        <v>841</v>
      </c>
      <c r="E87" s="386">
        <v>194717.30000000002</v>
      </c>
      <c r="F87" s="386">
        <v>122189.7</v>
      </c>
      <c r="G87" s="386">
        <v>194717.30000000002</v>
      </c>
      <c r="H87" s="386">
        <v>122929.63</v>
      </c>
      <c r="I87" s="386">
        <v>194717.30000000002</v>
      </c>
      <c r="J87" s="386">
        <v>123669.56</v>
      </c>
      <c r="K87" s="386">
        <v>194717.30000000002</v>
      </c>
      <c r="L87" s="386">
        <v>124409.49</v>
      </c>
      <c r="M87" s="386">
        <v>194717.30000000002</v>
      </c>
      <c r="N87" s="386">
        <v>125149.42</v>
      </c>
      <c r="O87" s="386">
        <v>194717.30000000002</v>
      </c>
      <c r="P87" s="386">
        <v>125889.35</v>
      </c>
      <c r="Q87" s="386">
        <v>194717.30000000002</v>
      </c>
      <c r="R87" s="386">
        <v>126629.28</v>
      </c>
      <c r="S87" s="386">
        <v>194717.30000000002</v>
      </c>
      <c r="T87" s="386">
        <v>127369.21</v>
      </c>
      <c r="U87" s="386">
        <v>194717.30000000002</v>
      </c>
      <c r="V87" s="386">
        <v>128109.14</v>
      </c>
      <c r="W87" s="386">
        <v>194717.30000000002</v>
      </c>
      <c r="X87" s="386">
        <v>128849.07</v>
      </c>
      <c r="Y87" s="386">
        <v>194717.30000000002</v>
      </c>
      <c r="Z87" s="386">
        <v>129589</v>
      </c>
      <c r="AA87" s="386">
        <v>194717.30000000002</v>
      </c>
      <c r="AB87" s="386">
        <v>130328.93000000001</v>
      </c>
      <c r="AC87" s="386">
        <v>194717.30000000002</v>
      </c>
      <c r="AD87" s="386">
        <v>131068.86</v>
      </c>
      <c r="AE87" s="386">
        <f t="shared" si="3"/>
        <v>194717.30000000002</v>
      </c>
      <c r="AF87" s="386">
        <f t="shared" si="3"/>
        <v>126629.27999999998</v>
      </c>
    </row>
    <row r="88" spans="1:32">
      <c r="A88" s="380">
        <v>79</v>
      </c>
      <c r="C88" s="14" t="s">
        <v>876</v>
      </c>
      <c r="D88" s="14" t="s">
        <v>841</v>
      </c>
      <c r="E88" s="386">
        <v>924622.43</v>
      </c>
      <c r="F88" s="386">
        <v>284496.61</v>
      </c>
      <c r="G88" s="386">
        <v>924622.43</v>
      </c>
      <c r="H88" s="386">
        <v>291716.37</v>
      </c>
      <c r="I88" s="386">
        <v>924622.43</v>
      </c>
      <c r="J88" s="386">
        <v>298936.13</v>
      </c>
      <c r="K88" s="386">
        <v>924622.43</v>
      </c>
      <c r="L88" s="386">
        <v>306155.89</v>
      </c>
      <c r="M88" s="386">
        <v>924622.43</v>
      </c>
      <c r="N88" s="386">
        <v>313375.65000000002</v>
      </c>
      <c r="O88" s="386">
        <v>924622.43</v>
      </c>
      <c r="P88" s="386">
        <v>320595.41000000003</v>
      </c>
      <c r="Q88" s="386">
        <v>924622.43</v>
      </c>
      <c r="R88" s="386">
        <v>327815.17</v>
      </c>
      <c r="S88" s="386">
        <v>924622.43</v>
      </c>
      <c r="T88" s="386">
        <v>335034.93</v>
      </c>
      <c r="U88" s="386">
        <v>924622.43</v>
      </c>
      <c r="V88" s="386">
        <v>342254.69</v>
      </c>
      <c r="W88" s="386">
        <v>924622.43</v>
      </c>
      <c r="X88" s="386">
        <v>349474.45</v>
      </c>
      <c r="Y88" s="386">
        <v>924622.43</v>
      </c>
      <c r="Z88" s="386">
        <v>356694.21</v>
      </c>
      <c r="AA88" s="386">
        <v>924622.43</v>
      </c>
      <c r="AB88" s="386">
        <v>363913.97000000003</v>
      </c>
      <c r="AC88" s="386">
        <v>924622.43</v>
      </c>
      <c r="AD88" s="386">
        <v>371133.73</v>
      </c>
      <c r="AE88" s="386">
        <f t="shared" si="3"/>
        <v>924622.42999999982</v>
      </c>
      <c r="AF88" s="386">
        <f t="shared" si="3"/>
        <v>327815.17000000004</v>
      </c>
    </row>
    <row r="89" spans="1:32">
      <c r="A89" s="380">
        <v>80</v>
      </c>
      <c r="C89" s="14" t="s">
        <v>877</v>
      </c>
      <c r="D89" s="14" t="s">
        <v>841</v>
      </c>
      <c r="E89" s="386">
        <v>3202003.54</v>
      </c>
      <c r="F89" s="386">
        <v>2486837.38</v>
      </c>
      <c r="G89" s="386">
        <v>3202003.54</v>
      </c>
      <c r="H89" s="386">
        <v>2487184.2599999998</v>
      </c>
      <c r="I89" s="386">
        <v>3202003.54</v>
      </c>
      <c r="J89" s="386">
        <v>2487531.14</v>
      </c>
      <c r="K89" s="386">
        <v>3204746.09</v>
      </c>
      <c r="L89" s="386">
        <v>2487878.02</v>
      </c>
      <c r="M89" s="386">
        <v>3204746.09</v>
      </c>
      <c r="N89" s="386">
        <v>2488225.2000000002</v>
      </c>
      <c r="O89" s="386">
        <v>3204746.09</v>
      </c>
      <c r="P89" s="386">
        <v>2488572.38</v>
      </c>
      <c r="Q89" s="386">
        <v>3204746.09</v>
      </c>
      <c r="R89" s="386">
        <v>2488919.56</v>
      </c>
      <c r="S89" s="386">
        <v>3204746.09</v>
      </c>
      <c r="T89" s="386">
        <v>2489266.7400000002</v>
      </c>
      <c r="U89" s="386">
        <v>3204746.09</v>
      </c>
      <c r="V89" s="386">
        <v>2489613.92</v>
      </c>
      <c r="W89" s="386">
        <v>3204655.82</v>
      </c>
      <c r="X89" s="386">
        <v>2489961.1</v>
      </c>
      <c r="Y89" s="386">
        <v>3204655.82</v>
      </c>
      <c r="Z89" s="386">
        <v>2490308.27</v>
      </c>
      <c r="AA89" s="386">
        <v>3204655.82</v>
      </c>
      <c r="AB89" s="386">
        <v>2490655.44</v>
      </c>
      <c r="AC89" s="386">
        <v>3235888.5</v>
      </c>
      <c r="AD89" s="386">
        <v>2491002.61</v>
      </c>
      <c r="AE89" s="386">
        <f t="shared" si="3"/>
        <v>3205449.7583333333</v>
      </c>
      <c r="AF89" s="386">
        <f t="shared" si="3"/>
        <v>2488919.6687500002</v>
      </c>
    </row>
    <row r="90" spans="1:32">
      <c r="A90" s="380">
        <v>81</v>
      </c>
      <c r="C90" s="14" t="s">
        <v>878</v>
      </c>
      <c r="D90" s="14" t="s">
        <v>841</v>
      </c>
      <c r="E90" s="386">
        <v>322181.13</v>
      </c>
      <c r="F90" s="386">
        <v>219230.18</v>
      </c>
      <c r="G90" s="386">
        <v>322181.13</v>
      </c>
      <c r="H90" s="386">
        <v>221694.87</v>
      </c>
      <c r="I90" s="386">
        <v>322181.13</v>
      </c>
      <c r="J90" s="386">
        <v>224159.56</v>
      </c>
      <c r="K90" s="386">
        <v>321462.03000000003</v>
      </c>
      <c r="L90" s="386">
        <v>226624.25</v>
      </c>
      <c r="M90" s="386">
        <v>321462.03000000003</v>
      </c>
      <c r="N90" s="386">
        <v>229083.43</v>
      </c>
      <c r="O90" s="386">
        <v>321462.03000000003</v>
      </c>
      <c r="P90" s="386">
        <v>231542.61000000002</v>
      </c>
      <c r="Q90" s="386">
        <v>321462.03000000003</v>
      </c>
      <c r="R90" s="386">
        <v>234001.79</v>
      </c>
      <c r="S90" s="386">
        <v>321462.03000000003</v>
      </c>
      <c r="T90" s="386">
        <v>236460.97</v>
      </c>
      <c r="U90" s="386">
        <v>321462.03000000003</v>
      </c>
      <c r="V90" s="386">
        <v>238920.15</v>
      </c>
      <c r="W90" s="386">
        <v>321462.03000000003</v>
      </c>
      <c r="X90" s="386">
        <v>241379.33000000002</v>
      </c>
      <c r="Y90" s="386">
        <v>321462.03000000003</v>
      </c>
      <c r="Z90" s="386">
        <v>243838.51</v>
      </c>
      <c r="AA90" s="386">
        <v>321462.03000000003</v>
      </c>
      <c r="AB90" s="386">
        <v>246297.69</v>
      </c>
      <c r="AC90" s="386">
        <v>321462.03000000003</v>
      </c>
      <c r="AD90" s="386">
        <v>248756.87</v>
      </c>
      <c r="AE90" s="386">
        <f t="shared" si="3"/>
        <v>321611.84250000009</v>
      </c>
      <c r="AF90" s="386">
        <f t="shared" si="3"/>
        <v>233999.72374999998</v>
      </c>
    </row>
    <row r="91" spans="1:32">
      <c r="A91" s="380">
        <v>82</v>
      </c>
      <c r="C91" s="14" t="s">
        <v>879</v>
      </c>
      <c r="D91" s="14" t="s">
        <v>841</v>
      </c>
      <c r="E91" s="386">
        <v>14274.33</v>
      </c>
      <c r="F91" s="386">
        <v>-359.73</v>
      </c>
      <c r="G91" s="386">
        <v>14274.33</v>
      </c>
      <c r="H91" s="386">
        <v>-234.71</v>
      </c>
      <c r="I91" s="386">
        <v>14274.33</v>
      </c>
      <c r="J91" s="386">
        <v>-109.69</v>
      </c>
      <c r="K91" s="386">
        <v>14274.33</v>
      </c>
      <c r="L91" s="386">
        <v>15.33</v>
      </c>
      <c r="M91" s="386">
        <v>14274.33</v>
      </c>
      <c r="N91" s="386">
        <v>140.35</v>
      </c>
      <c r="O91" s="386">
        <v>14274.33</v>
      </c>
      <c r="P91" s="386">
        <v>265.37</v>
      </c>
      <c r="Q91" s="386">
        <v>14274.33</v>
      </c>
      <c r="R91" s="386">
        <v>390.39</v>
      </c>
      <c r="S91" s="386">
        <v>14274.33</v>
      </c>
      <c r="T91" s="386">
        <v>515.41</v>
      </c>
      <c r="U91" s="386">
        <v>14274.33</v>
      </c>
      <c r="V91" s="386">
        <v>640.43000000000006</v>
      </c>
      <c r="W91" s="386">
        <v>14274.33</v>
      </c>
      <c r="X91" s="386">
        <v>765.45</v>
      </c>
      <c r="Y91" s="386">
        <v>14274.33</v>
      </c>
      <c r="Z91" s="386">
        <v>890.47</v>
      </c>
      <c r="AA91" s="386">
        <v>14274.33</v>
      </c>
      <c r="AB91" s="386">
        <v>1015.49</v>
      </c>
      <c r="AC91" s="386">
        <v>14274.33</v>
      </c>
      <c r="AD91" s="386">
        <v>1140.51</v>
      </c>
      <c r="AE91" s="386">
        <f t="shared" si="3"/>
        <v>14274.329999999996</v>
      </c>
      <c r="AF91" s="386">
        <f t="shared" si="3"/>
        <v>390.39000000000004</v>
      </c>
    </row>
    <row r="92" spans="1:32" ht="16.2">
      <c r="A92" s="380">
        <v>83</v>
      </c>
      <c r="B92" s="387" t="s">
        <v>93</v>
      </c>
      <c r="C92" s="388"/>
      <c r="D92" s="387" t="s">
        <v>880</v>
      </c>
      <c r="E92" s="389">
        <f t="shared" ref="E92:AF92" si="4">SUBTOTAL(9,E49:E91)</f>
        <v>716908411.13999987</v>
      </c>
      <c r="F92" s="389">
        <f t="shared" si="4"/>
        <v>349691372.54999995</v>
      </c>
      <c r="G92" s="389">
        <f t="shared" si="4"/>
        <v>719814865.54999983</v>
      </c>
      <c r="H92" s="389">
        <f t="shared" si="4"/>
        <v>351122100.51999992</v>
      </c>
      <c r="I92" s="389">
        <f t="shared" si="4"/>
        <v>719822123.01999986</v>
      </c>
      <c r="J92" s="389">
        <f t="shared" si="4"/>
        <v>352161619.25</v>
      </c>
      <c r="K92" s="389">
        <f t="shared" si="4"/>
        <v>721408629.44999981</v>
      </c>
      <c r="L92" s="389">
        <f t="shared" si="4"/>
        <v>353579319.95999998</v>
      </c>
      <c r="M92" s="389">
        <f t="shared" si="4"/>
        <v>726009290.69999981</v>
      </c>
      <c r="N92" s="389">
        <f t="shared" si="4"/>
        <v>355202929.90000004</v>
      </c>
      <c r="O92" s="389">
        <f t="shared" si="4"/>
        <v>729343349.84999967</v>
      </c>
      <c r="P92" s="389">
        <f t="shared" si="4"/>
        <v>356554963.54000002</v>
      </c>
      <c r="Q92" s="389">
        <f t="shared" si="4"/>
        <v>732720558.29999971</v>
      </c>
      <c r="R92" s="389">
        <f t="shared" si="4"/>
        <v>358089078.43000007</v>
      </c>
      <c r="S92" s="389">
        <f t="shared" si="4"/>
        <v>735226566.68999982</v>
      </c>
      <c r="T92" s="389">
        <f t="shared" si="4"/>
        <v>359533201.34000003</v>
      </c>
      <c r="U92" s="389">
        <f t="shared" si="4"/>
        <v>737790044.5799998</v>
      </c>
      <c r="V92" s="389">
        <f t="shared" si="4"/>
        <v>361133539.03000003</v>
      </c>
      <c r="W92" s="389">
        <f t="shared" si="4"/>
        <v>743022076.07999969</v>
      </c>
      <c r="X92" s="389">
        <f t="shared" si="4"/>
        <v>362566654.5</v>
      </c>
      <c r="Y92" s="389">
        <f t="shared" si="4"/>
        <v>748441437.37999976</v>
      </c>
      <c r="Z92" s="389">
        <f t="shared" si="4"/>
        <v>364082428.88999987</v>
      </c>
      <c r="AA92" s="389">
        <f t="shared" si="4"/>
        <v>753183631.21999967</v>
      </c>
      <c r="AB92" s="389">
        <f t="shared" si="4"/>
        <v>365355850.14999998</v>
      </c>
      <c r="AC92" s="389">
        <f t="shared" si="4"/>
        <v>764082473.55999994</v>
      </c>
      <c r="AD92" s="389">
        <f>SUBTOTAL(9,AD49:AD91)</f>
        <v>366495933.66000003</v>
      </c>
      <c r="AE92" s="389">
        <f t="shared" si="4"/>
        <v>733939834.59749973</v>
      </c>
      <c r="AF92" s="389">
        <f t="shared" si="4"/>
        <v>358122944.88458329</v>
      </c>
    </row>
    <row r="93" spans="1:32" ht="16.2">
      <c r="A93" s="380">
        <v>84</v>
      </c>
      <c r="B93" s="382" t="s">
        <v>881</v>
      </c>
      <c r="C93" s="382" t="s">
        <v>882</v>
      </c>
      <c r="D93" s="390"/>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row>
    <row r="94" spans="1:32">
      <c r="A94" s="380">
        <v>85</v>
      </c>
      <c r="C94" s="14" t="s">
        <v>883</v>
      </c>
      <c r="D94" s="14" t="s">
        <v>885</v>
      </c>
      <c r="E94" s="386">
        <v>152066.08000000002</v>
      </c>
      <c r="F94" s="386">
        <v>0</v>
      </c>
      <c r="G94" s="386">
        <v>152066.08000000002</v>
      </c>
      <c r="H94" s="386">
        <v>0</v>
      </c>
      <c r="I94" s="386">
        <v>152066.08000000002</v>
      </c>
      <c r="J94" s="386">
        <v>0</v>
      </c>
      <c r="K94" s="386">
        <v>152066.08000000002</v>
      </c>
      <c r="L94" s="386">
        <v>0</v>
      </c>
      <c r="M94" s="386">
        <v>152066.08000000002</v>
      </c>
      <c r="N94" s="386">
        <v>0</v>
      </c>
      <c r="O94" s="386">
        <v>152066.08000000002</v>
      </c>
      <c r="P94" s="386">
        <v>0</v>
      </c>
      <c r="Q94" s="386">
        <v>152066.08000000002</v>
      </c>
      <c r="R94" s="386">
        <v>0</v>
      </c>
      <c r="S94" s="386">
        <v>152066.08000000002</v>
      </c>
      <c r="T94" s="386">
        <v>0</v>
      </c>
      <c r="U94" s="386">
        <v>152066.08000000002</v>
      </c>
      <c r="V94" s="386">
        <v>0</v>
      </c>
      <c r="W94" s="386">
        <v>152066.08000000002</v>
      </c>
      <c r="X94" s="386">
        <v>0</v>
      </c>
      <c r="Y94" s="386">
        <v>152066.08000000002</v>
      </c>
      <c r="Z94" s="386">
        <v>0</v>
      </c>
      <c r="AA94" s="386">
        <v>152066.08000000002</v>
      </c>
      <c r="AB94" s="386">
        <v>0</v>
      </c>
      <c r="AC94" s="386">
        <v>152066.08000000002</v>
      </c>
      <c r="AD94" s="386">
        <v>0</v>
      </c>
      <c r="AE94" s="386">
        <f t="shared" ref="AE94:AF138" si="5">+(E94+AC94+(+G94+I94+K94+M94+O94+Q94+S94+U94+W94+Y94+AA94)*2)/24</f>
        <v>152066.08000000005</v>
      </c>
      <c r="AF94" s="386">
        <f t="shared" si="5"/>
        <v>0</v>
      </c>
    </row>
    <row r="95" spans="1:32">
      <c r="A95" s="380">
        <v>86</v>
      </c>
      <c r="C95" s="14" t="s">
        <v>884</v>
      </c>
      <c r="D95" s="385" t="s">
        <v>885</v>
      </c>
      <c r="E95" s="386">
        <v>1826757.9</v>
      </c>
      <c r="F95" s="386">
        <v>1019884.5700000001</v>
      </c>
      <c r="G95" s="386">
        <v>1826757.9000000001</v>
      </c>
      <c r="H95" s="386">
        <v>1035107.55</v>
      </c>
      <c r="I95" s="386">
        <v>1826757.9000000001</v>
      </c>
      <c r="J95" s="386">
        <v>1050330.53</v>
      </c>
      <c r="K95" s="386">
        <v>1826757.9000000001</v>
      </c>
      <c r="L95" s="386">
        <v>1065553.51</v>
      </c>
      <c r="M95" s="386">
        <v>1826757.9000000001</v>
      </c>
      <c r="N95" s="386">
        <v>1080776.49</v>
      </c>
      <c r="O95" s="386">
        <v>1826757.9000000001</v>
      </c>
      <c r="P95" s="386">
        <v>1095999.47</v>
      </c>
      <c r="Q95" s="386">
        <v>1826757.9000000001</v>
      </c>
      <c r="R95" s="386">
        <v>1111222.4500000002</v>
      </c>
      <c r="S95" s="386">
        <v>1826757.9000000001</v>
      </c>
      <c r="T95" s="386">
        <v>1126445.4300000002</v>
      </c>
      <c r="U95" s="386">
        <v>1826757.9000000001</v>
      </c>
      <c r="V95" s="386">
        <v>1141668.4100000001</v>
      </c>
      <c r="W95" s="386">
        <v>1826757.9000000001</v>
      </c>
      <c r="X95" s="386">
        <v>1156891.3900000001</v>
      </c>
      <c r="Y95" s="386">
        <v>1826757.9000000001</v>
      </c>
      <c r="Z95" s="386">
        <v>1172114.3700000001</v>
      </c>
      <c r="AA95" s="386">
        <v>1826757.9000000001</v>
      </c>
      <c r="AB95" s="386">
        <v>1187337.3500000001</v>
      </c>
      <c r="AC95" s="386">
        <v>0</v>
      </c>
      <c r="AD95" s="386">
        <v>0</v>
      </c>
      <c r="AE95" s="386">
        <f t="shared" si="5"/>
        <v>1750642.9874999998</v>
      </c>
      <c r="AF95" s="386">
        <f t="shared" si="5"/>
        <v>1061115.7695833335</v>
      </c>
    </row>
    <row r="96" spans="1:32">
      <c r="A96" s="380">
        <v>87</v>
      </c>
      <c r="C96" s="14" t="s">
        <v>886</v>
      </c>
      <c r="D96" s="385" t="s">
        <v>885</v>
      </c>
      <c r="E96" s="386">
        <v>2186206.83</v>
      </c>
      <c r="F96" s="386">
        <v>771480.16</v>
      </c>
      <c r="G96" s="386">
        <v>2186206.83</v>
      </c>
      <c r="H96" s="386">
        <v>791313.54</v>
      </c>
      <c r="I96" s="386">
        <v>2186206.83</v>
      </c>
      <c r="J96" s="386">
        <v>811146.92</v>
      </c>
      <c r="K96" s="386">
        <v>2073631.63</v>
      </c>
      <c r="L96" s="386">
        <v>718405.10000000009</v>
      </c>
      <c r="M96" s="386">
        <v>2073631.63</v>
      </c>
      <c r="N96" s="386">
        <v>735685.36</v>
      </c>
      <c r="O96" s="386">
        <v>2073631.63</v>
      </c>
      <c r="P96" s="386">
        <v>752965.62</v>
      </c>
      <c r="Q96" s="386">
        <v>2073631.63</v>
      </c>
      <c r="R96" s="386">
        <v>770245.88</v>
      </c>
      <c r="S96" s="386">
        <v>2073631.63</v>
      </c>
      <c r="T96" s="386">
        <v>787526.14</v>
      </c>
      <c r="U96" s="386">
        <v>2073631.63</v>
      </c>
      <c r="V96" s="386">
        <v>804806.4</v>
      </c>
      <c r="W96" s="386">
        <v>2073631.63</v>
      </c>
      <c r="X96" s="386">
        <v>822086.66</v>
      </c>
      <c r="Y96" s="386">
        <v>2073631.63</v>
      </c>
      <c r="Z96" s="386">
        <v>839366.92</v>
      </c>
      <c r="AA96" s="386">
        <v>2073631.63</v>
      </c>
      <c r="AB96" s="386">
        <v>856647.17999999993</v>
      </c>
      <c r="AC96" s="386">
        <v>2073631.63</v>
      </c>
      <c r="AD96" s="386">
        <v>873927.44000000006</v>
      </c>
      <c r="AE96" s="386">
        <f t="shared" si="5"/>
        <v>2097084.7966666662</v>
      </c>
      <c r="AF96" s="386">
        <f t="shared" si="5"/>
        <v>792741.62666666682</v>
      </c>
    </row>
    <row r="97" spans="1:32">
      <c r="A97" s="380">
        <v>88</v>
      </c>
      <c r="C97" s="14" t="s">
        <v>1322</v>
      </c>
      <c r="D97" s="385" t="s">
        <v>885</v>
      </c>
      <c r="E97" s="386">
        <v>22735.5</v>
      </c>
      <c r="F97" s="386">
        <v>4357.58</v>
      </c>
      <c r="G97" s="386">
        <v>22735.5</v>
      </c>
      <c r="H97" s="386">
        <v>4547.04</v>
      </c>
      <c r="I97" s="386">
        <v>22735.5</v>
      </c>
      <c r="J97" s="386">
        <v>4736.5</v>
      </c>
      <c r="K97" s="386">
        <v>22735.5</v>
      </c>
      <c r="L97" s="386">
        <v>4925.96</v>
      </c>
      <c r="M97" s="386">
        <v>22810.46</v>
      </c>
      <c r="N97" s="386">
        <v>5115.42</v>
      </c>
      <c r="O97" s="386">
        <v>22810.46</v>
      </c>
      <c r="P97" s="386">
        <v>5305.51</v>
      </c>
      <c r="Q97" s="386">
        <v>22810.46</v>
      </c>
      <c r="R97" s="386">
        <v>5495.5999999999995</v>
      </c>
      <c r="S97" s="386">
        <v>22810.46</v>
      </c>
      <c r="T97" s="386">
        <v>5685.6900000000005</v>
      </c>
      <c r="U97" s="386">
        <v>22810.46</v>
      </c>
      <c r="V97" s="386">
        <v>5875.7800000000007</v>
      </c>
      <c r="W97" s="386">
        <v>22810.46</v>
      </c>
      <c r="X97" s="386">
        <v>6065.87</v>
      </c>
      <c r="Y97" s="386">
        <v>22810.46</v>
      </c>
      <c r="Z97" s="386">
        <v>6255.96</v>
      </c>
      <c r="AA97" s="386">
        <v>22810.46</v>
      </c>
      <c r="AB97" s="386">
        <v>6446.05</v>
      </c>
      <c r="AC97" s="386">
        <v>14664.05</v>
      </c>
      <c r="AD97" s="386">
        <v>4266.1400000000003</v>
      </c>
      <c r="AE97" s="386">
        <f t="shared" si="5"/>
        <v>22449.162916666664</v>
      </c>
      <c r="AF97" s="386">
        <f t="shared" si="5"/>
        <v>5397.27</v>
      </c>
    </row>
    <row r="98" spans="1:32">
      <c r="A98" s="380">
        <v>89</v>
      </c>
      <c r="C98" s="14" t="s">
        <v>1323</v>
      </c>
      <c r="D98" s="385" t="s">
        <v>885</v>
      </c>
      <c r="E98" s="386">
        <v>430112.44000000006</v>
      </c>
      <c r="F98" s="386">
        <v>43011.24</v>
      </c>
      <c r="G98" s="386">
        <v>430112.44</v>
      </c>
      <c r="H98" s="386">
        <v>46595.51</v>
      </c>
      <c r="I98" s="386">
        <v>430112.44</v>
      </c>
      <c r="J98" s="386">
        <v>50179.780000000006</v>
      </c>
      <c r="K98" s="386">
        <v>430112.44</v>
      </c>
      <c r="L98" s="386">
        <v>53764.05</v>
      </c>
      <c r="M98" s="386">
        <v>430112.44</v>
      </c>
      <c r="N98" s="386">
        <v>57348.320000000007</v>
      </c>
      <c r="O98" s="386">
        <v>430112.44</v>
      </c>
      <c r="P98" s="386">
        <v>60932.59</v>
      </c>
      <c r="Q98" s="386">
        <v>430112.44</v>
      </c>
      <c r="R98" s="386">
        <v>64516.86</v>
      </c>
      <c r="S98" s="386">
        <v>430112.44</v>
      </c>
      <c r="T98" s="386">
        <v>68101.13</v>
      </c>
      <c r="U98" s="386">
        <v>430112.44</v>
      </c>
      <c r="V98" s="386">
        <v>71685.399999999994</v>
      </c>
      <c r="W98" s="386">
        <v>430112.44</v>
      </c>
      <c r="X98" s="386">
        <v>75269.67</v>
      </c>
      <c r="Y98" s="386">
        <v>430112.44</v>
      </c>
      <c r="Z98" s="386">
        <v>78853.94</v>
      </c>
      <c r="AA98" s="386">
        <v>430112.44</v>
      </c>
      <c r="AB98" s="386">
        <v>82438.210000000006</v>
      </c>
      <c r="AC98" s="386">
        <v>430112.44</v>
      </c>
      <c r="AD98" s="386">
        <v>86022.48000000001</v>
      </c>
      <c r="AE98" s="386">
        <f t="shared" si="5"/>
        <v>430112.44000000012</v>
      </c>
      <c r="AF98" s="386">
        <f t="shared" si="5"/>
        <v>64516.859999999993</v>
      </c>
    </row>
    <row r="99" spans="1:32">
      <c r="A99" s="380">
        <v>90</v>
      </c>
      <c r="C99" s="14" t="s">
        <v>2232</v>
      </c>
      <c r="D99" s="385" t="s">
        <v>885</v>
      </c>
      <c r="E99" s="386">
        <v>0</v>
      </c>
      <c r="F99" s="386">
        <v>0</v>
      </c>
      <c r="G99" s="386">
        <v>0</v>
      </c>
      <c r="H99" s="386">
        <v>0</v>
      </c>
      <c r="I99" s="386">
        <v>0</v>
      </c>
      <c r="J99" s="386">
        <v>0</v>
      </c>
      <c r="K99" s="386">
        <v>0</v>
      </c>
      <c r="L99" s="386">
        <v>0</v>
      </c>
      <c r="M99" s="386">
        <v>100963.92</v>
      </c>
      <c r="N99" s="386">
        <v>0</v>
      </c>
      <c r="O99" s="386">
        <v>100963.92</v>
      </c>
      <c r="P99" s="386">
        <v>841.37</v>
      </c>
      <c r="Q99" s="386">
        <v>101150.49</v>
      </c>
      <c r="R99" s="386">
        <v>1682.74</v>
      </c>
      <c r="S99" s="386">
        <v>119047.05</v>
      </c>
      <c r="T99" s="386">
        <v>2525.66</v>
      </c>
      <c r="U99" s="386">
        <v>119700.04000000001</v>
      </c>
      <c r="V99" s="386">
        <v>3517.7200000000003</v>
      </c>
      <c r="W99" s="386">
        <v>119700.04000000001</v>
      </c>
      <c r="X99" s="386">
        <v>4515.22</v>
      </c>
      <c r="Y99" s="386">
        <v>119700.04000000001</v>
      </c>
      <c r="Z99" s="386">
        <v>5512.7199999999993</v>
      </c>
      <c r="AA99" s="386">
        <v>119700.04000000001</v>
      </c>
      <c r="AB99" s="386">
        <v>6510.22</v>
      </c>
      <c r="AC99" s="386">
        <v>50760.55</v>
      </c>
      <c r="AD99" s="386">
        <v>1122.49</v>
      </c>
      <c r="AE99" s="386">
        <f t="shared" si="5"/>
        <v>77192.15125000001</v>
      </c>
      <c r="AF99" s="386">
        <f t="shared" si="5"/>
        <v>2138.9079166666666</v>
      </c>
    </row>
    <row r="100" spans="1:32">
      <c r="A100" s="380">
        <v>91</v>
      </c>
      <c r="C100" s="14" t="s">
        <v>887</v>
      </c>
      <c r="D100" s="385" t="s">
        <v>885</v>
      </c>
      <c r="E100" s="386">
        <v>0</v>
      </c>
      <c r="F100" s="386">
        <v>0</v>
      </c>
      <c r="G100" s="386">
        <v>0</v>
      </c>
      <c r="H100" s="386">
        <v>0</v>
      </c>
      <c r="I100" s="386">
        <v>0</v>
      </c>
      <c r="J100" s="386">
        <v>0</v>
      </c>
      <c r="K100" s="386">
        <v>0</v>
      </c>
      <c r="L100" s="386">
        <v>0</v>
      </c>
      <c r="M100" s="386">
        <v>0</v>
      </c>
      <c r="N100" s="386">
        <v>0</v>
      </c>
      <c r="O100" s="386">
        <v>0</v>
      </c>
      <c r="P100" s="386">
        <v>0</v>
      </c>
      <c r="Q100" s="386">
        <v>0</v>
      </c>
      <c r="R100" s="386">
        <v>0</v>
      </c>
      <c r="S100" s="386">
        <v>0</v>
      </c>
      <c r="T100" s="386">
        <v>0</v>
      </c>
      <c r="U100" s="386">
        <v>0</v>
      </c>
      <c r="V100" s="386">
        <v>0</v>
      </c>
      <c r="W100" s="386">
        <v>0</v>
      </c>
      <c r="X100" s="386">
        <v>0</v>
      </c>
      <c r="Y100" s="386">
        <v>0</v>
      </c>
      <c r="Z100" s="386">
        <v>0</v>
      </c>
      <c r="AA100" s="386">
        <v>0</v>
      </c>
      <c r="AB100" s="386">
        <v>0</v>
      </c>
      <c r="AC100" s="386">
        <v>0</v>
      </c>
      <c r="AD100" s="386">
        <v>0</v>
      </c>
      <c r="AE100" s="386">
        <f t="shared" si="5"/>
        <v>0</v>
      </c>
      <c r="AF100" s="386">
        <f t="shared" si="5"/>
        <v>0</v>
      </c>
    </row>
    <row r="101" spans="1:32">
      <c r="A101" s="380">
        <v>92</v>
      </c>
      <c r="C101" s="14" t="s">
        <v>2233</v>
      </c>
      <c r="D101" s="385" t="s">
        <v>885</v>
      </c>
      <c r="E101" s="386">
        <v>0</v>
      </c>
      <c r="F101" s="386">
        <v>0</v>
      </c>
      <c r="G101" s="386">
        <v>0</v>
      </c>
      <c r="H101" s="386">
        <v>0</v>
      </c>
      <c r="I101" s="386">
        <v>0</v>
      </c>
      <c r="J101" s="386">
        <v>0</v>
      </c>
      <c r="K101" s="386">
        <v>0</v>
      </c>
      <c r="L101" s="386">
        <v>0</v>
      </c>
      <c r="M101" s="386">
        <v>0</v>
      </c>
      <c r="N101" s="386">
        <v>0</v>
      </c>
      <c r="O101" s="386">
        <v>0</v>
      </c>
      <c r="P101" s="386">
        <v>0</v>
      </c>
      <c r="Q101" s="386">
        <v>0</v>
      </c>
      <c r="R101" s="386">
        <v>0</v>
      </c>
      <c r="S101" s="386">
        <v>0</v>
      </c>
      <c r="T101" s="386">
        <v>0</v>
      </c>
      <c r="U101" s="386">
        <v>0</v>
      </c>
      <c r="V101" s="386">
        <v>0</v>
      </c>
      <c r="W101" s="386">
        <v>603382.80000000005</v>
      </c>
      <c r="X101" s="386">
        <v>0</v>
      </c>
      <c r="Y101" s="386">
        <v>603382.80000000005</v>
      </c>
      <c r="Z101" s="386">
        <v>4188.4799999999996</v>
      </c>
      <c r="AA101" s="386">
        <v>603382.80000000005</v>
      </c>
      <c r="AB101" s="386">
        <v>8376.9599999999991</v>
      </c>
      <c r="AC101" s="386">
        <v>1191253.08</v>
      </c>
      <c r="AD101" s="386">
        <v>12565.44</v>
      </c>
      <c r="AE101" s="386">
        <f t="shared" si="5"/>
        <v>200481.24500000002</v>
      </c>
      <c r="AF101" s="386">
        <f t="shared" si="5"/>
        <v>1570.68</v>
      </c>
    </row>
    <row r="102" spans="1:32">
      <c r="A102" s="380">
        <v>93</v>
      </c>
      <c r="C102" s="14" t="s">
        <v>888</v>
      </c>
      <c r="D102" s="385" t="s">
        <v>885</v>
      </c>
      <c r="E102" s="386">
        <v>4188146.9299999997</v>
      </c>
      <c r="F102" s="386">
        <v>2025640.31</v>
      </c>
      <c r="G102" s="386">
        <v>4188146.9299999997</v>
      </c>
      <c r="H102" s="386">
        <v>2052479.35</v>
      </c>
      <c r="I102" s="386">
        <v>4188146.9299999997</v>
      </c>
      <c r="J102" s="386">
        <v>2079318.39</v>
      </c>
      <c r="K102" s="386">
        <v>4188146.9299999997</v>
      </c>
      <c r="L102" s="386">
        <v>2106157.4300000002</v>
      </c>
      <c r="M102" s="386">
        <v>4188146.9299999997</v>
      </c>
      <c r="N102" s="386">
        <v>2132996.4699999997</v>
      </c>
      <c r="O102" s="386">
        <v>4188146.9299999997</v>
      </c>
      <c r="P102" s="386">
        <v>2159835.5099999998</v>
      </c>
      <c r="Q102" s="386">
        <v>4188146.9299999997</v>
      </c>
      <c r="R102" s="386">
        <v>2186674.5499999998</v>
      </c>
      <c r="S102" s="386">
        <v>4188146.9299999997</v>
      </c>
      <c r="T102" s="386">
        <v>2213513.59</v>
      </c>
      <c r="U102" s="386">
        <v>4188146.9299999997</v>
      </c>
      <c r="V102" s="386">
        <v>2240352.63</v>
      </c>
      <c r="W102" s="386">
        <v>4188146.9299999997</v>
      </c>
      <c r="X102" s="386">
        <v>2267191.67</v>
      </c>
      <c r="Y102" s="386">
        <v>4188146.9299999997</v>
      </c>
      <c r="Z102" s="386">
        <v>2294030.71</v>
      </c>
      <c r="AA102" s="386">
        <v>4188146.9299999997</v>
      </c>
      <c r="AB102" s="386">
        <v>2320869.75</v>
      </c>
      <c r="AC102" s="386">
        <v>4188146.9299999997</v>
      </c>
      <c r="AD102" s="386">
        <v>2347708.79</v>
      </c>
      <c r="AE102" s="386">
        <f t="shared" si="5"/>
        <v>4188146.9299999997</v>
      </c>
      <c r="AF102" s="386">
        <f t="shared" si="5"/>
        <v>2186674.5499999998</v>
      </c>
    </row>
    <row r="103" spans="1:32">
      <c r="A103" s="380">
        <v>94</v>
      </c>
      <c r="C103" s="14" t="s">
        <v>889</v>
      </c>
      <c r="D103" s="385" t="s">
        <v>885</v>
      </c>
      <c r="E103" s="386">
        <v>695173.17</v>
      </c>
      <c r="F103" s="386">
        <v>386268.12</v>
      </c>
      <c r="G103" s="386">
        <v>695173.16999999993</v>
      </c>
      <c r="H103" s="386">
        <v>390404.4</v>
      </c>
      <c r="I103" s="386">
        <v>695173.16999999993</v>
      </c>
      <c r="J103" s="386">
        <v>394540.68</v>
      </c>
      <c r="K103" s="386">
        <v>695173.16999999993</v>
      </c>
      <c r="L103" s="386">
        <v>398676.96</v>
      </c>
      <c r="M103" s="386">
        <v>695173.16999999993</v>
      </c>
      <c r="N103" s="386">
        <v>402813.24</v>
      </c>
      <c r="O103" s="386">
        <v>695173.16999999993</v>
      </c>
      <c r="P103" s="386">
        <v>406949.52</v>
      </c>
      <c r="Q103" s="386">
        <v>695173.16999999993</v>
      </c>
      <c r="R103" s="386">
        <v>411085.8</v>
      </c>
      <c r="S103" s="386">
        <v>695173.16999999993</v>
      </c>
      <c r="T103" s="386">
        <v>415222.08</v>
      </c>
      <c r="U103" s="386">
        <v>695173.16999999993</v>
      </c>
      <c r="V103" s="386">
        <v>419358.36</v>
      </c>
      <c r="W103" s="386">
        <v>695173.16999999993</v>
      </c>
      <c r="X103" s="386">
        <v>423494.64</v>
      </c>
      <c r="Y103" s="386">
        <v>695173.16999999993</v>
      </c>
      <c r="Z103" s="386">
        <v>427630.92000000004</v>
      </c>
      <c r="AA103" s="386">
        <v>695173.16999999993</v>
      </c>
      <c r="AB103" s="386">
        <v>431767.2</v>
      </c>
      <c r="AC103" s="386">
        <v>695173.16999999993</v>
      </c>
      <c r="AD103" s="386">
        <v>435903.48</v>
      </c>
      <c r="AE103" s="386">
        <f t="shared" si="5"/>
        <v>695173.16999999993</v>
      </c>
      <c r="AF103" s="386">
        <f t="shared" si="5"/>
        <v>411085.8</v>
      </c>
    </row>
    <row r="104" spans="1:32">
      <c r="A104" s="380">
        <v>95</v>
      </c>
      <c r="C104" s="14" t="s">
        <v>890</v>
      </c>
      <c r="D104" s="385" t="s">
        <v>885</v>
      </c>
      <c r="E104" s="386">
        <v>2037970.8599999999</v>
      </c>
      <c r="F104" s="386">
        <v>1056937.6200000001</v>
      </c>
      <c r="G104" s="386">
        <v>2037970.8599999999</v>
      </c>
      <c r="H104" s="386">
        <v>1069063.55</v>
      </c>
      <c r="I104" s="386">
        <v>2037970.8599999999</v>
      </c>
      <c r="J104" s="386">
        <v>1081189.48</v>
      </c>
      <c r="K104" s="386">
        <v>2037970.8599999999</v>
      </c>
      <c r="L104" s="386">
        <v>1093315.4099999999</v>
      </c>
      <c r="M104" s="386">
        <v>2037970.8599999999</v>
      </c>
      <c r="N104" s="386">
        <v>1105441.3400000001</v>
      </c>
      <c r="O104" s="386">
        <v>2037970.8599999999</v>
      </c>
      <c r="P104" s="386">
        <v>1117567.27</v>
      </c>
      <c r="Q104" s="386">
        <v>2037970.8599999999</v>
      </c>
      <c r="R104" s="386">
        <v>1129693.2</v>
      </c>
      <c r="S104" s="386">
        <v>2037970.8599999999</v>
      </c>
      <c r="T104" s="386">
        <v>1141819.1299999999</v>
      </c>
      <c r="U104" s="386">
        <v>2037970.8599999999</v>
      </c>
      <c r="V104" s="386">
        <v>1153945.06</v>
      </c>
      <c r="W104" s="386">
        <v>2037970.8599999999</v>
      </c>
      <c r="X104" s="386">
        <v>1166070.99</v>
      </c>
      <c r="Y104" s="386">
        <v>2037970.8599999999</v>
      </c>
      <c r="Z104" s="386">
        <v>1178196.92</v>
      </c>
      <c r="AA104" s="386">
        <v>2037970.8599999999</v>
      </c>
      <c r="AB104" s="386">
        <v>1190322.8500000001</v>
      </c>
      <c r="AC104" s="386">
        <v>2037970.8599999999</v>
      </c>
      <c r="AD104" s="386">
        <v>1202448.78</v>
      </c>
      <c r="AE104" s="386">
        <f t="shared" si="5"/>
        <v>2037970.8599999996</v>
      </c>
      <c r="AF104" s="386">
        <f t="shared" si="5"/>
        <v>1129693.2000000002</v>
      </c>
    </row>
    <row r="105" spans="1:32">
      <c r="A105" s="380">
        <v>96</v>
      </c>
      <c r="C105" s="14" t="s">
        <v>891</v>
      </c>
      <c r="D105" s="385" t="s">
        <v>885</v>
      </c>
      <c r="E105" s="386">
        <v>17063587.219999999</v>
      </c>
      <c r="F105" s="386">
        <v>7862834.25</v>
      </c>
      <c r="G105" s="386">
        <v>17063587.219999999</v>
      </c>
      <c r="H105" s="386">
        <v>7957679.3599999994</v>
      </c>
      <c r="I105" s="386">
        <v>17063587.219999999</v>
      </c>
      <c r="J105" s="386">
        <v>8052524.4700000007</v>
      </c>
      <c r="K105" s="386">
        <v>17063587.219999999</v>
      </c>
      <c r="L105" s="386">
        <v>8147369.5800000001</v>
      </c>
      <c r="M105" s="386">
        <v>17063587.219999999</v>
      </c>
      <c r="N105" s="386">
        <v>8242214.6899999995</v>
      </c>
      <c r="O105" s="386">
        <v>17063587.219999999</v>
      </c>
      <c r="P105" s="386">
        <v>8337059.7999999998</v>
      </c>
      <c r="Q105" s="386">
        <v>17063587.219999999</v>
      </c>
      <c r="R105" s="386">
        <v>8431904.9100000001</v>
      </c>
      <c r="S105" s="386">
        <v>17063587.219999999</v>
      </c>
      <c r="T105" s="386">
        <v>8526750.0199999996</v>
      </c>
      <c r="U105" s="386">
        <v>17063587.219999999</v>
      </c>
      <c r="V105" s="386">
        <v>8621595.129999999</v>
      </c>
      <c r="W105" s="386">
        <v>17063587.219999999</v>
      </c>
      <c r="X105" s="386">
        <v>8716440.2400000002</v>
      </c>
      <c r="Y105" s="386">
        <v>17063587.219999999</v>
      </c>
      <c r="Z105" s="386">
        <v>8811285.3499999996</v>
      </c>
      <c r="AA105" s="386">
        <v>17063587.219999999</v>
      </c>
      <c r="AB105" s="386">
        <v>8906130.4600000009</v>
      </c>
      <c r="AC105" s="386">
        <v>17063587.219999999</v>
      </c>
      <c r="AD105" s="386">
        <v>9000975.5700000003</v>
      </c>
      <c r="AE105" s="386">
        <f t="shared" si="5"/>
        <v>17063587.219999999</v>
      </c>
      <c r="AF105" s="386">
        <f t="shared" si="5"/>
        <v>8431904.9099999983</v>
      </c>
    </row>
    <row r="106" spans="1:32">
      <c r="A106" s="380">
        <v>97</v>
      </c>
      <c r="C106" s="14" t="s">
        <v>892</v>
      </c>
      <c r="D106" s="385" t="s">
        <v>885</v>
      </c>
      <c r="E106" s="386">
        <v>541240.59000000008</v>
      </c>
      <c r="F106" s="386">
        <v>225205.66999999998</v>
      </c>
      <c r="G106" s="386">
        <v>541240.59</v>
      </c>
      <c r="H106" s="386">
        <v>228214.07</v>
      </c>
      <c r="I106" s="386">
        <v>541240.59</v>
      </c>
      <c r="J106" s="386">
        <v>231222.47</v>
      </c>
      <c r="K106" s="386">
        <v>541240.59</v>
      </c>
      <c r="L106" s="386">
        <v>234230.87</v>
      </c>
      <c r="M106" s="386">
        <v>541240.59</v>
      </c>
      <c r="N106" s="386">
        <v>237239.27000000002</v>
      </c>
      <c r="O106" s="386">
        <v>541240.59</v>
      </c>
      <c r="P106" s="386">
        <v>240247.67</v>
      </c>
      <c r="Q106" s="386">
        <v>541240.59</v>
      </c>
      <c r="R106" s="386">
        <v>243256.07</v>
      </c>
      <c r="S106" s="386">
        <v>541240.59</v>
      </c>
      <c r="T106" s="386">
        <v>246264.47</v>
      </c>
      <c r="U106" s="386">
        <v>541240.59</v>
      </c>
      <c r="V106" s="386">
        <v>249272.87</v>
      </c>
      <c r="W106" s="386">
        <v>541240.59</v>
      </c>
      <c r="X106" s="386">
        <v>252281.27</v>
      </c>
      <c r="Y106" s="386">
        <v>541240.59</v>
      </c>
      <c r="Z106" s="386">
        <v>255289.67</v>
      </c>
      <c r="AA106" s="386">
        <v>541240.59</v>
      </c>
      <c r="AB106" s="386">
        <v>258298.07</v>
      </c>
      <c r="AC106" s="386">
        <v>541240.59</v>
      </c>
      <c r="AD106" s="386">
        <v>261306.47</v>
      </c>
      <c r="AE106" s="386">
        <f t="shared" si="5"/>
        <v>541240.59</v>
      </c>
      <c r="AF106" s="386">
        <f t="shared" si="5"/>
        <v>243256.06999999998</v>
      </c>
    </row>
    <row r="107" spans="1:32">
      <c r="A107" s="380">
        <v>98</v>
      </c>
      <c r="C107" s="14" t="s">
        <v>1324</v>
      </c>
      <c r="D107" s="385" t="s">
        <v>885</v>
      </c>
      <c r="E107" s="386">
        <v>133873.49</v>
      </c>
      <c r="F107" s="386">
        <v>8925.67</v>
      </c>
      <c r="G107" s="386">
        <v>133873.49</v>
      </c>
      <c r="H107" s="386">
        <v>9669.7800000000007</v>
      </c>
      <c r="I107" s="386">
        <v>133873.49</v>
      </c>
      <c r="J107" s="386">
        <v>10413.890000000001</v>
      </c>
      <c r="K107" s="386">
        <v>133873.49</v>
      </c>
      <c r="L107" s="386">
        <v>11158</v>
      </c>
      <c r="M107" s="386">
        <v>133873.49</v>
      </c>
      <c r="N107" s="386">
        <v>11902.11</v>
      </c>
      <c r="O107" s="386">
        <v>133873.49</v>
      </c>
      <c r="P107" s="386">
        <v>12646.22</v>
      </c>
      <c r="Q107" s="386">
        <v>133873.49</v>
      </c>
      <c r="R107" s="386">
        <v>13390.33</v>
      </c>
      <c r="S107" s="386">
        <v>133873.49</v>
      </c>
      <c r="T107" s="386">
        <v>14134.44</v>
      </c>
      <c r="U107" s="386">
        <v>133873.49</v>
      </c>
      <c r="V107" s="386">
        <v>14878.550000000001</v>
      </c>
      <c r="W107" s="386">
        <v>133873.49</v>
      </c>
      <c r="X107" s="386">
        <v>15622.66</v>
      </c>
      <c r="Y107" s="386">
        <v>133873.49</v>
      </c>
      <c r="Z107" s="386">
        <v>16366.77</v>
      </c>
      <c r="AA107" s="386">
        <v>133873.49</v>
      </c>
      <c r="AB107" s="386">
        <v>17110.88</v>
      </c>
      <c r="AC107" s="386">
        <v>133873.49</v>
      </c>
      <c r="AD107" s="386">
        <v>17854.990000000002</v>
      </c>
      <c r="AE107" s="386">
        <f t="shared" si="5"/>
        <v>133873.49</v>
      </c>
      <c r="AF107" s="386">
        <f t="shared" si="5"/>
        <v>13390.330000000002</v>
      </c>
    </row>
    <row r="108" spans="1:32">
      <c r="A108" s="380">
        <v>99</v>
      </c>
      <c r="C108" s="14" t="s">
        <v>1325</v>
      </c>
      <c r="D108" s="385" t="s">
        <v>885</v>
      </c>
      <c r="E108" s="386">
        <v>55564.55</v>
      </c>
      <c r="F108" s="386">
        <v>306.56</v>
      </c>
      <c r="G108" s="386">
        <v>55564.55</v>
      </c>
      <c r="H108" s="386">
        <v>615.41000000000008</v>
      </c>
      <c r="I108" s="386">
        <v>55564.55</v>
      </c>
      <c r="J108" s="386">
        <v>924.26</v>
      </c>
      <c r="K108" s="386">
        <v>55564.55</v>
      </c>
      <c r="L108" s="386">
        <v>1233.1100000000001</v>
      </c>
      <c r="M108" s="386">
        <v>55564.55</v>
      </c>
      <c r="N108" s="386">
        <v>1541.96</v>
      </c>
      <c r="O108" s="386">
        <v>55564.55</v>
      </c>
      <c r="P108" s="386">
        <v>1850.81</v>
      </c>
      <c r="Q108" s="386">
        <v>55564.55</v>
      </c>
      <c r="R108" s="386">
        <v>2159.66</v>
      </c>
      <c r="S108" s="386">
        <v>55564.55</v>
      </c>
      <c r="T108" s="386">
        <v>2468.5100000000002</v>
      </c>
      <c r="U108" s="386">
        <v>55564.55</v>
      </c>
      <c r="V108" s="386">
        <v>2777.36</v>
      </c>
      <c r="W108" s="386">
        <v>55564.55</v>
      </c>
      <c r="X108" s="386">
        <v>3086.21</v>
      </c>
      <c r="Y108" s="386">
        <v>55564.55</v>
      </c>
      <c r="Z108" s="386">
        <v>3395.06</v>
      </c>
      <c r="AA108" s="386">
        <v>55564.55</v>
      </c>
      <c r="AB108" s="386">
        <v>3703.9100000000003</v>
      </c>
      <c r="AC108" s="386">
        <v>55564.55</v>
      </c>
      <c r="AD108" s="386">
        <v>4012.76</v>
      </c>
      <c r="AE108" s="386">
        <f t="shared" si="5"/>
        <v>55564.55000000001</v>
      </c>
      <c r="AF108" s="386">
        <f t="shared" si="5"/>
        <v>2159.6600000000003</v>
      </c>
    </row>
    <row r="109" spans="1:32">
      <c r="A109" s="380">
        <v>100</v>
      </c>
      <c r="C109" s="14" t="s">
        <v>893</v>
      </c>
      <c r="D109" s="14" t="s">
        <v>885</v>
      </c>
      <c r="E109" s="386">
        <v>7720.22</v>
      </c>
      <c r="F109" s="386">
        <v>7720.22</v>
      </c>
      <c r="G109" s="386">
        <v>7720.22</v>
      </c>
      <c r="H109" s="386">
        <v>7720.2199999999993</v>
      </c>
      <c r="I109" s="386">
        <v>7720.22</v>
      </c>
      <c r="J109" s="386">
        <v>7720.2199999999993</v>
      </c>
      <c r="K109" s="386">
        <v>7720.22</v>
      </c>
      <c r="L109" s="386">
        <v>7720.2199999999993</v>
      </c>
      <c r="M109" s="386">
        <v>7720.22</v>
      </c>
      <c r="N109" s="386">
        <v>7720.2199999999993</v>
      </c>
      <c r="O109" s="386">
        <v>7720.22</v>
      </c>
      <c r="P109" s="386">
        <v>7720.2199999999993</v>
      </c>
      <c r="Q109" s="386">
        <v>7720.22</v>
      </c>
      <c r="R109" s="386">
        <v>7720.2199999999993</v>
      </c>
      <c r="S109" s="386">
        <v>7720.22</v>
      </c>
      <c r="T109" s="386">
        <v>7720.2199999999993</v>
      </c>
      <c r="U109" s="386">
        <v>7720.22</v>
      </c>
      <c r="V109" s="386">
        <v>7720.2199999999993</v>
      </c>
      <c r="W109" s="386">
        <v>7720.22</v>
      </c>
      <c r="X109" s="386">
        <v>7720.2199999999993</v>
      </c>
      <c r="Y109" s="386">
        <v>7720.22</v>
      </c>
      <c r="Z109" s="386">
        <v>7720.2199999999993</v>
      </c>
      <c r="AA109" s="386">
        <v>7720.22</v>
      </c>
      <c r="AB109" s="386">
        <v>7720.2199999999993</v>
      </c>
      <c r="AC109" s="386">
        <v>7720.22</v>
      </c>
      <c r="AD109" s="386">
        <v>7720.2199999999993</v>
      </c>
      <c r="AE109" s="386">
        <f t="shared" si="5"/>
        <v>7720.22</v>
      </c>
      <c r="AF109" s="386">
        <f t="shared" si="5"/>
        <v>7720.22</v>
      </c>
    </row>
    <row r="110" spans="1:32">
      <c r="A110" s="380">
        <v>101</v>
      </c>
      <c r="C110" s="14" t="s">
        <v>1326</v>
      </c>
      <c r="D110" s="14" t="s">
        <v>885</v>
      </c>
      <c r="E110" s="386">
        <v>30627.77</v>
      </c>
      <c r="F110" s="386">
        <v>16164.63</v>
      </c>
      <c r="G110" s="386">
        <v>30627.77</v>
      </c>
      <c r="H110" s="386">
        <v>17015.400000000001</v>
      </c>
      <c r="I110" s="386">
        <v>30627.77</v>
      </c>
      <c r="J110" s="386">
        <v>17866.169999999998</v>
      </c>
      <c r="K110" s="386">
        <v>30627.77</v>
      </c>
      <c r="L110" s="386">
        <v>18716.940000000002</v>
      </c>
      <c r="M110" s="386">
        <v>30627.77</v>
      </c>
      <c r="N110" s="386">
        <v>19567.71</v>
      </c>
      <c r="O110" s="386">
        <v>30627.77</v>
      </c>
      <c r="P110" s="386">
        <v>20418.480000000003</v>
      </c>
      <c r="Q110" s="386">
        <v>30627.77</v>
      </c>
      <c r="R110" s="386">
        <v>21269.25</v>
      </c>
      <c r="S110" s="386">
        <v>30627.77</v>
      </c>
      <c r="T110" s="386">
        <v>22120.02</v>
      </c>
      <c r="U110" s="386">
        <v>30627.77</v>
      </c>
      <c r="V110" s="386">
        <v>22970.79</v>
      </c>
      <c r="W110" s="386">
        <v>30627.77</v>
      </c>
      <c r="X110" s="386">
        <v>23821.56</v>
      </c>
      <c r="Y110" s="386">
        <v>30627.77</v>
      </c>
      <c r="Z110" s="386">
        <v>24672.33</v>
      </c>
      <c r="AA110" s="386">
        <v>30627.77</v>
      </c>
      <c r="AB110" s="386">
        <v>25523.100000000002</v>
      </c>
      <c r="AC110" s="386">
        <v>30627.77</v>
      </c>
      <c r="AD110" s="386">
        <v>26373.87</v>
      </c>
      <c r="AE110" s="386">
        <f t="shared" si="5"/>
        <v>30627.770000000004</v>
      </c>
      <c r="AF110" s="386">
        <f t="shared" si="5"/>
        <v>21269.250000000004</v>
      </c>
    </row>
    <row r="111" spans="1:32">
      <c r="A111" s="380">
        <v>102</v>
      </c>
      <c r="C111" s="14" t="s">
        <v>894</v>
      </c>
      <c r="D111" s="14" t="s">
        <v>885</v>
      </c>
      <c r="E111" s="386">
        <v>14271.5</v>
      </c>
      <c r="F111" s="386">
        <v>14271.5</v>
      </c>
      <c r="G111" s="386">
        <v>14271.5</v>
      </c>
      <c r="H111" s="386">
        <v>14271.5</v>
      </c>
      <c r="I111" s="386">
        <v>14271.5</v>
      </c>
      <c r="J111" s="386">
        <v>14271.5</v>
      </c>
      <c r="K111" s="386">
        <v>14271.5</v>
      </c>
      <c r="L111" s="386">
        <v>14271.5</v>
      </c>
      <c r="M111" s="386">
        <v>14271.5</v>
      </c>
      <c r="N111" s="386">
        <v>14271.5</v>
      </c>
      <c r="O111" s="386">
        <v>14271.5</v>
      </c>
      <c r="P111" s="386">
        <v>14271.5</v>
      </c>
      <c r="Q111" s="386">
        <v>14271.5</v>
      </c>
      <c r="R111" s="386">
        <v>14271.5</v>
      </c>
      <c r="S111" s="386">
        <v>14271.5</v>
      </c>
      <c r="T111" s="386">
        <v>14271.5</v>
      </c>
      <c r="U111" s="386">
        <v>14271.5</v>
      </c>
      <c r="V111" s="386">
        <v>14271.5</v>
      </c>
      <c r="W111" s="386">
        <v>14271.5</v>
      </c>
      <c r="X111" s="386">
        <v>14271.5</v>
      </c>
      <c r="Y111" s="386">
        <v>14271.5</v>
      </c>
      <c r="Z111" s="386">
        <v>14271.5</v>
      </c>
      <c r="AA111" s="386">
        <v>14271.5</v>
      </c>
      <c r="AB111" s="386">
        <v>14271.5</v>
      </c>
      <c r="AC111" s="386">
        <v>14271.5</v>
      </c>
      <c r="AD111" s="386">
        <v>14271.5</v>
      </c>
      <c r="AE111" s="386">
        <f t="shared" si="5"/>
        <v>14271.5</v>
      </c>
      <c r="AF111" s="386">
        <f t="shared" si="5"/>
        <v>14271.5</v>
      </c>
    </row>
    <row r="112" spans="1:32">
      <c r="A112" s="380">
        <v>103</v>
      </c>
      <c r="C112" s="14" t="s">
        <v>1327</v>
      </c>
      <c r="D112" s="14" t="s">
        <v>885</v>
      </c>
      <c r="E112" s="386">
        <v>116864.94</v>
      </c>
      <c r="F112" s="386">
        <v>40904.910000000003</v>
      </c>
      <c r="G112" s="386">
        <v>116864.94</v>
      </c>
      <c r="H112" s="386">
        <v>42852.66</v>
      </c>
      <c r="I112" s="386">
        <v>116864.94</v>
      </c>
      <c r="J112" s="386">
        <v>44800.41</v>
      </c>
      <c r="K112" s="386">
        <v>116864.94</v>
      </c>
      <c r="L112" s="386">
        <v>46748.160000000003</v>
      </c>
      <c r="M112" s="386">
        <v>116864.94</v>
      </c>
      <c r="N112" s="386">
        <v>48695.91</v>
      </c>
      <c r="O112" s="386">
        <v>116864.94</v>
      </c>
      <c r="P112" s="386">
        <v>50643.66</v>
      </c>
      <c r="Q112" s="386">
        <v>116864.94</v>
      </c>
      <c r="R112" s="386">
        <v>52591.41</v>
      </c>
      <c r="S112" s="386">
        <v>116864.94</v>
      </c>
      <c r="T112" s="386">
        <v>54539.16</v>
      </c>
      <c r="U112" s="386">
        <v>116864.94</v>
      </c>
      <c r="V112" s="386">
        <v>56486.91</v>
      </c>
      <c r="W112" s="386">
        <v>116864.94</v>
      </c>
      <c r="X112" s="386">
        <v>58434.659999999996</v>
      </c>
      <c r="Y112" s="386">
        <v>116864.94</v>
      </c>
      <c r="Z112" s="386">
        <v>60382.41</v>
      </c>
      <c r="AA112" s="386">
        <v>116864.94</v>
      </c>
      <c r="AB112" s="386">
        <v>62330.16</v>
      </c>
      <c r="AC112" s="386">
        <v>116864.94</v>
      </c>
      <c r="AD112" s="386">
        <v>64277.909999999996</v>
      </c>
      <c r="AE112" s="386">
        <f t="shared" si="5"/>
        <v>116864.93999999996</v>
      </c>
      <c r="AF112" s="386">
        <f t="shared" si="5"/>
        <v>52591.41</v>
      </c>
    </row>
    <row r="113" spans="1:32">
      <c r="A113" s="380">
        <v>104</v>
      </c>
      <c r="C113" s="14" t="s">
        <v>1328</v>
      </c>
      <c r="D113" s="14" t="s">
        <v>885</v>
      </c>
      <c r="E113" s="386">
        <v>102398.32</v>
      </c>
      <c r="F113" s="386">
        <v>20459.27</v>
      </c>
      <c r="G113" s="386">
        <v>102398.32</v>
      </c>
      <c r="H113" s="386">
        <v>22165.91</v>
      </c>
      <c r="I113" s="386">
        <v>102398.32</v>
      </c>
      <c r="J113" s="386">
        <v>23872.550000000003</v>
      </c>
      <c r="K113" s="386">
        <v>102398.32</v>
      </c>
      <c r="L113" s="386">
        <v>25579.19</v>
      </c>
      <c r="M113" s="386">
        <v>102398.32</v>
      </c>
      <c r="N113" s="386">
        <v>27285.83</v>
      </c>
      <c r="O113" s="386">
        <v>102398.32</v>
      </c>
      <c r="P113" s="386">
        <v>28992.47</v>
      </c>
      <c r="Q113" s="386">
        <v>102398.32</v>
      </c>
      <c r="R113" s="386">
        <v>30699.11</v>
      </c>
      <c r="S113" s="386">
        <v>102398.32</v>
      </c>
      <c r="T113" s="386">
        <v>32405.75</v>
      </c>
      <c r="U113" s="386">
        <v>102398.32</v>
      </c>
      <c r="V113" s="386">
        <v>34112.39</v>
      </c>
      <c r="W113" s="386">
        <v>102398.32</v>
      </c>
      <c r="X113" s="386">
        <v>35819.03</v>
      </c>
      <c r="Y113" s="386">
        <v>102398.32</v>
      </c>
      <c r="Z113" s="386">
        <v>37525.67</v>
      </c>
      <c r="AA113" s="386">
        <v>102398.32</v>
      </c>
      <c r="AB113" s="386">
        <v>39232.31</v>
      </c>
      <c r="AC113" s="386">
        <v>102398.32</v>
      </c>
      <c r="AD113" s="386">
        <v>40938.949999999997</v>
      </c>
      <c r="AE113" s="386">
        <f t="shared" si="5"/>
        <v>102398.32000000002</v>
      </c>
      <c r="AF113" s="386">
        <f t="shared" si="5"/>
        <v>30699.11</v>
      </c>
    </row>
    <row r="114" spans="1:32">
      <c r="A114" s="380">
        <v>105</v>
      </c>
      <c r="C114" s="14" t="s">
        <v>1329</v>
      </c>
      <c r="D114" s="14" t="s">
        <v>885</v>
      </c>
      <c r="E114" s="386">
        <v>633813.57000000007</v>
      </c>
      <c r="F114" s="386">
        <v>0</v>
      </c>
      <c r="G114" s="386">
        <v>633850.68999999994</v>
      </c>
      <c r="H114" s="386">
        <v>0</v>
      </c>
      <c r="I114" s="386">
        <v>633850.68999999994</v>
      </c>
      <c r="J114" s="386">
        <v>0</v>
      </c>
      <c r="K114" s="386">
        <v>637338.35</v>
      </c>
      <c r="L114" s="386">
        <v>0</v>
      </c>
      <c r="M114" s="386">
        <v>637993.15</v>
      </c>
      <c r="N114" s="386">
        <v>0</v>
      </c>
      <c r="O114" s="386">
        <v>637993.15</v>
      </c>
      <c r="P114" s="386">
        <v>0</v>
      </c>
      <c r="Q114" s="386">
        <v>637993.15</v>
      </c>
      <c r="R114" s="386">
        <v>0</v>
      </c>
      <c r="S114" s="386">
        <v>637990.93000000005</v>
      </c>
      <c r="T114" s="386">
        <v>0</v>
      </c>
      <c r="U114" s="386">
        <v>637990.93000000005</v>
      </c>
      <c r="V114" s="386">
        <v>0</v>
      </c>
      <c r="W114" s="386">
        <v>637990.93000000005</v>
      </c>
      <c r="X114" s="386">
        <v>0</v>
      </c>
      <c r="Y114" s="386">
        <v>637990.93000000005</v>
      </c>
      <c r="Z114" s="386">
        <v>0</v>
      </c>
      <c r="AA114" s="386">
        <v>637990.93000000005</v>
      </c>
      <c r="AB114" s="386">
        <v>0</v>
      </c>
      <c r="AC114" s="386">
        <v>637921.69999999995</v>
      </c>
      <c r="AD114" s="386">
        <v>0</v>
      </c>
      <c r="AE114" s="386">
        <f t="shared" si="5"/>
        <v>637070.1220833332</v>
      </c>
      <c r="AF114" s="386">
        <f t="shared" si="5"/>
        <v>0</v>
      </c>
    </row>
    <row r="115" spans="1:32">
      <c r="A115" s="380">
        <v>106</v>
      </c>
      <c r="C115" s="14" t="s">
        <v>2234</v>
      </c>
      <c r="D115" s="14" t="s">
        <v>885</v>
      </c>
      <c r="E115" s="386">
        <v>0</v>
      </c>
      <c r="F115" s="386">
        <v>0</v>
      </c>
      <c r="G115" s="386">
        <v>0</v>
      </c>
      <c r="H115" s="386">
        <v>0</v>
      </c>
      <c r="I115" s="386">
        <v>0</v>
      </c>
      <c r="J115" s="386">
        <v>0</v>
      </c>
      <c r="K115" s="386">
        <v>0</v>
      </c>
      <c r="L115" s="386">
        <v>0</v>
      </c>
      <c r="M115" s="386">
        <v>0</v>
      </c>
      <c r="N115" s="386">
        <v>0</v>
      </c>
      <c r="O115" s="386">
        <v>0</v>
      </c>
      <c r="P115" s="386">
        <v>0</v>
      </c>
      <c r="Q115" s="386">
        <v>0</v>
      </c>
      <c r="R115" s="386">
        <v>0</v>
      </c>
      <c r="S115" s="386">
        <v>0</v>
      </c>
      <c r="T115" s="386">
        <v>0</v>
      </c>
      <c r="U115" s="386">
        <v>0</v>
      </c>
      <c r="V115" s="386">
        <v>0</v>
      </c>
      <c r="W115" s="386">
        <v>0</v>
      </c>
      <c r="X115" s="386">
        <v>0</v>
      </c>
      <c r="Y115" s="386">
        <v>0</v>
      </c>
      <c r="Z115" s="386">
        <v>0</v>
      </c>
      <c r="AA115" s="386">
        <v>0</v>
      </c>
      <c r="AB115" s="386">
        <v>0</v>
      </c>
      <c r="AC115" s="386">
        <v>14573.87</v>
      </c>
      <c r="AD115" s="386">
        <v>0</v>
      </c>
      <c r="AE115" s="386">
        <f t="shared" si="5"/>
        <v>607.24458333333337</v>
      </c>
      <c r="AF115" s="386">
        <f t="shared" si="5"/>
        <v>0</v>
      </c>
    </row>
    <row r="116" spans="1:32">
      <c r="A116" s="380">
        <v>107</v>
      </c>
      <c r="C116" s="14" t="s">
        <v>895</v>
      </c>
      <c r="D116" s="14" t="s">
        <v>885</v>
      </c>
      <c r="E116" s="386">
        <v>131168.49</v>
      </c>
      <c r="F116" s="386">
        <v>116236.94</v>
      </c>
      <c r="G116" s="386">
        <v>131168.49</v>
      </c>
      <c r="H116" s="386">
        <v>117798.94</v>
      </c>
      <c r="I116" s="386">
        <v>131168.49</v>
      </c>
      <c r="J116" s="386">
        <v>119360.94</v>
      </c>
      <c r="K116" s="386">
        <v>131168.49</v>
      </c>
      <c r="L116" s="386">
        <v>120922.94</v>
      </c>
      <c r="M116" s="386">
        <v>131168.49</v>
      </c>
      <c r="N116" s="386">
        <v>122484.94</v>
      </c>
      <c r="O116" s="386">
        <v>131168.49</v>
      </c>
      <c r="P116" s="386">
        <v>124046.94</v>
      </c>
      <c r="Q116" s="386">
        <v>131168.49</v>
      </c>
      <c r="R116" s="386">
        <v>125608.94</v>
      </c>
      <c r="S116" s="386">
        <v>131168.49</v>
      </c>
      <c r="T116" s="386">
        <v>127170.94</v>
      </c>
      <c r="U116" s="386">
        <v>131168.49</v>
      </c>
      <c r="V116" s="386">
        <v>128732.94</v>
      </c>
      <c r="W116" s="386">
        <v>131168.49</v>
      </c>
      <c r="X116" s="386">
        <v>130294.94</v>
      </c>
      <c r="Y116" s="386">
        <v>131168.49</v>
      </c>
      <c r="Z116" s="386">
        <v>131168.49</v>
      </c>
      <c r="AA116" s="386">
        <v>131168.49</v>
      </c>
      <c r="AB116" s="386">
        <v>131168.49</v>
      </c>
      <c r="AC116" s="386">
        <v>131168.49</v>
      </c>
      <c r="AD116" s="386">
        <v>131168.49</v>
      </c>
      <c r="AE116" s="386">
        <f t="shared" si="5"/>
        <v>131168.49</v>
      </c>
      <c r="AF116" s="386">
        <f t="shared" si="5"/>
        <v>125205.17958333332</v>
      </c>
    </row>
    <row r="117" spans="1:32">
      <c r="A117" s="380">
        <v>108</v>
      </c>
      <c r="C117" s="14" t="s">
        <v>896</v>
      </c>
      <c r="D117" s="14" t="s">
        <v>885</v>
      </c>
      <c r="E117" s="386">
        <v>3004957.37</v>
      </c>
      <c r="F117" s="386">
        <v>2230146.85</v>
      </c>
      <c r="G117" s="386">
        <v>3004957.37</v>
      </c>
      <c r="H117" s="386">
        <v>2265930.88</v>
      </c>
      <c r="I117" s="386">
        <v>3004957.37</v>
      </c>
      <c r="J117" s="386">
        <v>2301714.91</v>
      </c>
      <c r="K117" s="386">
        <v>3004957.37</v>
      </c>
      <c r="L117" s="386">
        <v>2337498.94</v>
      </c>
      <c r="M117" s="386">
        <v>3004957.37</v>
      </c>
      <c r="N117" s="386">
        <v>2373282.9699999997</v>
      </c>
      <c r="O117" s="386">
        <v>3004957.37</v>
      </c>
      <c r="P117" s="386">
        <v>2409067</v>
      </c>
      <c r="Q117" s="386">
        <v>3004957.37</v>
      </c>
      <c r="R117" s="386">
        <v>2444851.0300000003</v>
      </c>
      <c r="S117" s="386">
        <v>3004957.37</v>
      </c>
      <c r="T117" s="386">
        <v>2480635.06</v>
      </c>
      <c r="U117" s="386">
        <v>3004957.37</v>
      </c>
      <c r="V117" s="386">
        <v>2516419.09</v>
      </c>
      <c r="W117" s="386">
        <v>3004957.37</v>
      </c>
      <c r="X117" s="386">
        <v>2552203.12</v>
      </c>
      <c r="Y117" s="386">
        <v>3004957.37</v>
      </c>
      <c r="Z117" s="386">
        <v>2587987.1500000004</v>
      </c>
      <c r="AA117" s="386">
        <v>3004957.37</v>
      </c>
      <c r="AB117" s="386">
        <v>2623771.1799999997</v>
      </c>
      <c r="AC117" s="386">
        <v>3004957.37</v>
      </c>
      <c r="AD117" s="386">
        <v>2659555.21</v>
      </c>
      <c r="AE117" s="386">
        <f t="shared" si="5"/>
        <v>3004957.3700000006</v>
      </c>
      <c r="AF117" s="386">
        <f t="shared" si="5"/>
        <v>2444851.0300000007</v>
      </c>
    </row>
    <row r="118" spans="1:32">
      <c r="A118" s="380">
        <v>109</v>
      </c>
      <c r="C118" s="14" t="s">
        <v>897</v>
      </c>
      <c r="D118" s="14" t="s">
        <v>885</v>
      </c>
      <c r="E118" s="386">
        <v>585144.89</v>
      </c>
      <c r="F118" s="386">
        <v>353410.95999999996</v>
      </c>
      <c r="G118" s="386">
        <v>585144.89</v>
      </c>
      <c r="H118" s="386">
        <v>360379.06</v>
      </c>
      <c r="I118" s="386">
        <v>585144.89</v>
      </c>
      <c r="J118" s="386">
        <v>367347.16</v>
      </c>
      <c r="K118" s="386">
        <v>585144.89</v>
      </c>
      <c r="L118" s="386">
        <v>374315.26</v>
      </c>
      <c r="M118" s="386">
        <v>585144.89</v>
      </c>
      <c r="N118" s="386">
        <v>381283.36</v>
      </c>
      <c r="O118" s="386">
        <v>585144.89</v>
      </c>
      <c r="P118" s="386">
        <v>388251.46</v>
      </c>
      <c r="Q118" s="386">
        <v>585144.89</v>
      </c>
      <c r="R118" s="386">
        <v>395219.56</v>
      </c>
      <c r="S118" s="386">
        <v>585144.89</v>
      </c>
      <c r="T118" s="386">
        <v>402187.66000000003</v>
      </c>
      <c r="U118" s="386">
        <v>585144.89</v>
      </c>
      <c r="V118" s="386">
        <v>409155.76</v>
      </c>
      <c r="W118" s="386">
        <v>585144.89</v>
      </c>
      <c r="X118" s="386">
        <v>416123.86</v>
      </c>
      <c r="Y118" s="386">
        <v>585144.89</v>
      </c>
      <c r="Z118" s="386">
        <v>423091.96</v>
      </c>
      <c r="AA118" s="386">
        <v>585144.89</v>
      </c>
      <c r="AB118" s="386">
        <v>430060.06</v>
      </c>
      <c r="AC118" s="386">
        <v>585144.89</v>
      </c>
      <c r="AD118" s="386">
        <v>437028.16000000003</v>
      </c>
      <c r="AE118" s="386">
        <f t="shared" si="5"/>
        <v>585144.8899999999</v>
      </c>
      <c r="AF118" s="386">
        <f t="shared" si="5"/>
        <v>395219.56</v>
      </c>
    </row>
    <row r="119" spans="1:32">
      <c r="A119" s="380">
        <v>110</v>
      </c>
      <c r="C119" s="14" t="s">
        <v>898</v>
      </c>
      <c r="D119" s="14" t="s">
        <v>885</v>
      </c>
      <c r="E119" s="386">
        <v>20560.650000000001</v>
      </c>
      <c r="F119" s="386">
        <v>11973.93</v>
      </c>
      <c r="G119" s="386">
        <v>20560.650000000001</v>
      </c>
      <c r="H119" s="386">
        <v>12218.77</v>
      </c>
      <c r="I119" s="386">
        <v>20560.650000000001</v>
      </c>
      <c r="J119" s="386">
        <v>12463.61</v>
      </c>
      <c r="K119" s="386">
        <v>20560.650000000001</v>
      </c>
      <c r="L119" s="386">
        <v>12708.45</v>
      </c>
      <c r="M119" s="386">
        <v>20560.650000000001</v>
      </c>
      <c r="N119" s="386">
        <v>12953.29</v>
      </c>
      <c r="O119" s="386">
        <v>20560.650000000001</v>
      </c>
      <c r="P119" s="386">
        <v>13198.130000000001</v>
      </c>
      <c r="Q119" s="386">
        <v>20560.650000000001</v>
      </c>
      <c r="R119" s="386">
        <v>13442.970000000001</v>
      </c>
      <c r="S119" s="386">
        <v>20560.650000000001</v>
      </c>
      <c r="T119" s="386">
        <v>13687.81</v>
      </c>
      <c r="U119" s="386">
        <v>20560.650000000001</v>
      </c>
      <c r="V119" s="386">
        <v>13932.650000000001</v>
      </c>
      <c r="W119" s="386">
        <v>20560.650000000001</v>
      </c>
      <c r="X119" s="386">
        <v>14177.49</v>
      </c>
      <c r="Y119" s="386">
        <v>20560.650000000001</v>
      </c>
      <c r="Z119" s="386">
        <v>14422.330000000002</v>
      </c>
      <c r="AA119" s="386">
        <v>20560.650000000001</v>
      </c>
      <c r="AB119" s="386">
        <v>14667.17</v>
      </c>
      <c r="AC119" s="386">
        <v>20560.650000000001</v>
      </c>
      <c r="AD119" s="386">
        <v>14912.01</v>
      </c>
      <c r="AE119" s="386">
        <f t="shared" si="5"/>
        <v>20560.649999999998</v>
      </c>
      <c r="AF119" s="386">
        <f t="shared" si="5"/>
        <v>13442.970000000001</v>
      </c>
    </row>
    <row r="120" spans="1:32">
      <c r="A120" s="380">
        <v>111</v>
      </c>
      <c r="C120" s="14" t="s">
        <v>1330</v>
      </c>
      <c r="D120" s="14" t="s">
        <v>885</v>
      </c>
      <c r="E120" s="386">
        <v>2996321.4</v>
      </c>
      <c r="F120" s="386">
        <v>765436.64</v>
      </c>
      <c r="G120" s="386">
        <v>2996321.4</v>
      </c>
      <c r="H120" s="386">
        <v>801117.83000000007</v>
      </c>
      <c r="I120" s="386">
        <v>2996321.4</v>
      </c>
      <c r="J120" s="386">
        <v>836799.02</v>
      </c>
      <c r="K120" s="386">
        <v>2996321.4</v>
      </c>
      <c r="L120" s="386">
        <v>872480.21</v>
      </c>
      <c r="M120" s="386">
        <v>2996321.4</v>
      </c>
      <c r="N120" s="386">
        <v>908161.4</v>
      </c>
      <c r="O120" s="386">
        <v>2996321.4</v>
      </c>
      <c r="P120" s="386">
        <v>943842.59000000008</v>
      </c>
      <c r="Q120" s="386">
        <v>2996321.4</v>
      </c>
      <c r="R120" s="386">
        <v>979523.78</v>
      </c>
      <c r="S120" s="386">
        <v>2996321.4</v>
      </c>
      <c r="T120" s="386">
        <v>1015204.9700000001</v>
      </c>
      <c r="U120" s="386">
        <v>2996321.4</v>
      </c>
      <c r="V120" s="386">
        <v>1050886.1599999999</v>
      </c>
      <c r="W120" s="386">
        <v>2996321.4</v>
      </c>
      <c r="X120" s="386">
        <v>1086567.3500000001</v>
      </c>
      <c r="Y120" s="386">
        <v>2996321.4</v>
      </c>
      <c r="Z120" s="386">
        <v>1122248.54</v>
      </c>
      <c r="AA120" s="386">
        <v>2996321.4</v>
      </c>
      <c r="AB120" s="386">
        <v>1157929.73</v>
      </c>
      <c r="AC120" s="386">
        <v>2316740.37</v>
      </c>
      <c r="AD120" s="386">
        <v>922893.85000000009</v>
      </c>
      <c r="AE120" s="386">
        <f t="shared" si="5"/>
        <v>2968005.5237499992</v>
      </c>
      <c r="AF120" s="386">
        <f t="shared" si="5"/>
        <v>968243.90208333358</v>
      </c>
    </row>
    <row r="121" spans="1:32">
      <c r="A121" s="380">
        <v>112</v>
      </c>
      <c r="C121" s="14" t="s">
        <v>1331</v>
      </c>
      <c r="D121" s="14" t="s">
        <v>885</v>
      </c>
      <c r="E121" s="386">
        <v>656793.18000000005</v>
      </c>
      <c r="F121" s="386">
        <v>93915.55</v>
      </c>
      <c r="G121" s="386">
        <v>654150.74</v>
      </c>
      <c r="H121" s="386">
        <v>101736.86</v>
      </c>
      <c r="I121" s="386">
        <v>654150.74</v>
      </c>
      <c r="J121" s="386">
        <v>109526.71</v>
      </c>
      <c r="K121" s="386">
        <v>654150.74</v>
      </c>
      <c r="L121" s="386">
        <v>117316.56</v>
      </c>
      <c r="M121" s="386">
        <v>654150.74</v>
      </c>
      <c r="N121" s="386">
        <v>125106.41</v>
      </c>
      <c r="O121" s="386">
        <v>654150.74</v>
      </c>
      <c r="P121" s="386">
        <v>132896.26</v>
      </c>
      <c r="Q121" s="386">
        <v>654150.74</v>
      </c>
      <c r="R121" s="386">
        <v>140686.11000000002</v>
      </c>
      <c r="S121" s="386">
        <v>654150.74</v>
      </c>
      <c r="T121" s="386">
        <v>148475.96</v>
      </c>
      <c r="U121" s="386">
        <v>654150.74</v>
      </c>
      <c r="V121" s="386">
        <v>156265.81</v>
      </c>
      <c r="W121" s="386">
        <v>654150.74</v>
      </c>
      <c r="X121" s="386">
        <v>164055.66</v>
      </c>
      <c r="Y121" s="386">
        <v>654150.74</v>
      </c>
      <c r="Z121" s="386">
        <v>171845.51</v>
      </c>
      <c r="AA121" s="386">
        <v>654150.74</v>
      </c>
      <c r="AB121" s="386">
        <v>179635.36000000002</v>
      </c>
      <c r="AC121" s="386">
        <v>654150.74</v>
      </c>
      <c r="AD121" s="386">
        <v>187425.21</v>
      </c>
      <c r="AE121" s="386">
        <f t="shared" si="5"/>
        <v>654260.84166666679</v>
      </c>
      <c r="AF121" s="386">
        <f t="shared" si="5"/>
        <v>140684.79916666666</v>
      </c>
    </row>
    <row r="122" spans="1:32">
      <c r="A122" s="380">
        <v>113</v>
      </c>
      <c r="C122" s="14" t="s">
        <v>1332</v>
      </c>
      <c r="D122" s="14" t="s">
        <v>885</v>
      </c>
      <c r="E122" s="386">
        <v>123571.06</v>
      </c>
      <c r="F122" s="386">
        <v>0</v>
      </c>
      <c r="G122" s="386">
        <v>123571.06</v>
      </c>
      <c r="H122" s="386">
        <v>1471.5300000000002</v>
      </c>
      <c r="I122" s="386">
        <v>123571.06</v>
      </c>
      <c r="J122" s="386">
        <v>2943.0600000000004</v>
      </c>
      <c r="K122" s="386">
        <v>123571.06</v>
      </c>
      <c r="L122" s="386">
        <v>4414.59</v>
      </c>
      <c r="M122" s="386">
        <v>123571.06</v>
      </c>
      <c r="N122" s="386">
        <v>5886.1200000000008</v>
      </c>
      <c r="O122" s="386">
        <v>123571.06</v>
      </c>
      <c r="P122" s="386">
        <v>7357.65</v>
      </c>
      <c r="Q122" s="386">
        <v>123571.06</v>
      </c>
      <c r="R122" s="386">
        <v>8829.18</v>
      </c>
      <c r="S122" s="386">
        <v>123571.06</v>
      </c>
      <c r="T122" s="386">
        <v>10300.709999999999</v>
      </c>
      <c r="U122" s="386">
        <v>123571.06</v>
      </c>
      <c r="V122" s="386">
        <v>11772.240000000002</v>
      </c>
      <c r="W122" s="386">
        <v>123571.06</v>
      </c>
      <c r="X122" s="386">
        <v>13243.77</v>
      </c>
      <c r="Y122" s="386">
        <v>123571.06</v>
      </c>
      <c r="Z122" s="386">
        <v>14715.3</v>
      </c>
      <c r="AA122" s="386">
        <v>123571.06</v>
      </c>
      <c r="AB122" s="386">
        <v>16186.83</v>
      </c>
      <c r="AC122" s="386">
        <v>123571.06</v>
      </c>
      <c r="AD122" s="386">
        <v>17658.36</v>
      </c>
      <c r="AE122" s="386">
        <f t="shared" si="5"/>
        <v>123571.06000000004</v>
      </c>
      <c r="AF122" s="386">
        <f t="shared" si="5"/>
        <v>8829.18</v>
      </c>
    </row>
    <row r="123" spans="1:32">
      <c r="A123" s="380">
        <v>114</v>
      </c>
      <c r="C123" s="14" t="s">
        <v>2235</v>
      </c>
      <c r="D123" s="14" t="s">
        <v>885</v>
      </c>
      <c r="E123" s="386">
        <v>0</v>
      </c>
      <c r="F123" s="386">
        <v>0</v>
      </c>
      <c r="G123" s="386">
        <v>0</v>
      </c>
      <c r="H123" s="386">
        <v>0</v>
      </c>
      <c r="I123" s="386">
        <v>0</v>
      </c>
      <c r="J123" s="386">
        <v>0</v>
      </c>
      <c r="K123" s="386">
        <v>0</v>
      </c>
      <c r="L123" s="386">
        <v>0</v>
      </c>
      <c r="M123" s="386">
        <v>0</v>
      </c>
      <c r="N123" s="386">
        <v>0</v>
      </c>
      <c r="O123" s="386">
        <v>0</v>
      </c>
      <c r="P123" s="386">
        <v>0</v>
      </c>
      <c r="Q123" s="386">
        <v>0</v>
      </c>
      <c r="R123" s="386">
        <v>0</v>
      </c>
      <c r="S123" s="386">
        <v>0</v>
      </c>
      <c r="T123" s="386">
        <v>0</v>
      </c>
      <c r="U123" s="386">
        <v>0</v>
      </c>
      <c r="V123" s="386">
        <v>0</v>
      </c>
      <c r="W123" s="386">
        <v>0</v>
      </c>
      <c r="X123" s="386">
        <v>0</v>
      </c>
      <c r="Y123" s="386">
        <v>0</v>
      </c>
      <c r="Z123" s="386">
        <v>0</v>
      </c>
      <c r="AA123" s="386">
        <v>0</v>
      </c>
      <c r="AB123" s="386">
        <v>0</v>
      </c>
      <c r="AC123" s="386">
        <v>220234.71</v>
      </c>
      <c r="AD123" s="386">
        <v>0</v>
      </c>
      <c r="AE123" s="386">
        <f t="shared" si="5"/>
        <v>9176.4462499999991</v>
      </c>
      <c r="AF123" s="386">
        <f t="shared" si="5"/>
        <v>0</v>
      </c>
    </row>
    <row r="124" spans="1:32">
      <c r="A124" s="380">
        <v>115</v>
      </c>
      <c r="C124" s="14" t="s">
        <v>2236</v>
      </c>
      <c r="D124" s="14" t="s">
        <v>885</v>
      </c>
      <c r="E124" s="386">
        <v>0</v>
      </c>
      <c r="F124" s="386">
        <v>0</v>
      </c>
      <c r="G124" s="386">
        <v>0</v>
      </c>
      <c r="H124" s="386">
        <v>0</v>
      </c>
      <c r="I124" s="386">
        <v>0</v>
      </c>
      <c r="J124" s="386">
        <v>0</v>
      </c>
      <c r="K124" s="386">
        <v>0</v>
      </c>
      <c r="L124" s="386">
        <v>0</v>
      </c>
      <c r="M124" s="386">
        <v>0</v>
      </c>
      <c r="N124" s="386">
        <v>0</v>
      </c>
      <c r="O124" s="386">
        <v>0</v>
      </c>
      <c r="P124" s="386">
        <v>0</v>
      </c>
      <c r="Q124" s="386">
        <v>0</v>
      </c>
      <c r="R124" s="386">
        <v>0</v>
      </c>
      <c r="S124" s="386">
        <v>0</v>
      </c>
      <c r="T124" s="386">
        <v>0</v>
      </c>
      <c r="U124" s="386">
        <v>0</v>
      </c>
      <c r="V124" s="386">
        <v>0</v>
      </c>
      <c r="W124" s="386">
        <v>0</v>
      </c>
      <c r="X124" s="386">
        <v>0</v>
      </c>
      <c r="Y124" s="386">
        <v>0</v>
      </c>
      <c r="Z124" s="386">
        <v>0</v>
      </c>
      <c r="AA124" s="386">
        <v>167698.90000000002</v>
      </c>
      <c r="AB124" s="386">
        <v>0</v>
      </c>
      <c r="AC124" s="386">
        <v>166354.96000000002</v>
      </c>
      <c r="AD124" s="386">
        <v>1746.8600000000001</v>
      </c>
      <c r="AE124" s="386">
        <f t="shared" si="5"/>
        <v>20906.365000000002</v>
      </c>
      <c r="AF124" s="386">
        <f t="shared" si="5"/>
        <v>72.785833333333343</v>
      </c>
    </row>
    <row r="125" spans="1:32">
      <c r="A125" s="380">
        <v>116</v>
      </c>
      <c r="C125" s="14" t="s">
        <v>2237</v>
      </c>
      <c r="D125" s="14" t="s">
        <v>885</v>
      </c>
      <c r="E125" s="386">
        <v>0</v>
      </c>
      <c r="F125" s="386">
        <v>0</v>
      </c>
      <c r="G125" s="386">
        <v>0</v>
      </c>
      <c r="H125" s="386">
        <v>0</v>
      </c>
      <c r="I125" s="386">
        <v>0</v>
      </c>
      <c r="J125" s="386">
        <v>0</v>
      </c>
      <c r="K125" s="386">
        <v>0</v>
      </c>
      <c r="L125" s="386">
        <v>0</v>
      </c>
      <c r="M125" s="386">
        <v>0</v>
      </c>
      <c r="N125" s="386">
        <v>0</v>
      </c>
      <c r="O125" s="386">
        <v>0</v>
      </c>
      <c r="P125" s="386">
        <v>0</v>
      </c>
      <c r="Q125" s="386">
        <v>0</v>
      </c>
      <c r="R125" s="386">
        <v>0</v>
      </c>
      <c r="S125" s="386">
        <v>0</v>
      </c>
      <c r="T125" s="386">
        <v>0</v>
      </c>
      <c r="U125" s="386">
        <v>0</v>
      </c>
      <c r="V125" s="386">
        <v>0</v>
      </c>
      <c r="W125" s="386">
        <v>0</v>
      </c>
      <c r="X125" s="386">
        <v>0</v>
      </c>
      <c r="Y125" s="386">
        <v>0</v>
      </c>
      <c r="Z125" s="386">
        <v>0</v>
      </c>
      <c r="AA125" s="386">
        <v>0</v>
      </c>
      <c r="AB125" s="386">
        <v>0</v>
      </c>
      <c r="AC125" s="386">
        <v>2784867.69</v>
      </c>
      <c r="AD125" s="386">
        <v>1482032.63</v>
      </c>
      <c r="AE125" s="386">
        <f t="shared" si="5"/>
        <v>116036.15375</v>
      </c>
      <c r="AF125" s="386">
        <f t="shared" si="5"/>
        <v>61751.359583333331</v>
      </c>
    </row>
    <row r="126" spans="1:32">
      <c r="A126" s="380">
        <v>117</v>
      </c>
      <c r="C126" s="14" t="s">
        <v>899</v>
      </c>
      <c r="D126" s="14" t="s">
        <v>885</v>
      </c>
      <c r="E126" s="386">
        <v>94899.760000000009</v>
      </c>
      <c r="F126" s="386">
        <v>0</v>
      </c>
      <c r="G126" s="386">
        <v>94899.760000000009</v>
      </c>
      <c r="H126" s="386">
        <v>0</v>
      </c>
      <c r="I126" s="386">
        <v>94899.760000000009</v>
      </c>
      <c r="J126" s="386">
        <v>0</v>
      </c>
      <c r="K126" s="386">
        <v>94899.760000000009</v>
      </c>
      <c r="L126" s="386">
        <v>0</v>
      </c>
      <c r="M126" s="386">
        <v>94899.760000000009</v>
      </c>
      <c r="N126" s="386">
        <v>0</v>
      </c>
      <c r="O126" s="386">
        <v>94899.760000000009</v>
      </c>
      <c r="P126" s="386">
        <v>0</v>
      </c>
      <c r="Q126" s="386">
        <v>94899.760000000009</v>
      </c>
      <c r="R126" s="386">
        <v>0</v>
      </c>
      <c r="S126" s="386">
        <v>94899.760000000009</v>
      </c>
      <c r="T126" s="386">
        <v>0</v>
      </c>
      <c r="U126" s="386">
        <v>94899.760000000009</v>
      </c>
      <c r="V126" s="386">
        <v>0</v>
      </c>
      <c r="W126" s="386">
        <v>94899.760000000009</v>
      </c>
      <c r="X126" s="386">
        <v>0</v>
      </c>
      <c r="Y126" s="386">
        <v>94899.760000000009</v>
      </c>
      <c r="Z126" s="386">
        <v>0</v>
      </c>
      <c r="AA126" s="386">
        <v>94899.760000000009</v>
      </c>
      <c r="AB126" s="386">
        <v>0</v>
      </c>
      <c r="AC126" s="386">
        <v>94899.760000000009</v>
      </c>
      <c r="AD126" s="386">
        <v>0</v>
      </c>
      <c r="AE126" s="386">
        <f t="shared" si="5"/>
        <v>94899.760000000009</v>
      </c>
      <c r="AF126" s="386">
        <f t="shared" si="5"/>
        <v>0</v>
      </c>
    </row>
    <row r="127" spans="1:32">
      <c r="A127" s="380">
        <v>118</v>
      </c>
      <c r="C127" s="14" t="s">
        <v>900</v>
      </c>
      <c r="D127" s="14" t="s">
        <v>885</v>
      </c>
      <c r="E127" s="386">
        <v>399189.1</v>
      </c>
      <c r="F127" s="386">
        <v>419228.1</v>
      </c>
      <c r="G127" s="386">
        <v>399189.10000000003</v>
      </c>
      <c r="H127" s="386">
        <v>419228.10000000003</v>
      </c>
      <c r="I127" s="386">
        <v>399189.10000000003</v>
      </c>
      <c r="J127" s="386">
        <v>419228.10000000003</v>
      </c>
      <c r="K127" s="386">
        <v>399189.10000000003</v>
      </c>
      <c r="L127" s="386">
        <v>419228.10000000003</v>
      </c>
      <c r="M127" s="386">
        <v>399189.10000000003</v>
      </c>
      <c r="N127" s="386">
        <v>419228.10000000003</v>
      </c>
      <c r="O127" s="386">
        <v>422081.87</v>
      </c>
      <c r="P127" s="386">
        <v>415354.55000000005</v>
      </c>
      <c r="Q127" s="386">
        <v>422081.87</v>
      </c>
      <c r="R127" s="386">
        <v>415547.62</v>
      </c>
      <c r="S127" s="386">
        <v>422081.87</v>
      </c>
      <c r="T127" s="386">
        <v>415976.74000000005</v>
      </c>
      <c r="U127" s="386">
        <v>422081.87</v>
      </c>
      <c r="V127" s="386">
        <v>416405.86</v>
      </c>
      <c r="W127" s="386">
        <v>422081.87</v>
      </c>
      <c r="X127" s="386">
        <v>416834.98</v>
      </c>
      <c r="Y127" s="386">
        <v>422081.87</v>
      </c>
      <c r="Z127" s="386">
        <v>417264.1</v>
      </c>
      <c r="AA127" s="386">
        <v>422081.87</v>
      </c>
      <c r="AB127" s="386">
        <v>417693.22</v>
      </c>
      <c r="AC127" s="386">
        <v>421631.54</v>
      </c>
      <c r="AD127" s="386">
        <v>418122.34</v>
      </c>
      <c r="AE127" s="386">
        <f t="shared" si="5"/>
        <v>413478.31750000006</v>
      </c>
      <c r="AF127" s="386">
        <f t="shared" si="5"/>
        <v>417555.39083333337</v>
      </c>
    </row>
    <row r="128" spans="1:32">
      <c r="A128" s="380">
        <v>119</v>
      </c>
      <c r="C128" s="14" t="s">
        <v>901</v>
      </c>
      <c r="D128" s="14" t="s">
        <v>885</v>
      </c>
      <c r="E128" s="386">
        <v>954713.11</v>
      </c>
      <c r="F128" s="386">
        <v>696776.96000000008</v>
      </c>
      <c r="G128" s="386">
        <v>954713.11</v>
      </c>
      <c r="H128" s="386">
        <v>696776.96</v>
      </c>
      <c r="I128" s="386">
        <v>954713.11</v>
      </c>
      <c r="J128" s="386">
        <v>696776.96</v>
      </c>
      <c r="K128" s="386">
        <v>954713.11</v>
      </c>
      <c r="L128" s="386">
        <v>696776.96</v>
      </c>
      <c r="M128" s="386">
        <v>954713.11</v>
      </c>
      <c r="N128" s="386">
        <v>696776.96</v>
      </c>
      <c r="O128" s="386">
        <v>954713.11</v>
      </c>
      <c r="P128" s="386">
        <v>696776.96</v>
      </c>
      <c r="Q128" s="386">
        <v>954713.11</v>
      </c>
      <c r="R128" s="386">
        <v>696776.96</v>
      </c>
      <c r="S128" s="386">
        <v>954713.11</v>
      </c>
      <c r="T128" s="386">
        <v>696776.96</v>
      </c>
      <c r="U128" s="386">
        <v>954713.11</v>
      </c>
      <c r="V128" s="386">
        <v>696776.96</v>
      </c>
      <c r="W128" s="386">
        <v>954713.11</v>
      </c>
      <c r="X128" s="386">
        <v>696776.96</v>
      </c>
      <c r="Y128" s="386">
        <v>954713.11</v>
      </c>
      <c r="Z128" s="386">
        <v>696776.96</v>
      </c>
      <c r="AA128" s="386">
        <v>954713.11</v>
      </c>
      <c r="AB128" s="386">
        <v>696776.96</v>
      </c>
      <c r="AC128" s="386">
        <v>954713.11</v>
      </c>
      <c r="AD128" s="386">
        <v>696776.96</v>
      </c>
      <c r="AE128" s="386">
        <f t="shared" si="5"/>
        <v>954713.10999999987</v>
      </c>
      <c r="AF128" s="386">
        <f t="shared" si="5"/>
        <v>696776.96</v>
      </c>
    </row>
    <row r="129" spans="1:32">
      <c r="A129" s="380">
        <v>120</v>
      </c>
      <c r="C129" s="14" t="s">
        <v>902</v>
      </c>
      <c r="D129" s="14" t="s">
        <v>885</v>
      </c>
      <c r="E129" s="386">
        <v>5944803.1500000004</v>
      </c>
      <c r="F129" s="386">
        <v>5541204.4500000002</v>
      </c>
      <c r="G129" s="386">
        <v>5944803.6600000001</v>
      </c>
      <c r="H129" s="386">
        <v>5547347.4100000001</v>
      </c>
      <c r="I129" s="386">
        <v>5944803.6600000001</v>
      </c>
      <c r="J129" s="386">
        <v>5553490.3700000001</v>
      </c>
      <c r="K129" s="386">
        <v>5978074.5600000005</v>
      </c>
      <c r="L129" s="386">
        <v>5559633.3300000001</v>
      </c>
      <c r="M129" s="386">
        <v>5978074.5600000005</v>
      </c>
      <c r="N129" s="386">
        <v>5565810.6699999999</v>
      </c>
      <c r="O129" s="386">
        <v>5978074.5600000005</v>
      </c>
      <c r="P129" s="386">
        <v>5571988.0099999998</v>
      </c>
      <c r="Q129" s="386">
        <v>5977384.3000000007</v>
      </c>
      <c r="R129" s="386">
        <v>5578165.3499999996</v>
      </c>
      <c r="S129" s="386">
        <v>5977384.3000000007</v>
      </c>
      <c r="T129" s="386">
        <v>5584341.9799999995</v>
      </c>
      <c r="U129" s="386">
        <v>5977384.3000000007</v>
      </c>
      <c r="V129" s="386">
        <v>5590518.6100000003</v>
      </c>
      <c r="W129" s="386">
        <v>5977486.1900000004</v>
      </c>
      <c r="X129" s="386">
        <v>5596695.2400000002</v>
      </c>
      <c r="Y129" s="386">
        <v>5977486.1900000004</v>
      </c>
      <c r="Z129" s="386">
        <v>5602871.9799999995</v>
      </c>
      <c r="AA129" s="386">
        <v>5977486.1900000004</v>
      </c>
      <c r="AB129" s="386">
        <v>5609048.7200000007</v>
      </c>
      <c r="AC129" s="386">
        <v>5977291.5</v>
      </c>
      <c r="AD129" s="386">
        <v>5615225.46</v>
      </c>
      <c r="AE129" s="386">
        <f t="shared" si="5"/>
        <v>5970790.8162500001</v>
      </c>
      <c r="AF129" s="386">
        <f t="shared" si="5"/>
        <v>5578177.2187499991</v>
      </c>
    </row>
    <row r="130" spans="1:32">
      <c r="A130" s="380">
        <v>121</v>
      </c>
      <c r="C130" s="14" t="s">
        <v>903</v>
      </c>
      <c r="D130" s="14" t="s">
        <v>885</v>
      </c>
      <c r="E130" s="386">
        <v>3129482.49</v>
      </c>
      <c r="F130" s="386">
        <v>1073696.77</v>
      </c>
      <c r="G130" s="386">
        <v>3149441.87</v>
      </c>
      <c r="H130" s="386">
        <v>1116049.1000000001</v>
      </c>
      <c r="I130" s="386">
        <v>3149934.33</v>
      </c>
      <c r="J130" s="386">
        <v>1158671.55</v>
      </c>
      <c r="K130" s="386">
        <v>3163528.4499999997</v>
      </c>
      <c r="L130" s="386">
        <v>1201300.6599999999</v>
      </c>
      <c r="M130" s="386">
        <v>3163528.4499999997</v>
      </c>
      <c r="N130" s="386">
        <v>1244113.75</v>
      </c>
      <c r="O130" s="386">
        <v>3163528.4499999997</v>
      </c>
      <c r="P130" s="386">
        <v>1286926.8400000001</v>
      </c>
      <c r="Q130" s="386">
        <v>3163528.4499999997</v>
      </c>
      <c r="R130" s="386">
        <v>1329739.9300000002</v>
      </c>
      <c r="S130" s="386">
        <v>3163528.4499999997</v>
      </c>
      <c r="T130" s="386">
        <v>1372553.02</v>
      </c>
      <c r="U130" s="386">
        <v>3163528.4499999997</v>
      </c>
      <c r="V130" s="386">
        <v>1415366.11</v>
      </c>
      <c r="W130" s="386">
        <v>3178999.78</v>
      </c>
      <c r="X130" s="386">
        <v>1458179.2</v>
      </c>
      <c r="Y130" s="386">
        <v>3178999.78</v>
      </c>
      <c r="Z130" s="386">
        <v>1501201.66</v>
      </c>
      <c r="AA130" s="386">
        <v>3178999.78</v>
      </c>
      <c r="AB130" s="386">
        <v>1544224.1199999999</v>
      </c>
      <c r="AC130" s="386">
        <v>3494588.6599999997</v>
      </c>
      <c r="AD130" s="386">
        <v>1587246.5799999998</v>
      </c>
      <c r="AE130" s="386">
        <f t="shared" si="5"/>
        <v>3177465.1512500006</v>
      </c>
      <c r="AF130" s="386">
        <f t="shared" si="5"/>
        <v>1329899.8012499998</v>
      </c>
    </row>
    <row r="131" spans="1:32">
      <c r="A131" s="380">
        <v>122</v>
      </c>
      <c r="C131" s="14" t="s">
        <v>904</v>
      </c>
      <c r="D131" s="14" t="s">
        <v>885</v>
      </c>
      <c r="E131" s="386">
        <v>158310.35</v>
      </c>
      <c r="F131" s="386">
        <v>-193316.37000000002</v>
      </c>
      <c r="G131" s="386">
        <v>158310.35</v>
      </c>
      <c r="H131" s="386">
        <v>-191024.83000000002</v>
      </c>
      <c r="I131" s="386">
        <v>158310.35</v>
      </c>
      <c r="J131" s="386">
        <v>-188733.29</v>
      </c>
      <c r="K131" s="386">
        <v>158310.35</v>
      </c>
      <c r="L131" s="386">
        <v>-186441.75</v>
      </c>
      <c r="M131" s="386">
        <v>158310.35</v>
      </c>
      <c r="N131" s="386">
        <v>-184150.21000000002</v>
      </c>
      <c r="O131" s="386">
        <v>158310.35</v>
      </c>
      <c r="P131" s="386">
        <v>-181858.66999999998</v>
      </c>
      <c r="Q131" s="386">
        <v>158310.35</v>
      </c>
      <c r="R131" s="386">
        <v>-179567.13</v>
      </c>
      <c r="S131" s="386">
        <v>158310.35</v>
      </c>
      <c r="T131" s="386">
        <v>-177275.59000000003</v>
      </c>
      <c r="U131" s="386">
        <v>158310.35</v>
      </c>
      <c r="V131" s="386">
        <v>-174984.05</v>
      </c>
      <c r="W131" s="386">
        <v>158310.35</v>
      </c>
      <c r="X131" s="386">
        <v>-172692.51</v>
      </c>
      <c r="Y131" s="386">
        <v>158310.35</v>
      </c>
      <c r="Z131" s="386">
        <v>-170400.97</v>
      </c>
      <c r="AA131" s="386">
        <v>158310.35</v>
      </c>
      <c r="AB131" s="386">
        <v>-168109.43</v>
      </c>
      <c r="AC131" s="386">
        <v>158310.35</v>
      </c>
      <c r="AD131" s="386">
        <v>-165817.89000000001</v>
      </c>
      <c r="AE131" s="386">
        <f t="shared" si="5"/>
        <v>158310.35000000003</v>
      </c>
      <c r="AF131" s="386">
        <f t="shared" si="5"/>
        <v>-179567.13</v>
      </c>
    </row>
    <row r="132" spans="1:32">
      <c r="A132" s="380">
        <v>123</v>
      </c>
      <c r="C132" s="14" t="s">
        <v>905</v>
      </c>
      <c r="D132" s="14" t="s">
        <v>885</v>
      </c>
      <c r="E132" s="386">
        <v>1276603.8500000001</v>
      </c>
      <c r="F132" s="386">
        <v>60413.3</v>
      </c>
      <c r="G132" s="386">
        <v>1276603.8500000001</v>
      </c>
      <c r="H132" s="386">
        <v>65711.210000000006</v>
      </c>
      <c r="I132" s="386">
        <v>1276603.8500000001</v>
      </c>
      <c r="J132" s="386">
        <v>71009.12000000001</v>
      </c>
      <c r="K132" s="386">
        <v>1283146.57</v>
      </c>
      <c r="L132" s="386">
        <v>76307.03</v>
      </c>
      <c r="M132" s="386">
        <v>1283071.6100000001</v>
      </c>
      <c r="N132" s="386">
        <v>81632.09</v>
      </c>
      <c r="O132" s="386">
        <v>1283071.6100000001</v>
      </c>
      <c r="P132" s="386">
        <v>86956.84</v>
      </c>
      <c r="Q132" s="386">
        <v>1283071.6100000001</v>
      </c>
      <c r="R132" s="386">
        <v>92281.59</v>
      </c>
      <c r="S132" s="386">
        <v>1283071.6100000001</v>
      </c>
      <c r="T132" s="386">
        <v>97606.34</v>
      </c>
      <c r="U132" s="386">
        <v>1283071.6100000001</v>
      </c>
      <c r="V132" s="386">
        <v>102931.09</v>
      </c>
      <c r="W132" s="386">
        <v>1283071.6100000001</v>
      </c>
      <c r="X132" s="386">
        <v>108255.84</v>
      </c>
      <c r="Y132" s="386">
        <v>1283071.6100000001</v>
      </c>
      <c r="Z132" s="386">
        <v>113580.59</v>
      </c>
      <c r="AA132" s="386">
        <v>1283071.6100000001</v>
      </c>
      <c r="AB132" s="386">
        <v>118905.34</v>
      </c>
      <c r="AC132" s="386">
        <v>1283046.32</v>
      </c>
      <c r="AD132" s="386">
        <v>124230.09</v>
      </c>
      <c r="AE132" s="386">
        <f t="shared" si="5"/>
        <v>1281729.3529166665</v>
      </c>
      <c r="AF132" s="386">
        <f t="shared" si="5"/>
        <v>92291.564583333326</v>
      </c>
    </row>
    <row r="133" spans="1:32">
      <c r="A133" s="380">
        <v>124</v>
      </c>
      <c r="C133" s="14" t="s">
        <v>906</v>
      </c>
      <c r="D133" s="14" t="s">
        <v>885</v>
      </c>
      <c r="E133" s="386">
        <v>2994409.61</v>
      </c>
      <c r="F133" s="386">
        <v>2994409.62</v>
      </c>
      <c r="G133" s="386">
        <v>2994409.6100000003</v>
      </c>
      <c r="H133" s="386">
        <v>2994409.62</v>
      </c>
      <c r="I133" s="386">
        <v>2994409.6100000003</v>
      </c>
      <c r="J133" s="386">
        <v>2994409.62</v>
      </c>
      <c r="K133" s="386">
        <v>2994409.6100000003</v>
      </c>
      <c r="L133" s="386">
        <v>2994409.62</v>
      </c>
      <c r="M133" s="386">
        <v>2994409.6100000003</v>
      </c>
      <c r="N133" s="386">
        <v>2994409.62</v>
      </c>
      <c r="O133" s="386">
        <v>2994409.6100000003</v>
      </c>
      <c r="P133" s="386">
        <v>2994409.62</v>
      </c>
      <c r="Q133" s="386">
        <v>2994409.6100000003</v>
      </c>
      <c r="R133" s="386">
        <v>2994409.62</v>
      </c>
      <c r="S133" s="386">
        <v>2994409.6100000003</v>
      </c>
      <c r="T133" s="386">
        <v>2994409.62</v>
      </c>
      <c r="U133" s="386">
        <v>2994409.6100000003</v>
      </c>
      <c r="V133" s="386">
        <v>2994409.62</v>
      </c>
      <c r="W133" s="386">
        <v>2994409.6100000003</v>
      </c>
      <c r="X133" s="386">
        <v>2994409.62</v>
      </c>
      <c r="Y133" s="386">
        <v>2994409.6100000003</v>
      </c>
      <c r="Z133" s="386">
        <v>2994409.62</v>
      </c>
      <c r="AA133" s="386">
        <v>2994409.6100000003</v>
      </c>
      <c r="AB133" s="386">
        <v>2994409.62</v>
      </c>
      <c r="AC133" s="386">
        <v>2994409.6100000003</v>
      </c>
      <c r="AD133" s="386">
        <v>2994409.61</v>
      </c>
      <c r="AE133" s="386">
        <f t="shared" si="5"/>
        <v>2994409.61</v>
      </c>
      <c r="AF133" s="386">
        <f t="shared" si="5"/>
        <v>2994409.6195833343</v>
      </c>
    </row>
    <row r="134" spans="1:32">
      <c r="A134" s="380">
        <v>125</v>
      </c>
      <c r="C134" s="14" t="s">
        <v>907</v>
      </c>
      <c r="D134" s="14" t="s">
        <v>885</v>
      </c>
      <c r="E134" s="386">
        <v>7723.92</v>
      </c>
      <c r="F134" s="386">
        <v>6066.64</v>
      </c>
      <c r="G134" s="386">
        <v>7723.92</v>
      </c>
      <c r="H134" s="386">
        <v>6086.92</v>
      </c>
      <c r="I134" s="386">
        <v>7723.92</v>
      </c>
      <c r="J134" s="386">
        <v>6107.2000000000007</v>
      </c>
      <c r="K134" s="386">
        <v>7723.92</v>
      </c>
      <c r="L134" s="386">
        <v>6127.4800000000005</v>
      </c>
      <c r="M134" s="386">
        <v>7723.92</v>
      </c>
      <c r="N134" s="386">
        <v>6147.76</v>
      </c>
      <c r="O134" s="386">
        <v>7723.92</v>
      </c>
      <c r="P134" s="386">
        <v>6168.0400000000009</v>
      </c>
      <c r="Q134" s="386">
        <v>7723.92</v>
      </c>
      <c r="R134" s="386">
        <v>6188.3200000000006</v>
      </c>
      <c r="S134" s="386">
        <v>7723.92</v>
      </c>
      <c r="T134" s="386">
        <v>6208.6</v>
      </c>
      <c r="U134" s="386">
        <v>7723.92</v>
      </c>
      <c r="V134" s="386">
        <v>6228.880000000001</v>
      </c>
      <c r="W134" s="386">
        <v>7723.92</v>
      </c>
      <c r="X134" s="386">
        <v>6249.1600000000008</v>
      </c>
      <c r="Y134" s="386">
        <v>7723.92</v>
      </c>
      <c r="Z134" s="386">
        <v>6269.4400000000005</v>
      </c>
      <c r="AA134" s="386">
        <v>7723.92</v>
      </c>
      <c r="AB134" s="386">
        <v>6289.72</v>
      </c>
      <c r="AC134" s="386">
        <v>7723.92</v>
      </c>
      <c r="AD134" s="386">
        <v>6310</v>
      </c>
      <c r="AE134" s="386">
        <f t="shared" si="5"/>
        <v>7723.9199999999992</v>
      </c>
      <c r="AF134" s="386">
        <f t="shared" si="5"/>
        <v>6188.32</v>
      </c>
    </row>
    <row r="135" spans="1:32">
      <c r="A135" s="380">
        <v>126</v>
      </c>
      <c r="C135" s="14" t="s">
        <v>908</v>
      </c>
      <c r="D135" s="14" t="s">
        <v>885</v>
      </c>
      <c r="E135" s="386">
        <v>2035982.23</v>
      </c>
      <c r="F135" s="386">
        <v>789500.16999999993</v>
      </c>
      <c r="G135" s="386">
        <v>1936459.93</v>
      </c>
      <c r="H135" s="386">
        <v>732671.35</v>
      </c>
      <c r="I135" s="386">
        <v>1936326.94</v>
      </c>
      <c r="J135" s="386">
        <v>742595.7</v>
      </c>
      <c r="K135" s="386">
        <v>1865255.93</v>
      </c>
      <c r="L135" s="386">
        <v>712500.19000000006</v>
      </c>
      <c r="M135" s="386">
        <v>1834253.2400000002</v>
      </c>
      <c r="N135" s="386">
        <v>702060.94</v>
      </c>
      <c r="O135" s="386">
        <v>1854822.48</v>
      </c>
      <c r="P135" s="386">
        <v>704963.83000000007</v>
      </c>
      <c r="Q135" s="386">
        <v>1854822.48</v>
      </c>
      <c r="R135" s="386">
        <v>714469.79</v>
      </c>
      <c r="S135" s="386">
        <v>1854822.48</v>
      </c>
      <c r="T135" s="386">
        <v>723975.74</v>
      </c>
      <c r="U135" s="386">
        <v>1985144.93</v>
      </c>
      <c r="V135" s="386">
        <v>733481.70000000007</v>
      </c>
      <c r="W135" s="386">
        <v>1987264.6500000001</v>
      </c>
      <c r="X135" s="386">
        <v>716590.36</v>
      </c>
      <c r="Y135" s="386">
        <v>2017208.58</v>
      </c>
      <c r="Z135" s="386">
        <v>717755.64999999991</v>
      </c>
      <c r="AA135" s="386">
        <v>1958953.4500000002</v>
      </c>
      <c r="AB135" s="386">
        <v>676442.58000000007</v>
      </c>
      <c r="AC135" s="386">
        <v>2137291.48</v>
      </c>
      <c r="AD135" s="386">
        <v>686482.22</v>
      </c>
      <c r="AE135" s="386">
        <f t="shared" si="5"/>
        <v>1930997.6620833334</v>
      </c>
      <c r="AF135" s="386">
        <f t="shared" si="5"/>
        <v>717958.25208333333</v>
      </c>
    </row>
    <row r="136" spans="1:32">
      <c r="A136" s="380">
        <v>127</v>
      </c>
      <c r="C136" s="14" t="s">
        <v>909</v>
      </c>
      <c r="D136" s="14" t="s">
        <v>885</v>
      </c>
      <c r="E136" s="386">
        <v>43088.19</v>
      </c>
      <c r="F136" s="386">
        <v>18335.93</v>
      </c>
      <c r="G136" s="386">
        <v>43088.19</v>
      </c>
      <c r="H136" s="386">
        <v>18527.669999999998</v>
      </c>
      <c r="I136" s="386">
        <v>43088.19</v>
      </c>
      <c r="J136" s="386">
        <v>18719.41</v>
      </c>
      <c r="K136" s="386">
        <v>43088.19</v>
      </c>
      <c r="L136" s="386">
        <v>18911.150000000001</v>
      </c>
      <c r="M136" s="386">
        <v>43088.19</v>
      </c>
      <c r="N136" s="386">
        <v>19102.89</v>
      </c>
      <c r="O136" s="386">
        <v>43088.19</v>
      </c>
      <c r="P136" s="386">
        <v>19294.63</v>
      </c>
      <c r="Q136" s="386">
        <v>43088.19</v>
      </c>
      <c r="R136" s="386">
        <v>19486.37</v>
      </c>
      <c r="S136" s="386">
        <v>43088.19</v>
      </c>
      <c r="T136" s="386">
        <v>19678.11</v>
      </c>
      <c r="U136" s="386">
        <v>43088.19</v>
      </c>
      <c r="V136" s="386">
        <v>19869.849999999999</v>
      </c>
      <c r="W136" s="386">
        <v>43088.19</v>
      </c>
      <c r="X136" s="386">
        <v>20061.59</v>
      </c>
      <c r="Y136" s="386">
        <v>43088.19</v>
      </c>
      <c r="Z136" s="386">
        <v>20253.330000000002</v>
      </c>
      <c r="AA136" s="386">
        <v>52521.200000000004</v>
      </c>
      <c r="AB136" s="386">
        <v>20445.07</v>
      </c>
      <c r="AC136" s="386">
        <v>52364.869999999995</v>
      </c>
      <c r="AD136" s="386">
        <v>20678.79</v>
      </c>
      <c r="AE136" s="386">
        <f t="shared" si="5"/>
        <v>44260.802499999998</v>
      </c>
      <c r="AF136" s="386">
        <f t="shared" si="5"/>
        <v>19488.119166666667</v>
      </c>
    </row>
    <row r="137" spans="1:32">
      <c r="A137" s="380">
        <v>128</v>
      </c>
      <c r="C137" s="14" t="s">
        <v>910</v>
      </c>
      <c r="D137" s="14" t="s">
        <v>885</v>
      </c>
      <c r="E137" s="386">
        <v>2441513.96</v>
      </c>
      <c r="F137" s="386">
        <v>533803.03</v>
      </c>
      <c r="G137" s="386">
        <v>2469880.0099999998</v>
      </c>
      <c r="H137" s="386">
        <v>541046.18999999994</v>
      </c>
      <c r="I137" s="386">
        <v>2477713.0299999998</v>
      </c>
      <c r="J137" s="386">
        <v>548373.5</v>
      </c>
      <c r="K137" s="386">
        <v>2481346.0699999998</v>
      </c>
      <c r="L137" s="386">
        <v>552265.71</v>
      </c>
      <c r="M137" s="386">
        <v>2505573.58</v>
      </c>
      <c r="N137" s="386">
        <v>559627.04</v>
      </c>
      <c r="O137" s="386">
        <v>2533156.7800000003</v>
      </c>
      <c r="P137" s="386">
        <v>567060.24</v>
      </c>
      <c r="Q137" s="386">
        <v>2543109.75</v>
      </c>
      <c r="R137" s="386">
        <v>574575.27</v>
      </c>
      <c r="S137" s="386">
        <v>2543109.75</v>
      </c>
      <c r="T137" s="386">
        <v>582119.83000000007</v>
      </c>
      <c r="U137" s="386">
        <v>2543109.75</v>
      </c>
      <c r="V137" s="386">
        <v>589664.39</v>
      </c>
      <c r="W137" s="386">
        <v>2550851.14</v>
      </c>
      <c r="X137" s="386">
        <v>597208.94999999995</v>
      </c>
      <c r="Y137" s="386">
        <v>2662728.4500000002</v>
      </c>
      <c r="Z137" s="386">
        <v>604776.48</v>
      </c>
      <c r="AA137" s="386">
        <v>2663853.04</v>
      </c>
      <c r="AB137" s="386">
        <v>612675.91</v>
      </c>
      <c r="AC137" s="386">
        <v>2695786.5</v>
      </c>
      <c r="AD137" s="386">
        <v>620578.67000000004</v>
      </c>
      <c r="AE137" s="386">
        <f t="shared" si="5"/>
        <v>2545256.7983333333</v>
      </c>
      <c r="AF137" s="386">
        <f t="shared" si="5"/>
        <v>575548.69666666666</v>
      </c>
    </row>
    <row r="138" spans="1:32">
      <c r="A138" s="380">
        <v>129</v>
      </c>
      <c r="C138" s="14" t="s">
        <v>911</v>
      </c>
      <c r="D138" s="14" t="s">
        <v>885</v>
      </c>
      <c r="E138" s="386">
        <v>90630.82</v>
      </c>
      <c r="F138" s="386">
        <v>42766.710000000006</v>
      </c>
      <c r="G138" s="386">
        <v>90630.82</v>
      </c>
      <c r="H138" s="386">
        <v>43114.130000000005</v>
      </c>
      <c r="I138" s="386">
        <v>90630.82</v>
      </c>
      <c r="J138" s="386">
        <v>43461.55</v>
      </c>
      <c r="K138" s="386">
        <v>84472.540000000008</v>
      </c>
      <c r="L138" s="386">
        <v>37650.69</v>
      </c>
      <c r="M138" s="386">
        <v>84472.540000000008</v>
      </c>
      <c r="N138" s="386">
        <v>37974.5</v>
      </c>
      <c r="O138" s="386">
        <v>84472.540000000008</v>
      </c>
      <c r="P138" s="386">
        <v>38298.31</v>
      </c>
      <c r="Q138" s="386">
        <v>84472.540000000008</v>
      </c>
      <c r="R138" s="386">
        <v>38622.120000000003</v>
      </c>
      <c r="S138" s="386">
        <v>84472.540000000008</v>
      </c>
      <c r="T138" s="386">
        <v>38945.93</v>
      </c>
      <c r="U138" s="386">
        <v>84472.540000000008</v>
      </c>
      <c r="V138" s="386">
        <v>39269.74</v>
      </c>
      <c r="W138" s="386">
        <v>84472.540000000008</v>
      </c>
      <c r="X138" s="386">
        <v>39593.550000000003</v>
      </c>
      <c r="Y138" s="386">
        <v>84472.540000000008</v>
      </c>
      <c r="Z138" s="386">
        <v>39917.360000000001</v>
      </c>
      <c r="AA138" s="386">
        <v>84472.540000000008</v>
      </c>
      <c r="AB138" s="386">
        <v>40241.17</v>
      </c>
      <c r="AC138" s="386">
        <v>84472.540000000008</v>
      </c>
      <c r="AD138" s="386">
        <v>40564.979999999996</v>
      </c>
      <c r="AE138" s="386">
        <f t="shared" si="5"/>
        <v>85755.515000000029</v>
      </c>
      <c r="AF138" s="386">
        <f t="shared" si="5"/>
        <v>39896.241249999992</v>
      </c>
    </row>
    <row r="139" spans="1:32">
      <c r="A139" s="380">
        <v>130</v>
      </c>
      <c r="C139" s="14" t="s">
        <v>912</v>
      </c>
      <c r="D139" s="14" t="s">
        <v>885</v>
      </c>
      <c r="E139" s="386">
        <v>-96696.89</v>
      </c>
      <c r="F139" s="386">
        <v>-34308.04</v>
      </c>
      <c r="G139" s="386">
        <v>-94673.540000000008</v>
      </c>
      <c r="H139" s="386">
        <v>-34725.449999999997</v>
      </c>
      <c r="I139" s="386">
        <v>-94673.540000000008</v>
      </c>
      <c r="J139" s="386">
        <v>-35134.120000000003</v>
      </c>
      <c r="K139" s="386">
        <v>-94673.540000000008</v>
      </c>
      <c r="L139" s="386">
        <v>-35542.79</v>
      </c>
      <c r="M139" s="386">
        <v>-94673.540000000008</v>
      </c>
      <c r="N139" s="386">
        <v>-35951.460000000006</v>
      </c>
      <c r="O139" s="386">
        <v>-94673.540000000008</v>
      </c>
      <c r="P139" s="386">
        <v>-36360.129999999997</v>
      </c>
      <c r="Q139" s="386">
        <v>-94673.540000000008</v>
      </c>
      <c r="R139" s="386">
        <v>-36768.800000000003</v>
      </c>
      <c r="S139" s="386">
        <v>-94673.540000000008</v>
      </c>
      <c r="T139" s="386">
        <v>-37177.47</v>
      </c>
      <c r="U139" s="386">
        <v>-94673.540000000008</v>
      </c>
      <c r="V139" s="386">
        <v>-37586.14</v>
      </c>
      <c r="W139" s="386">
        <v>-94673.540000000008</v>
      </c>
      <c r="X139" s="386">
        <v>-37994.810000000005</v>
      </c>
      <c r="Y139" s="386">
        <v>-94673.540000000008</v>
      </c>
      <c r="Z139" s="386">
        <v>-38403.479999999996</v>
      </c>
      <c r="AA139" s="386">
        <v>-94673.540000000008</v>
      </c>
      <c r="AB139" s="386">
        <v>-38812.15</v>
      </c>
      <c r="AC139" s="386">
        <v>-94673.540000000008</v>
      </c>
      <c r="AD139" s="386">
        <v>-51325.86</v>
      </c>
      <c r="AE139" s="386">
        <f t="shared" ref="AE139:AF147" si="6">+(E139+AC139+(+G139+I139+K139+M139+O139+Q139+S139+U139+W139+Y139+AA139)*2)/24</f>
        <v>-94757.846250000017</v>
      </c>
      <c r="AF139" s="386">
        <f t="shared" si="6"/>
        <v>-37272.8125</v>
      </c>
    </row>
    <row r="140" spans="1:32">
      <c r="A140" s="380">
        <v>131</v>
      </c>
      <c r="C140" s="14" t="s">
        <v>913</v>
      </c>
      <c r="D140" s="14" t="s">
        <v>885</v>
      </c>
      <c r="E140" s="386">
        <v>0</v>
      </c>
      <c r="F140" s="386">
        <v>-12105.03</v>
      </c>
      <c r="G140" s="386">
        <v>0</v>
      </c>
      <c r="H140" s="386">
        <v>-12105.03</v>
      </c>
      <c r="I140" s="386">
        <v>0</v>
      </c>
      <c r="J140" s="386">
        <v>-12105.03</v>
      </c>
      <c r="K140" s="386">
        <v>0</v>
      </c>
      <c r="L140" s="386">
        <v>-12105.03</v>
      </c>
      <c r="M140" s="386">
        <v>0</v>
      </c>
      <c r="N140" s="386">
        <v>-12105.03</v>
      </c>
      <c r="O140" s="386">
        <v>0</v>
      </c>
      <c r="P140" s="386">
        <v>-12105.03</v>
      </c>
      <c r="Q140" s="386">
        <v>0</v>
      </c>
      <c r="R140" s="386">
        <v>-12105.03</v>
      </c>
      <c r="S140" s="386">
        <v>0</v>
      </c>
      <c r="T140" s="386">
        <v>-12105.03</v>
      </c>
      <c r="U140" s="386">
        <v>0</v>
      </c>
      <c r="V140" s="386">
        <v>-12105.03</v>
      </c>
      <c r="W140" s="386">
        <v>0</v>
      </c>
      <c r="X140" s="386">
        <v>-12105.03</v>
      </c>
      <c r="Y140" s="386">
        <v>0</v>
      </c>
      <c r="Z140" s="386">
        <v>-12105.03</v>
      </c>
      <c r="AA140" s="386">
        <v>0</v>
      </c>
      <c r="AB140" s="386">
        <v>-12105.03</v>
      </c>
      <c r="AC140" s="386">
        <v>0</v>
      </c>
      <c r="AD140" s="386">
        <v>1.0000000000005116E-2</v>
      </c>
      <c r="AE140" s="386">
        <f t="shared" si="6"/>
        <v>0</v>
      </c>
      <c r="AF140" s="386">
        <f t="shared" si="6"/>
        <v>-11600.653333333335</v>
      </c>
    </row>
    <row r="141" spans="1:32">
      <c r="A141" s="380">
        <v>132</v>
      </c>
      <c r="C141" s="14" t="s">
        <v>914</v>
      </c>
      <c r="D141" s="14" t="s">
        <v>885</v>
      </c>
      <c r="E141" s="386">
        <v>20451.79</v>
      </c>
      <c r="F141" s="386">
        <v>5127.5300000000007</v>
      </c>
      <c r="G141" s="386">
        <v>20451.79</v>
      </c>
      <c r="H141" s="386">
        <v>5287.22</v>
      </c>
      <c r="I141" s="386">
        <v>20451.79</v>
      </c>
      <c r="J141" s="386">
        <v>5446.91</v>
      </c>
      <c r="K141" s="386">
        <v>20451.79</v>
      </c>
      <c r="L141" s="386">
        <v>5606.6</v>
      </c>
      <c r="M141" s="386">
        <v>20451.79</v>
      </c>
      <c r="N141" s="386">
        <v>5766.29</v>
      </c>
      <c r="O141" s="386">
        <v>20451.79</v>
      </c>
      <c r="P141" s="386">
        <v>5925.98</v>
      </c>
      <c r="Q141" s="386">
        <v>19861.97</v>
      </c>
      <c r="R141" s="386">
        <v>6085.67</v>
      </c>
      <c r="S141" s="386">
        <v>19861.97</v>
      </c>
      <c r="T141" s="386">
        <v>6240.76</v>
      </c>
      <c r="U141" s="386">
        <v>19861.97</v>
      </c>
      <c r="V141" s="386">
        <v>6395.8499999999995</v>
      </c>
      <c r="W141" s="386">
        <v>19861.97</v>
      </c>
      <c r="X141" s="386">
        <v>6550.9400000000005</v>
      </c>
      <c r="Y141" s="386">
        <v>19861.97</v>
      </c>
      <c r="Z141" s="386">
        <v>6706.0300000000007</v>
      </c>
      <c r="AA141" s="386">
        <v>19861.97</v>
      </c>
      <c r="AB141" s="386">
        <v>6861.1200000000008</v>
      </c>
      <c r="AC141" s="386">
        <v>19861.97</v>
      </c>
      <c r="AD141" s="386">
        <v>7016.21</v>
      </c>
      <c r="AE141" s="386">
        <f t="shared" si="6"/>
        <v>20132.304166666669</v>
      </c>
      <c r="AF141" s="386">
        <f t="shared" si="6"/>
        <v>6078.7699999999995</v>
      </c>
    </row>
    <row r="142" spans="1:32">
      <c r="A142" s="380">
        <v>133</v>
      </c>
      <c r="C142" s="14" t="s">
        <v>915</v>
      </c>
      <c r="D142" s="14" t="s">
        <v>885</v>
      </c>
      <c r="E142" s="386">
        <v>755929.80999999994</v>
      </c>
      <c r="F142" s="386">
        <v>661285.87</v>
      </c>
      <c r="G142" s="386">
        <v>755929.81</v>
      </c>
      <c r="H142" s="386">
        <v>661367.76</v>
      </c>
      <c r="I142" s="386">
        <v>755929.81</v>
      </c>
      <c r="J142" s="386">
        <v>661449.65</v>
      </c>
      <c r="K142" s="386">
        <v>755929.81</v>
      </c>
      <c r="L142" s="386">
        <v>661531.54</v>
      </c>
      <c r="M142" s="386">
        <v>755929.81</v>
      </c>
      <c r="N142" s="386">
        <v>661613.42999999993</v>
      </c>
      <c r="O142" s="386">
        <v>755929.81</v>
      </c>
      <c r="P142" s="386">
        <v>661695.31999999995</v>
      </c>
      <c r="Q142" s="386">
        <v>755929.81</v>
      </c>
      <c r="R142" s="386">
        <v>661777.21</v>
      </c>
      <c r="S142" s="386">
        <v>755929.81</v>
      </c>
      <c r="T142" s="386">
        <v>661859.1</v>
      </c>
      <c r="U142" s="386">
        <v>755929.81</v>
      </c>
      <c r="V142" s="386">
        <v>661940.99</v>
      </c>
      <c r="W142" s="386">
        <v>755929.81</v>
      </c>
      <c r="X142" s="386">
        <v>662022.88</v>
      </c>
      <c r="Y142" s="386">
        <v>755929.81</v>
      </c>
      <c r="Z142" s="386">
        <v>662104.77</v>
      </c>
      <c r="AA142" s="386">
        <v>755929.81</v>
      </c>
      <c r="AB142" s="386">
        <v>662186.66</v>
      </c>
      <c r="AC142" s="386">
        <v>1168410.55</v>
      </c>
      <c r="AD142" s="386">
        <v>662268.55000000005</v>
      </c>
      <c r="AE142" s="386">
        <f t="shared" si="6"/>
        <v>773116.50750000018</v>
      </c>
      <c r="AF142" s="386">
        <f t="shared" si="6"/>
        <v>661777.21000000008</v>
      </c>
    </row>
    <row r="143" spans="1:32">
      <c r="A143" s="380">
        <v>134</v>
      </c>
      <c r="C143" s="14" t="s">
        <v>916</v>
      </c>
      <c r="D143" s="14" t="s">
        <v>885</v>
      </c>
      <c r="E143" s="386">
        <v>134305.54</v>
      </c>
      <c r="F143" s="386">
        <v>-34004.65</v>
      </c>
      <c r="G143" s="386">
        <v>134305.54</v>
      </c>
      <c r="H143" s="386">
        <v>-32977.21</v>
      </c>
      <c r="I143" s="386">
        <v>134305.54</v>
      </c>
      <c r="J143" s="386">
        <v>-31949.770000000004</v>
      </c>
      <c r="K143" s="386">
        <v>134305.54</v>
      </c>
      <c r="L143" s="386">
        <v>-30922.33</v>
      </c>
      <c r="M143" s="386">
        <v>134305.54</v>
      </c>
      <c r="N143" s="386">
        <v>-29894.890000000003</v>
      </c>
      <c r="O143" s="386">
        <v>134305.54</v>
      </c>
      <c r="P143" s="386">
        <v>-28867.45</v>
      </c>
      <c r="Q143" s="386">
        <v>134305.54</v>
      </c>
      <c r="R143" s="386">
        <v>-27840.01</v>
      </c>
      <c r="S143" s="386">
        <v>134305.54</v>
      </c>
      <c r="T143" s="386">
        <v>-26812.57</v>
      </c>
      <c r="U143" s="386">
        <v>134305.54</v>
      </c>
      <c r="V143" s="386">
        <v>-25785.129999999997</v>
      </c>
      <c r="W143" s="386">
        <v>134305.54</v>
      </c>
      <c r="X143" s="386">
        <v>-24757.690000000002</v>
      </c>
      <c r="Y143" s="386">
        <v>134305.54</v>
      </c>
      <c r="Z143" s="386">
        <v>-23730.25</v>
      </c>
      <c r="AA143" s="386">
        <v>134305.54</v>
      </c>
      <c r="AB143" s="386">
        <v>-22702.81</v>
      </c>
      <c r="AC143" s="386">
        <v>134305.54</v>
      </c>
      <c r="AD143" s="386">
        <v>-21675.370000000003</v>
      </c>
      <c r="AE143" s="386">
        <f t="shared" si="6"/>
        <v>134305.54</v>
      </c>
      <c r="AF143" s="386">
        <f t="shared" si="6"/>
        <v>-27840.010000000006</v>
      </c>
    </row>
    <row r="144" spans="1:32">
      <c r="A144" s="380">
        <v>135</v>
      </c>
      <c r="C144" s="14" t="s">
        <v>917</v>
      </c>
      <c r="D144" s="14" t="s">
        <v>885</v>
      </c>
      <c r="E144" s="386">
        <v>59484.53</v>
      </c>
      <c r="F144" s="386">
        <v>18006.25</v>
      </c>
      <c r="G144" s="386">
        <v>59484.530000000006</v>
      </c>
      <c r="H144" s="386">
        <v>18527.240000000002</v>
      </c>
      <c r="I144" s="386">
        <v>59484.530000000006</v>
      </c>
      <c r="J144" s="386">
        <v>19048.23</v>
      </c>
      <c r="K144" s="386">
        <v>59484.530000000006</v>
      </c>
      <c r="L144" s="386">
        <v>19569.22</v>
      </c>
      <c r="M144" s="386">
        <v>59484.530000000006</v>
      </c>
      <c r="N144" s="386">
        <v>20090.21</v>
      </c>
      <c r="O144" s="386">
        <v>59484.530000000006</v>
      </c>
      <c r="P144" s="386">
        <v>20611.2</v>
      </c>
      <c r="Q144" s="386">
        <v>59484.530000000006</v>
      </c>
      <c r="R144" s="386">
        <v>21132.190000000002</v>
      </c>
      <c r="S144" s="386">
        <v>59484.530000000006</v>
      </c>
      <c r="T144" s="386">
        <v>21653.18</v>
      </c>
      <c r="U144" s="386">
        <v>59484.530000000006</v>
      </c>
      <c r="V144" s="386">
        <v>22174.170000000002</v>
      </c>
      <c r="W144" s="386">
        <v>59484.530000000006</v>
      </c>
      <c r="X144" s="386">
        <v>22695.16</v>
      </c>
      <c r="Y144" s="386">
        <v>59484.530000000006</v>
      </c>
      <c r="Z144" s="386">
        <v>23216.15</v>
      </c>
      <c r="AA144" s="386">
        <v>59484.530000000006</v>
      </c>
      <c r="AB144" s="386">
        <v>23737.14</v>
      </c>
      <c r="AC144" s="386">
        <v>59484.530000000006</v>
      </c>
      <c r="AD144" s="386">
        <v>24258.129999999997</v>
      </c>
      <c r="AE144" s="386">
        <f t="shared" si="6"/>
        <v>59484.530000000021</v>
      </c>
      <c r="AF144" s="386">
        <f t="shared" si="6"/>
        <v>21132.190000000002</v>
      </c>
    </row>
    <row r="145" spans="1:32">
      <c r="A145" s="380">
        <v>136</v>
      </c>
      <c r="C145" s="14" t="s">
        <v>918</v>
      </c>
      <c r="D145" s="14" t="s">
        <v>885</v>
      </c>
      <c r="E145" s="386">
        <v>17021371.539999999</v>
      </c>
      <c r="F145" s="386">
        <v>-4862761.5600000005</v>
      </c>
      <c r="G145" s="386">
        <v>17412554.27</v>
      </c>
      <c r="H145" s="386">
        <v>-4765377.12</v>
      </c>
      <c r="I145" s="386">
        <v>17672094.510000002</v>
      </c>
      <c r="J145" s="386">
        <v>-4656210.95</v>
      </c>
      <c r="K145" s="386">
        <v>18683811.460000001</v>
      </c>
      <c r="L145" s="386">
        <v>-4554812.99</v>
      </c>
      <c r="M145" s="386">
        <v>20220243.52</v>
      </c>
      <c r="N145" s="386">
        <v>-4250271.2699999996</v>
      </c>
      <c r="O145" s="386">
        <v>20744219.199999999</v>
      </c>
      <c r="P145" s="386">
        <v>-4134519.9699999997</v>
      </c>
      <c r="Q145" s="386">
        <v>21913827.629999999</v>
      </c>
      <c r="R145" s="386">
        <v>-4016222.31</v>
      </c>
      <c r="S145" s="386">
        <v>22160868.489999998</v>
      </c>
      <c r="T145" s="386">
        <v>-7188191.3700000001</v>
      </c>
      <c r="U145" s="386">
        <v>22823927.759999998</v>
      </c>
      <c r="V145" s="386">
        <v>-7061413.1799999997</v>
      </c>
      <c r="W145" s="386">
        <v>23098590.809999999</v>
      </c>
      <c r="X145" s="386">
        <v>-6930365.79</v>
      </c>
      <c r="Y145" s="386">
        <v>23580421.120000001</v>
      </c>
      <c r="Z145" s="386">
        <v>-6798365.2600000007</v>
      </c>
      <c r="AA145" s="386">
        <v>23884955.82</v>
      </c>
      <c r="AB145" s="386">
        <v>-6663829.2800000003</v>
      </c>
      <c r="AC145" s="386">
        <v>21564736.030000001</v>
      </c>
      <c r="AD145" s="386">
        <v>-7585645.2999999998</v>
      </c>
      <c r="AE145" s="386">
        <f t="shared" si="6"/>
        <v>20957380.697916668</v>
      </c>
      <c r="AF145" s="386">
        <f t="shared" si="6"/>
        <v>-5603648.5766666653</v>
      </c>
    </row>
    <row r="146" spans="1:32">
      <c r="A146" s="380">
        <v>137</v>
      </c>
      <c r="C146" s="14" t="s">
        <v>919</v>
      </c>
      <c r="D146" s="14" t="s">
        <v>885</v>
      </c>
      <c r="E146" s="386">
        <v>47999110.489999995</v>
      </c>
      <c r="F146" s="386">
        <v>13548823.51</v>
      </c>
      <c r="G146" s="386">
        <v>48009282.969999999</v>
      </c>
      <c r="H146" s="386">
        <v>13474287.790000001</v>
      </c>
      <c r="I146" s="386">
        <v>48089973.710000001</v>
      </c>
      <c r="J146" s="386">
        <v>13437449.34</v>
      </c>
      <c r="K146" s="386">
        <v>48071645.740000002</v>
      </c>
      <c r="L146" s="386">
        <v>13436451.07</v>
      </c>
      <c r="M146" s="386">
        <v>46600891.990000002</v>
      </c>
      <c r="N146" s="386">
        <v>12994044.439999999</v>
      </c>
      <c r="O146" s="386">
        <v>46481176.849999994</v>
      </c>
      <c r="P146" s="386">
        <v>12910434.1</v>
      </c>
      <c r="Q146" s="386">
        <v>46438987.949999996</v>
      </c>
      <c r="R146" s="386">
        <v>12858897.640000001</v>
      </c>
      <c r="S146" s="386">
        <v>43339141.289999999</v>
      </c>
      <c r="T146" s="386">
        <v>11874761.520000001</v>
      </c>
      <c r="U146" s="386">
        <v>43721819.159999996</v>
      </c>
      <c r="V146" s="386">
        <v>11856747.109999999</v>
      </c>
      <c r="W146" s="386">
        <v>43804745.420000002</v>
      </c>
      <c r="X146" s="386">
        <v>11939454.220000001</v>
      </c>
      <c r="Y146" s="386">
        <v>44252641.890000001</v>
      </c>
      <c r="Z146" s="386">
        <v>11918561.15</v>
      </c>
      <c r="AA146" s="386">
        <v>44159593.710000001</v>
      </c>
      <c r="AB146" s="386">
        <v>11831499.850000001</v>
      </c>
      <c r="AC146" s="386">
        <v>43437209.129999995</v>
      </c>
      <c r="AD146" s="386">
        <v>11331238.5</v>
      </c>
      <c r="AE146" s="386">
        <f t="shared" si="6"/>
        <v>45724005.040833332</v>
      </c>
      <c r="AF146" s="386">
        <f t="shared" si="6"/>
        <v>12581051.602916665</v>
      </c>
    </row>
    <row r="147" spans="1:32">
      <c r="A147" s="380">
        <v>138</v>
      </c>
      <c r="C147" s="14" t="s">
        <v>920</v>
      </c>
      <c r="D147" s="14" t="s">
        <v>885</v>
      </c>
      <c r="E147" s="386">
        <v>11160435.100000001</v>
      </c>
      <c r="F147" s="386">
        <v>3817599.66</v>
      </c>
      <c r="G147" s="386">
        <v>11147001.08</v>
      </c>
      <c r="H147" s="386">
        <v>3784245.81</v>
      </c>
      <c r="I147" s="386">
        <v>11166514.960000001</v>
      </c>
      <c r="J147" s="386">
        <v>3768799.29</v>
      </c>
      <c r="K147" s="386">
        <v>11197446</v>
      </c>
      <c r="L147" s="386">
        <v>3764153.41</v>
      </c>
      <c r="M147" s="386">
        <v>11194610.42</v>
      </c>
      <c r="N147" s="386">
        <v>3758857.4299999997</v>
      </c>
      <c r="O147" s="386">
        <v>11200511.59</v>
      </c>
      <c r="P147" s="386">
        <v>3729989</v>
      </c>
      <c r="Q147" s="386">
        <v>11198864.199999999</v>
      </c>
      <c r="R147" s="386">
        <v>3712882.8200000003</v>
      </c>
      <c r="S147" s="386">
        <v>11244447.940000001</v>
      </c>
      <c r="T147" s="386">
        <v>3706207.75</v>
      </c>
      <c r="U147" s="386">
        <v>11329959.15</v>
      </c>
      <c r="V147" s="386">
        <v>3702227.91</v>
      </c>
      <c r="W147" s="386">
        <v>11395118.559999999</v>
      </c>
      <c r="X147" s="386">
        <v>3724132.5</v>
      </c>
      <c r="Y147" s="386">
        <v>11443243.83</v>
      </c>
      <c r="Z147" s="386">
        <v>3722911.8699999996</v>
      </c>
      <c r="AA147" s="386">
        <v>11489303.620000001</v>
      </c>
      <c r="AB147" s="386">
        <v>3685039.1999999997</v>
      </c>
      <c r="AC147" s="386">
        <v>11519764.66</v>
      </c>
      <c r="AD147" s="386">
        <v>3690670.4400000004</v>
      </c>
      <c r="AE147" s="386">
        <f t="shared" si="6"/>
        <v>11278926.769166669</v>
      </c>
      <c r="AF147" s="386">
        <f t="shared" si="6"/>
        <v>3734465.17</v>
      </c>
    </row>
    <row r="148" spans="1:32" ht="16.2">
      <c r="A148" s="380">
        <v>139</v>
      </c>
      <c r="B148" s="387" t="s">
        <v>881</v>
      </c>
      <c r="C148" s="388"/>
      <c r="D148" s="387" t="s">
        <v>921</v>
      </c>
      <c r="E148" s="389">
        <f t="shared" ref="E148:AF148" si="7">SUM(E94:E147)</f>
        <v>134383391.37</v>
      </c>
      <c r="F148" s="389">
        <f t="shared" si="7"/>
        <v>42166042.000000015</v>
      </c>
      <c r="G148" s="389">
        <f t="shared" si="7"/>
        <v>134719534.23000002</v>
      </c>
      <c r="H148" s="389">
        <f t="shared" si="7"/>
        <v>42438843.960000016</v>
      </c>
      <c r="I148" s="389">
        <f t="shared" si="7"/>
        <v>135087471.58000001</v>
      </c>
      <c r="J148" s="389">
        <f t="shared" si="7"/>
        <v>42846116.970000006</v>
      </c>
      <c r="K148" s="389">
        <f t="shared" si="7"/>
        <v>135982515.55000001</v>
      </c>
      <c r="L148" s="389">
        <f t="shared" si="7"/>
        <v>43130080.810000002</v>
      </c>
      <c r="M148" s="389">
        <f t="shared" si="7"/>
        <v>136140201.81999999</v>
      </c>
      <c r="N148" s="389">
        <f t="shared" si="7"/>
        <v>43314657.590000004</v>
      </c>
      <c r="O148" s="389">
        <f t="shared" si="7"/>
        <v>136621408.73999998</v>
      </c>
      <c r="P148" s="389">
        <f t="shared" si="7"/>
        <v>43656049.939999998</v>
      </c>
      <c r="Q148" s="389">
        <f t="shared" si="7"/>
        <v>137756040.33999997</v>
      </c>
      <c r="R148" s="389">
        <f t="shared" si="7"/>
        <v>44054576.300000004</v>
      </c>
      <c r="S148" s="389">
        <f t="shared" si="7"/>
        <v>134966712.62</v>
      </c>
      <c r="T148" s="389">
        <f t="shared" si="7"/>
        <v>40240929.200000003</v>
      </c>
      <c r="U148" s="389">
        <f t="shared" si="7"/>
        <v>136228936.41</v>
      </c>
      <c r="V148" s="389">
        <f t="shared" si="7"/>
        <v>40694995.439999998</v>
      </c>
      <c r="W148" s="389">
        <f t="shared" si="7"/>
        <v>137280502.25999999</v>
      </c>
      <c r="X148" s="389">
        <f t="shared" si="7"/>
        <v>41253544.970000006</v>
      </c>
      <c r="Y148" s="389">
        <f t="shared" si="7"/>
        <v>138400175.55000001</v>
      </c>
      <c r="Z148" s="389">
        <f t="shared" si="7"/>
        <v>41708111.350000001</v>
      </c>
      <c r="AA148" s="389">
        <f t="shared" si="7"/>
        <v>138777723.23000002</v>
      </c>
      <c r="AB148" s="389">
        <f t="shared" si="7"/>
        <v>42019372.900000013</v>
      </c>
      <c r="AC148" s="389">
        <f t="shared" si="7"/>
        <v>137725802.91999999</v>
      </c>
      <c r="AD148" s="389">
        <f t="shared" si="7"/>
        <v>40957731.18</v>
      </c>
      <c r="AE148" s="389">
        <f t="shared" si="7"/>
        <v>136501318.28958336</v>
      </c>
      <c r="AF148" s="389">
        <f t="shared" si="7"/>
        <v>42243263.835000008</v>
      </c>
    </row>
    <row r="149" spans="1:32" ht="16.2">
      <c r="A149" s="380">
        <v>140</v>
      </c>
      <c r="B149" s="1927" t="s">
        <v>922</v>
      </c>
      <c r="C149" s="1927"/>
      <c r="D149" s="390"/>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1"/>
    </row>
    <row r="150" spans="1:32">
      <c r="A150" s="380">
        <v>141</v>
      </c>
      <c r="C150" s="14" t="s">
        <v>923</v>
      </c>
      <c r="E150" s="386">
        <v>87719.71</v>
      </c>
      <c r="F150" s="386">
        <v>31955.280000000002</v>
      </c>
      <c r="G150" s="386">
        <v>87719.71</v>
      </c>
      <c r="H150" s="386">
        <v>32026.15</v>
      </c>
      <c r="I150" s="386">
        <v>87719.71</v>
      </c>
      <c r="J150" s="386">
        <v>32097.010000000002</v>
      </c>
      <c r="K150" s="386">
        <v>87719.71</v>
      </c>
      <c r="L150" s="386">
        <v>32167.88</v>
      </c>
      <c r="M150" s="386">
        <v>87719.71</v>
      </c>
      <c r="N150" s="386">
        <v>32238.74</v>
      </c>
      <c r="O150" s="386">
        <v>87719.71</v>
      </c>
      <c r="P150" s="386">
        <v>32309.61</v>
      </c>
      <c r="Q150" s="386">
        <v>87719.71</v>
      </c>
      <c r="R150" s="386">
        <v>32380.47</v>
      </c>
      <c r="S150" s="386">
        <v>87719.71</v>
      </c>
      <c r="T150" s="386">
        <v>32451.34</v>
      </c>
      <c r="U150" s="386">
        <v>87719.71</v>
      </c>
      <c r="V150" s="386">
        <v>32522.2</v>
      </c>
      <c r="W150" s="386">
        <v>87719.71</v>
      </c>
      <c r="X150" s="386">
        <v>32593.07</v>
      </c>
      <c r="Y150" s="386">
        <v>87719.71</v>
      </c>
      <c r="Z150" s="386">
        <v>32663.93</v>
      </c>
      <c r="AA150" s="386">
        <v>87719.71</v>
      </c>
      <c r="AB150" s="386">
        <v>32734.799999999999</v>
      </c>
      <c r="AC150" s="386">
        <v>86636.74</v>
      </c>
      <c r="AD150" s="386">
        <v>32361.68</v>
      </c>
      <c r="AE150" s="386">
        <f t="shared" ref="AE150:AF152" si="8">+(E150+AC150+(+G150+I150+K150+M150+O150+Q150+S150+U150+W150+Y150+AA150)*2)/24</f>
        <v>87674.586249999993</v>
      </c>
      <c r="AF150" s="386">
        <f t="shared" si="8"/>
        <v>32361.973333333332</v>
      </c>
    </row>
    <row r="151" spans="1:32">
      <c r="A151" s="380">
        <v>142</v>
      </c>
      <c r="C151" s="14" t="s">
        <v>924</v>
      </c>
      <c r="E151" s="386">
        <v>0</v>
      </c>
      <c r="F151" s="386">
        <v>0</v>
      </c>
      <c r="G151" s="386">
        <v>0</v>
      </c>
      <c r="H151" s="386">
        <v>0</v>
      </c>
      <c r="I151" s="386">
        <v>0</v>
      </c>
      <c r="J151" s="386">
        <v>0</v>
      </c>
      <c r="K151" s="386">
        <v>0</v>
      </c>
      <c r="L151" s="386">
        <v>0</v>
      </c>
      <c r="M151" s="386">
        <v>0</v>
      </c>
      <c r="N151" s="386">
        <v>0</v>
      </c>
      <c r="O151" s="386">
        <v>0</v>
      </c>
      <c r="P151" s="386">
        <v>0</v>
      </c>
      <c r="Q151" s="386">
        <v>0</v>
      </c>
      <c r="R151" s="386">
        <v>0</v>
      </c>
      <c r="S151" s="386">
        <v>0</v>
      </c>
      <c r="T151" s="386">
        <v>0</v>
      </c>
      <c r="U151" s="386">
        <v>0</v>
      </c>
      <c r="V151" s="386">
        <v>0</v>
      </c>
      <c r="W151" s="386">
        <v>0</v>
      </c>
      <c r="X151" s="386">
        <v>0</v>
      </c>
      <c r="Y151" s="386">
        <v>0</v>
      </c>
      <c r="Z151" s="386">
        <v>0</v>
      </c>
      <c r="AA151" s="386">
        <v>0</v>
      </c>
      <c r="AB151" s="386">
        <v>0</v>
      </c>
      <c r="AC151" s="386">
        <v>0</v>
      </c>
      <c r="AD151" s="386">
        <v>0</v>
      </c>
      <c r="AE151" s="386">
        <f t="shared" si="8"/>
        <v>0</v>
      </c>
      <c r="AF151" s="386">
        <f t="shared" si="8"/>
        <v>0</v>
      </c>
    </row>
    <row r="152" spans="1:32">
      <c r="A152" s="380">
        <v>143</v>
      </c>
      <c r="C152" s="14" t="s">
        <v>925</v>
      </c>
      <c r="E152" s="386">
        <v>22097038.48</v>
      </c>
      <c r="F152" s="386">
        <v>4372545.04</v>
      </c>
      <c r="G152" s="386">
        <v>22097038.48</v>
      </c>
      <c r="H152" s="386">
        <v>4398067.97</v>
      </c>
      <c r="I152" s="386">
        <v>22097038.48</v>
      </c>
      <c r="J152" s="386">
        <v>4423590.9000000004</v>
      </c>
      <c r="K152" s="386">
        <v>22097038.48</v>
      </c>
      <c r="L152" s="386">
        <v>4449113.83</v>
      </c>
      <c r="M152" s="386">
        <v>22097038.48</v>
      </c>
      <c r="N152" s="386">
        <v>4474636.7699999996</v>
      </c>
      <c r="O152" s="386">
        <v>22097038.48</v>
      </c>
      <c r="P152" s="386">
        <v>4500159.7</v>
      </c>
      <c r="Q152" s="386">
        <v>22097038.48</v>
      </c>
      <c r="R152" s="386">
        <v>4525682.63</v>
      </c>
      <c r="S152" s="386">
        <v>22097038.48</v>
      </c>
      <c r="T152" s="386">
        <v>4551205.54</v>
      </c>
      <c r="U152" s="386">
        <v>22097038.48</v>
      </c>
      <c r="V152" s="386">
        <v>4576728.4800000004</v>
      </c>
      <c r="W152" s="386">
        <v>22097038.48</v>
      </c>
      <c r="X152" s="386">
        <v>4602251.42</v>
      </c>
      <c r="Y152" s="386">
        <v>22097038.48</v>
      </c>
      <c r="Z152" s="386">
        <v>4627774.33</v>
      </c>
      <c r="AA152" s="386">
        <v>22097038.48</v>
      </c>
      <c r="AB152" s="386">
        <v>4653297.25</v>
      </c>
      <c r="AC152" s="386">
        <v>26251194.289999999</v>
      </c>
      <c r="AD152" s="386">
        <v>4656844.2300000004</v>
      </c>
      <c r="AE152" s="386">
        <f t="shared" si="8"/>
        <v>22270128.305416662</v>
      </c>
      <c r="AF152" s="386">
        <f t="shared" si="8"/>
        <v>4524766.9545833329</v>
      </c>
    </row>
    <row r="153" spans="1:32" ht="16.2">
      <c r="A153" s="380">
        <v>144</v>
      </c>
      <c r="B153" s="1928" t="s">
        <v>922</v>
      </c>
      <c r="C153" s="1928"/>
      <c r="D153" s="387"/>
      <c r="E153" s="389">
        <f>SUM(E150:E152)</f>
        <v>22184758.190000001</v>
      </c>
      <c r="F153" s="389">
        <f t="shared" ref="F153:AF153" si="9">SUM(F150:F152)</f>
        <v>4404500.32</v>
      </c>
      <c r="G153" s="389">
        <f t="shared" si="9"/>
        <v>22184758.190000001</v>
      </c>
      <c r="H153" s="389">
        <f t="shared" si="9"/>
        <v>4430094.12</v>
      </c>
      <c r="I153" s="389">
        <f t="shared" si="9"/>
        <v>22184758.190000001</v>
      </c>
      <c r="J153" s="389">
        <f t="shared" si="9"/>
        <v>4455687.91</v>
      </c>
      <c r="K153" s="389">
        <f t="shared" si="9"/>
        <v>22184758.190000001</v>
      </c>
      <c r="L153" s="389">
        <f t="shared" si="9"/>
        <v>4481281.71</v>
      </c>
      <c r="M153" s="389">
        <f t="shared" si="9"/>
        <v>22184758.190000001</v>
      </c>
      <c r="N153" s="389">
        <f t="shared" si="9"/>
        <v>4506875.51</v>
      </c>
      <c r="O153" s="389">
        <f t="shared" si="9"/>
        <v>22184758.190000001</v>
      </c>
      <c r="P153" s="389">
        <f t="shared" si="9"/>
        <v>4532469.3100000005</v>
      </c>
      <c r="Q153" s="389">
        <f t="shared" si="9"/>
        <v>22184758.190000001</v>
      </c>
      <c r="R153" s="389">
        <f t="shared" si="9"/>
        <v>4558063.0999999996</v>
      </c>
      <c r="S153" s="389">
        <f t="shared" si="9"/>
        <v>22184758.190000001</v>
      </c>
      <c r="T153" s="389">
        <f t="shared" si="9"/>
        <v>4583656.88</v>
      </c>
      <c r="U153" s="389">
        <f t="shared" si="9"/>
        <v>22184758.190000001</v>
      </c>
      <c r="V153" s="389">
        <f t="shared" si="9"/>
        <v>4609250.6800000006</v>
      </c>
      <c r="W153" s="389">
        <f t="shared" si="9"/>
        <v>22184758.190000001</v>
      </c>
      <c r="X153" s="389">
        <f t="shared" si="9"/>
        <v>4634844.49</v>
      </c>
      <c r="Y153" s="389">
        <f t="shared" si="9"/>
        <v>22184758.190000001</v>
      </c>
      <c r="Z153" s="389">
        <f t="shared" si="9"/>
        <v>4660438.26</v>
      </c>
      <c r="AA153" s="389">
        <f t="shared" si="9"/>
        <v>22184758.190000001</v>
      </c>
      <c r="AB153" s="389">
        <f t="shared" si="9"/>
        <v>4686032.05</v>
      </c>
      <c r="AC153" s="389">
        <f t="shared" si="9"/>
        <v>26337831.029999997</v>
      </c>
      <c r="AD153" s="389">
        <f t="shared" si="9"/>
        <v>4689205.91</v>
      </c>
      <c r="AE153" s="389">
        <f t="shared" si="9"/>
        <v>22357802.891666662</v>
      </c>
      <c r="AF153" s="389">
        <f t="shared" si="9"/>
        <v>4557128.9279166665</v>
      </c>
    </row>
    <row r="154" spans="1:32">
      <c r="A154" s="380">
        <v>145</v>
      </c>
    </row>
    <row r="155" spans="1:32" ht="16.8" thickBot="1">
      <c r="A155" s="380">
        <v>146</v>
      </c>
      <c r="B155" s="392"/>
      <c r="C155" s="393" t="s">
        <v>926</v>
      </c>
      <c r="D155" s="392"/>
      <c r="E155" s="144">
        <f t="shared" ref="E155:AF155" si="10">SUM(E153,E148,E92,E47)</f>
        <v>1077226743.8999999</v>
      </c>
      <c r="F155" s="144">
        <f t="shared" si="10"/>
        <v>490935882.09999996</v>
      </c>
      <c r="G155" s="144">
        <f t="shared" si="10"/>
        <v>1081560217.4599998</v>
      </c>
      <c r="H155" s="144">
        <f t="shared" si="10"/>
        <v>493107419.64999986</v>
      </c>
      <c r="I155" s="144">
        <f t="shared" si="10"/>
        <v>1083611349.3599997</v>
      </c>
      <c r="J155" s="144">
        <f t="shared" si="10"/>
        <v>495107405.38999999</v>
      </c>
      <c r="K155" s="144">
        <f t="shared" si="10"/>
        <v>1087256406.2399998</v>
      </c>
      <c r="L155" s="144">
        <f t="shared" si="10"/>
        <v>497302605.19999993</v>
      </c>
      <c r="M155" s="144">
        <f t="shared" si="10"/>
        <v>1092877865.8399997</v>
      </c>
      <c r="N155" s="144">
        <f t="shared" si="10"/>
        <v>499612533.12000006</v>
      </c>
      <c r="O155" s="144">
        <f t="shared" si="10"/>
        <v>1097878956.9999995</v>
      </c>
      <c r="P155" s="144">
        <f t="shared" si="10"/>
        <v>501747734.64999998</v>
      </c>
      <c r="Q155" s="144">
        <f t="shared" si="10"/>
        <v>1105057401.5999997</v>
      </c>
      <c r="R155" s="144">
        <f t="shared" si="10"/>
        <v>504191621.81000006</v>
      </c>
      <c r="S155" s="144">
        <f t="shared" si="10"/>
        <v>1105475242.7299998</v>
      </c>
      <c r="T155" s="144">
        <f t="shared" si="10"/>
        <v>502359336.15000004</v>
      </c>
      <c r="U155" s="144">
        <f t="shared" si="10"/>
        <v>1109924586.79</v>
      </c>
      <c r="V155" s="144">
        <f t="shared" si="10"/>
        <v>504900056.22000003</v>
      </c>
      <c r="W155" s="144">
        <f t="shared" si="10"/>
        <v>1116902344.1899998</v>
      </c>
      <c r="X155" s="144">
        <f t="shared" si="10"/>
        <v>507268162.17000008</v>
      </c>
      <c r="Y155" s="144">
        <f t="shared" si="10"/>
        <v>1126455397.8599997</v>
      </c>
      <c r="Z155" s="144">
        <f t="shared" si="10"/>
        <v>509790469.87999988</v>
      </c>
      <c r="AA155" s="144">
        <f t="shared" si="10"/>
        <v>1132468897.4099996</v>
      </c>
      <c r="AB155" s="144">
        <f t="shared" si="10"/>
        <v>511853411.42999995</v>
      </c>
      <c r="AC155" s="144">
        <f t="shared" si="10"/>
        <v>1148216101.98</v>
      </c>
      <c r="AD155" s="144">
        <f t="shared" si="10"/>
        <v>512376596.41999996</v>
      </c>
      <c r="AE155" s="144">
        <f t="shared" si="10"/>
        <v>1104349174.1183331</v>
      </c>
      <c r="AF155" s="144">
        <f t="shared" si="10"/>
        <v>502408082.9108333</v>
      </c>
    </row>
    <row r="156" spans="1:32" ht="16.2" thickTop="1">
      <c r="A156" s="380">
        <v>147</v>
      </c>
      <c r="F156" s="365"/>
      <c r="H156" s="365"/>
      <c r="J156" s="365"/>
      <c r="L156" s="365"/>
      <c r="N156" s="365"/>
      <c r="P156" s="365"/>
      <c r="R156" s="365"/>
      <c r="T156" s="365"/>
    </row>
    <row r="157" spans="1:32">
      <c r="A157" s="380">
        <v>148</v>
      </c>
      <c r="F157" s="365"/>
      <c r="H157" s="365"/>
      <c r="I157" s="365"/>
      <c r="J157" s="365"/>
      <c r="K157" s="365"/>
      <c r="L157" s="365"/>
      <c r="M157" s="365"/>
      <c r="N157" s="365"/>
      <c r="O157" s="365"/>
      <c r="P157" s="365"/>
      <c r="Q157" s="365"/>
      <c r="R157" s="365"/>
      <c r="S157" s="365"/>
      <c r="T157" s="365"/>
      <c r="X157" s="394"/>
      <c r="Y157" s="394"/>
      <c r="Z157" s="394"/>
      <c r="AC157" s="725"/>
      <c r="AD157" s="725"/>
      <c r="AE157" s="365"/>
    </row>
    <row r="158" spans="1:32" ht="30">
      <c r="A158" s="380">
        <v>149</v>
      </c>
      <c r="B158" s="395" t="s">
        <v>1071</v>
      </c>
      <c r="D158" s="396"/>
      <c r="X158" s="394"/>
      <c r="AA158" s="397"/>
      <c r="AB158" s="397"/>
      <c r="AC158" s="725"/>
      <c r="AD158" s="725"/>
      <c r="AE158" s="365"/>
      <c r="AF158" s="365"/>
    </row>
    <row r="159" spans="1:32">
      <c r="A159" s="380">
        <v>150</v>
      </c>
    </row>
    <row r="160" spans="1:32">
      <c r="A160" s="380">
        <v>151</v>
      </c>
      <c r="Q160" s="365"/>
    </row>
    <row r="161" spans="1:32">
      <c r="A161" s="380">
        <v>152</v>
      </c>
      <c r="D161" s="397" t="s">
        <v>927</v>
      </c>
      <c r="F161" s="365">
        <f>E92</f>
        <v>716908411.13999987</v>
      </c>
      <c r="H161" s="365">
        <f>G92</f>
        <v>719814865.54999983</v>
      </c>
      <c r="J161" s="365">
        <f>I92</f>
        <v>719822123.01999986</v>
      </c>
      <c r="L161" s="365">
        <f>K92</f>
        <v>721408629.44999981</v>
      </c>
      <c r="N161" s="365">
        <f>M92</f>
        <v>726009290.69999981</v>
      </c>
      <c r="P161" s="365">
        <f>O92</f>
        <v>729343349.84999967</v>
      </c>
      <c r="R161" s="365">
        <f>Q92</f>
        <v>732720558.29999971</v>
      </c>
      <c r="T161" s="365">
        <f>S92</f>
        <v>735226566.68999982</v>
      </c>
      <c r="V161" s="365">
        <f>U92</f>
        <v>737790044.5799998</v>
      </c>
      <c r="X161" s="365">
        <f>W92</f>
        <v>743022076.07999969</v>
      </c>
      <c r="Z161" s="365">
        <f>Y92</f>
        <v>748441437.37999976</v>
      </c>
      <c r="AB161" s="365">
        <f>AA92</f>
        <v>753183631.21999967</v>
      </c>
      <c r="AD161" s="365">
        <f>AC92</f>
        <v>764082473.55999994</v>
      </c>
    </row>
    <row r="162" spans="1:32">
      <c r="A162" s="380">
        <v>153</v>
      </c>
      <c r="D162" s="397" t="s">
        <v>928</v>
      </c>
      <c r="E162" s="232">
        <v>0.74850000000000005</v>
      </c>
      <c r="F162" s="365">
        <f>E162*SUM(E94:E144)</f>
        <v>43564551.96864</v>
      </c>
      <c r="G162" s="232">
        <f>+'State Allocation Formulas'!C21</f>
        <v>0.75170000000000003</v>
      </c>
      <c r="H162" s="365">
        <f>G162*SUM(G94:G144)</f>
        <v>43711878.115547001</v>
      </c>
      <c r="I162" s="232">
        <f>+G162</f>
        <v>0.75170000000000003</v>
      </c>
      <c r="J162" s="365">
        <f>I162*SUM(I94:I144)</f>
        <v>43718036.410280004</v>
      </c>
      <c r="K162" s="232">
        <f>+I162</f>
        <v>0.75170000000000003</v>
      </c>
      <c r="L162" s="365">
        <f>K162*SUM(K94:K144)</f>
        <v>43620859.603495002</v>
      </c>
      <c r="M162" s="232">
        <f>+K162</f>
        <v>0.75170000000000003</v>
      </c>
      <c r="N162" s="365">
        <f>M162*SUM(M94:M144)</f>
        <v>43692153.492513001</v>
      </c>
      <c r="O162" s="232">
        <f>+M162</f>
        <v>0.75170000000000003</v>
      </c>
      <c r="P162" s="365">
        <f>O162*SUM(O94:O144)</f>
        <v>43745558.176869996</v>
      </c>
      <c r="Q162" s="232">
        <f>+O162</f>
        <v>0.75170000000000003</v>
      </c>
      <c r="R162" s="365">
        <f>Q162*SUM(Q94:Q144)</f>
        <v>43752217.832952</v>
      </c>
      <c r="S162" s="232">
        <f>+Q162</f>
        <v>0.75170000000000003</v>
      </c>
      <c r="T162" s="365">
        <f>S162*SUM(S94:S144)</f>
        <v>43765669.008330002</v>
      </c>
      <c r="U162" s="232">
        <f>+S162</f>
        <v>0.75170000000000003</v>
      </c>
      <c r="V162" s="365">
        <f>U162*SUM(U94:U144)</f>
        <v>43864123.246578</v>
      </c>
      <c r="W162" s="232">
        <f>+U162</f>
        <v>0.75170000000000003</v>
      </c>
      <c r="X162" s="365">
        <f>W162*SUM(W94:W144)</f>
        <v>44336805.083198994</v>
      </c>
      <c r="Y162" s="232">
        <f>+W162</f>
        <v>0.75170000000000003</v>
      </c>
      <c r="Z162" s="365">
        <f>Y162*SUM(Y94:Y144)</f>
        <v>44443412.109306999</v>
      </c>
      <c r="AA162" s="232">
        <f>+Y162</f>
        <v>0.75170000000000003</v>
      </c>
      <c r="AB162" s="365">
        <f>AA162*SUM(AA94:AA144)</f>
        <v>44533617.139136001</v>
      </c>
      <c r="AC162" s="232">
        <f>+AA162</f>
        <v>0.75170000000000003</v>
      </c>
      <c r="AD162" s="365">
        <f>AC162*SUM(AC94:AC144)</f>
        <v>46007116.783269994</v>
      </c>
      <c r="AE162" s="365"/>
    </row>
    <row r="163" spans="1:32">
      <c r="A163" s="380">
        <v>154</v>
      </c>
      <c r="D163" s="397" t="s">
        <v>929</v>
      </c>
      <c r="E163" s="232">
        <v>0.74490000000000001</v>
      </c>
      <c r="F163" s="365">
        <f>SUM(E145:E147)*E163</f>
        <v>56747165.170136996</v>
      </c>
      <c r="G163" s="232">
        <f>+'State Allocation Formulas'!C16</f>
        <v>0.74299999999999999</v>
      </c>
      <c r="H163" s="365">
        <f>SUM(G145:G147)*G163</f>
        <v>56890646.871759996</v>
      </c>
      <c r="I163" s="232">
        <f>+G163</f>
        <v>0.74299999999999999</v>
      </c>
      <c r="J163" s="365">
        <f>SUM(I145:I147)*I163</f>
        <v>57157937.302740008</v>
      </c>
      <c r="K163" s="232">
        <f>+I163</f>
        <v>0.74299999999999999</v>
      </c>
      <c r="L163" s="365">
        <f>SUM(K145:K147)*K163</f>
        <v>57919007.077600002</v>
      </c>
      <c r="M163" s="232">
        <f>+K163</f>
        <v>0.74299999999999999</v>
      </c>
      <c r="N163" s="365">
        <f>SUM(M145:M147)*M163</f>
        <v>57965699.225990005</v>
      </c>
      <c r="O163" s="232">
        <f>+M163</f>
        <v>0.74299999999999999</v>
      </c>
      <c r="P163" s="365">
        <f>SUM(O145:O147)*O163</f>
        <v>58270449.37652</v>
      </c>
      <c r="Q163" s="232">
        <f>+O163</f>
        <v>0.74299999999999999</v>
      </c>
      <c r="R163" s="365">
        <f>SUM(Q145:Q147)*Q163</f>
        <v>59106898.076540001</v>
      </c>
      <c r="S163" s="232">
        <f>+Q163</f>
        <v>0.74299999999999999</v>
      </c>
      <c r="T163" s="365">
        <f>SUM(S145:S147)*S163</f>
        <v>57021132.085960001</v>
      </c>
      <c r="U163" s="232">
        <f>+S163</f>
        <v>0.74299999999999999</v>
      </c>
      <c r="V163" s="365">
        <f>SUM(U145:U147)*U163</f>
        <v>57861649.610009991</v>
      </c>
      <c r="W163" s="232">
        <f>+U163</f>
        <v>0.74299999999999999</v>
      </c>
      <c r="X163" s="365">
        <f>SUM(W145:W147)*W163</f>
        <v>58175751.908970006</v>
      </c>
      <c r="Y163" s="232">
        <f>+W163</f>
        <v>0.74299999999999999</v>
      </c>
      <c r="Z163" s="365">
        <f>SUM(Y145:Y147)*Y163</f>
        <v>58902295.98212</v>
      </c>
      <c r="AA163" s="232">
        <f>+Y163</f>
        <v>0.74299999999999999</v>
      </c>
      <c r="AB163" s="365">
        <f>SUM(AA145:AA147)*AA163</f>
        <v>59093652.890450001</v>
      </c>
      <c r="AC163" s="232">
        <f>+AA163</f>
        <v>0.74299999999999999</v>
      </c>
      <c r="AD163" s="365">
        <f>SUM(AC145:AC147)*AC163</f>
        <v>56855630.396259993</v>
      </c>
    </row>
    <row r="164" spans="1:32">
      <c r="A164" s="380">
        <v>155</v>
      </c>
      <c r="F164" s="365"/>
      <c r="H164" s="365"/>
      <c r="J164" s="365"/>
      <c r="L164" s="365"/>
      <c r="N164" s="365"/>
      <c r="P164" s="365"/>
      <c r="R164" s="365"/>
      <c r="T164" s="365"/>
      <c r="V164" s="365"/>
      <c r="X164" s="365"/>
      <c r="Z164" s="365"/>
      <c r="AB164" s="365"/>
      <c r="AD164" s="365"/>
    </row>
    <row r="165" spans="1:32">
      <c r="A165" s="380">
        <v>156</v>
      </c>
      <c r="D165" s="397" t="s">
        <v>930</v>
      </c>
      <c r="F165" s="365">
        <f>SUM(F161:F163)</f>
        <v>817220128.27877688</v>
      </c>
      <c r="H165" s="365">
        <f>SUM(H161:H163)</f>
        <v>820417390.5373069</v>
      </c>
      <c r="J165" s="365">
        <f>SUM(J161:J163)</f>
        <v>820698096.73301983</v>
      </c>
      <c r="L165" s="365">
        <f>SUM(L161:L163)</f>
        <v>822948496.13109481</v>
      </c>
      <c r="N165" s="365">
        <f>SUM(N161:N163)</f>
        <v>827667143.41850281</v>
      </c>
      <c r="P165" s="365">
        <f>SUM(P161:P163)</f>
        <v>831359357.40338969</v>
      </c>
      <c r="R165" s="365">
        <f>SUM(R161:R163)</f>
        <v>835579674.20949173</v>
      </c>
      <c r="T165" s="365">
        <f>SUM(T161:T163)</f>
        <v>836013367.78428984</v>
      </c>
      <c r="V165" s="365">
        <f>SUM(V161:V163)</f>
        <v>839515817.43658781</v>
      </c>
      <c r="X165" s="365">
        <f>SUM(X161:X163)</f>
        <v>845534633.07216871</v>
      </c>
      <c r="Z165" s="365">
        <f>SUM(Z161:Z163)</f>
        <v>851787145.47142684</v>
      </c>
      <c r="AB165" s="365">
        <f>SUM(AB161:AB163)</f>
        <v>856810901.24958563</v>
      </c>
      <c r="AD165" s="365">
        <f>SUM(AD161:AD163)</f>
        <v>866945220.73952997</v>
      </c>
      <c r="AE165" s="14" t="s">
        <v>938</v>
      </c>
      <c r="AF165" s="386">
        <f>+(F165+AD165+(+H165+J165+L165+N165+P165+R165+T165+V165+X165+Z165+AB165)*2)/24</f>
        <v>835867891.49633491</v>
      </c>
    </row>
    <row r="166" spans="1:32">
      <c r="A166" s="380">
        <v>157</v>
      </c>
      <c r="AB166" s="365"/>
      <c r="AD166" s="365"/>
    </row>
    <row r="167" spans="1:32">
      <c r="A167" s="380">
        <v>158</v>
      </c>
      <c r="D167" s="397" t="s">
        <v>927</v>
      </c>
      <c r="F167" s="365">
        <f>F92</f>
        <v>349691372.54999995</v>
      </c>
      <c r="H167" s="365">
        <f>H92</f>
        <v>351122100.51999992</v>
      </c>
      <c r="J167" s="365">
        <f>J92</f>
        <v>352161619.25</v>
      </c>
      <c r="L167" s="365">
        <f>L92</f>
        <v>353579319.95999998</v>
      </c>
      <c r="N167" s="365">
        <f>N92</f>
        <v>355202929.90000004</v>
      </c>
      <c r="P167" s="365">
        <f>P92</f>
        <v>356554963.54000002</v>
      </c>
      <c r="R167" s="365">
        <f>R92</f>
        <v>358089078.43000007</v>
      </c>
      <c r="T167" s="365">
        <f>T92</f>
        <v>359533201.34000003</v>
      </c>
      <c r="V167" s="365">
        <f>V92</f>
        <v>361133539.03000003</v>
      </c>
      <c r="X167" s="365">
        <f>X92</f>
        <v>362566654.5</v>
      </c>
      <c r="Z167" s="365">
        <f>Z92</f>
        <v>364082428.88999987</v>
      </c>
      <c r="AB167" s="365">
        <f>AB92</f>
        <v>365355850.14999998</v>
      </c>
      <c r="AD167" s="365">
        <f>AD92</f>
        <v>366495933.66000003</v>
      </c>
    </row>
    <row r="168" spans="1:32">
      <c r="A168" s="380">
        <v>159</v>
      </c>
      <c r="D168" s="397" t="s">
        <v>928</v>
      </c>
      <c r="F168" s="365">
        <f>E162*SUM(F94:F144)</f>
        <v>22202291.72191501</v>
      </c>
      <c r="H168" s="365">
        <f>G162*SUM(H94:H144)</f>
        <v>22510173.278716009</v>
      </c>
      <c r="J168" s="365">
        <f>I162*SUM(J94:J144)</f>
        <v>22773562.802293006</v>
      </c>
      <c r="L168" s="365">
        <f>K162*SUM(L94:L144)</f>
        <v>22915040.281844005</v>
      </c>
      <c r="N168" s="365">
        <f>M162*SUM(N94:N144)</f>
        <v>23161400.688383002</v>
      </c>
      <c r="P168" s="365">
        <f>O162*SUM(P94:P144)</f>
        <v>23415565.357076999</v>
      </c>
      <c r="R168" s="365">
        <f>Q162*SUM(R94:R144)</f>
        <v>23677811.943355002</v>
      </c>
      <c r="T168" s="365">
        <f>S162*SUM(T94:T144)</f>
        <v>23940255.332210001</v>
      </c>
      <c r="V168" s="365">
        <f>U162*SUM(V94:V144)</f>
        <v>24202810.837119997</v>
      </c>
      <c r="X168" s="365">
        <f>W162*SUM(X94:X144)</f>
        <v>24445527.580868002</v>
      </c>
      <c r="Z168" s="365">
        <f>Y162*SUM(Z94:Z144)</f>
        <v>24704623.198603004</v>
      </c>
      <c r="AB168" s="365">
        <f>AA162*SUM(AB94:AB144)</f>
        <v>24931380.674821008</v>
      </c>
      <c r="AD168" s="365">
        <f>AC162*SUM(AD94:AD144)</f>
        <v>25198087.149818003</v>
      </c>
    </row>
    <row r="169" spans="1:32">
      <c r="A169" s="380">
        <v>160</v>
      </c>
      <c r="D169" s="397" t="s">
        <v>929</v>
      </c>
      <c r="F169" s="365">
        <f>SUM(F145:F147)*E163</f>
        <v>9313977.5332890004</v>
      </c>
      <c r="H169" s="365">
        <f>SUM(H145:H147)*G163</f>
        <v>9282415.2646400016</v>
      </c>
      <c r="J169" s="365">
        <f>SUM(J145:J147)*I163</f>
        <v>9324677.9962399993</v>
      </c>
      <c r="L169" s="365">
        <f>SUM(L145:L147)*K163</f>
        <v>9395823.0770699997</v>
      </c>
      <c r="N169" s="365">
        <f>SUM(N145:N147)*M163</f>
        <v>9289454.5357999988</v>
      </c>
      <c r="P169" s="365">
        <f>SUM(P145:P147)*O163</f>
        <v>9291886.0255899988</v>
      </c>
      <c r="R169" s="365">
        <f>SUM(R145:R147)*Q163</f>
        <v>9328779.7054500002</v>
      </c>
      <c r="T169" s="365">
        <f>SUM(T145:T147)*S163</f>
        <v>6235833.9797000019</v>
      </c>
      <c r="V169" s="365">
        <f>SUM(V145:V147)*U163</f>
        <v>6313688.4471199997</v>
      </c>
      <c r="X169" s="365">
        <f>SUM(X145:X147)*W163</f>
        <v>6488783.15099</v>
      </c>
      <c r="Z169" s="365">
        <f>SUM(Z145:Z147)*Y163</f>
        <v>6570429.06568</v>
      </c>
      <c r="AB169" s="365">
        <f>SUM(AB145:AB147)*AA163</f>
        <v>6577563.3591100005</v>
      </c>
      <c r="AD169" s="365">
        <f>SUM(AD145:AD147)*AC163</f>
        <v>5525143.8845200008</v>
      </c>
    </row>
    <row r="170" spans="1:32">
      <c r="A170" s="380">
        <v>161</v>
      </c>
      <c r="F170" s="365"/>
      <c r="H170" s="365"/>
      <c r="J170" s="365"/>
      <c r="L170" s="365"/>
      <c r="N170" s="365"/>
      <c r="P170" s="365"/>
      <c r="R170" s="365"/>
      <c r="T170" s="365"/>
      <c r="V170" s="365"/>
      <c r="X170" s="365"/>
      <c r="Z170" s="365"/>
      <c r="AB170" s="365"/>
      <c r="AD170" s="365"/>
    </row>
    <row r="171" spans="1:32">
      <c r="A171" s="380">
        <v>162</v>
      </c>
      <c r="D171" s="397" t="s">
        <v>931</v>
      </c>
      <c r="F171" s="365">
        <f>SUM(F167:F169)</f>
        <v>381207641.80520397</v>
      </c>
      <c r="H171" s="365">
        <f>SUM(H167:H169)</f>
        <v>382914689.06335592</v>
      </c>
      <c r="J171" s="365">
        <f>SUM(J167:J169)</f>
        <v>384259860.04853302</v>
      </c>
      <c r="L171" s="365">
        <f>SUM(L167:L169)</f>
        <v>385890183.318914</v>
      </c>
      <c r="N171" s="365">
        <f>SUM(N167:N169)</f>
        <v>387653785.124183</v>
      </c>
      <c r="P171" s="365">
        <f>SUM(P167:P169)</f>
        <v>389262414.92266703</v>
      </c>
      <c r="R171" s="365">
        <f>SUM(R167:R169)</f>
        <v>391095670.07880509</v>
      </c>
      <c r="T171" s="365">
        <f>SUM(T167:T169)</f>
        <v>389709290.65191007</v>
      </c>
      <c r="V171" s="365">
        <f>SUM(V167:V169)</f>
        <v>391650038.31424004</v>
      </c>
      <c r="X171" s="365">
        <f>SUM(X167:X169)</f>
        <v>393500965.23185802</v>
      </c>
      <c r="Z171" s="365">
        <f>SUM(Z167:Z169)</f>
        <v>395357481.15428293</v>
      </c>
      <c r="AB171" s="365">
        <f>SUM(AB167:AB169)</f>
        <v>396864794.18393099</v>
      </c>
      <c r="AD171" s="365">
        <f>SUM(AD167:AD169)</f>
        <v>397219164.69433802</v>
      </c>
      <c r="AE171" s="14" t="s">
        <v>939</v>
      </c>
      <c r="AF171" s="386">
        <f>+(F171+AD171+(+H171+J171+L171+N171+P171+R171+T171+V171+X171+Z171+AB171)*2)/24</f>
        <v>389781047.94520426</v>
      </c>
    </row>
  </sheetData>
  <mergeCells count="17">
    <mergeCell ref="M2:X2"/>
    <mergeCell ref="M3:X3"/>
    <mergeCell ref="M4:X4"/>
    <mergeCell ref="M5:X5"/>
    <mergeCell ref="Y1:AF1"/>
    <mergeCell ref="Y2:AF2"/>
    <mergeCell ref="Y3:AF3"/>
    <mergeCell ref="Y4:AF4"/>
    <mergeCell ref="Y5:AF5"/>
    <mergeCell ref="M1:X1"/>
    <mergeCell ref="B149:C149"/>
    <mergeCell ref="B153:C153"/>
    <mergeCell ref="A1:L1"/>
    <mergeCell ref="A2:L2"/>
    <mergeCell ref="A3:L3"/>
    <mergeCell ref="A4:L4"/>
    <mergeCell ref="A5:L5"/>
  </mergeCells>
  <phoneticPr fontId="141"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7" tint="0.79998168889431442"/>
  </sheetPr>
  <dimension ref="A1:BD88"/>
  <sheetViews>
    <sheetView view="pageBreakPreview" zoomScale="80" zoomScaleNormal="100" zoomScaleSheetLayoutView="80" workbookViewId="0">
      <pane xSplit="9" ySplit="5" topLeftCell="AC6" activePane="bottomRight" state="frozen"/>
      <selection activeCell="F27" sqref="F27"/>
      <selection pane="topRight" activeCell="F27" sqref="F27"/>
      <selection pane="bottomLeft" activeCell="F27" sqref="F27"/>
      <selection pane="bottomRight" activeCell="F27" sqref="F27"/>
    </sheetView>
  </sheetViews>
  <sheetFormatPr defaultColWidth="9.109375" defaultRowHeight="15.6"/>
  <cols>
    <col min="1" max="1" width="9.44140625" style="16" bestFit="1" customWidth="1"/>
    <col min="2" max="2" width="42.33203125" style="3" bestFit="1" customWidth="1"/>
    <col min="3" max="3" width="9.109375" style="3"/>
    <col min="4" max="4" width="4.5546875" style="3" customWidth="1"/>
    <col min="5" max="9" width="9.109375" style="3"/>
    <col min="10" max="10" width="21.33203125" style="3" bestFit="1" customWidth="1"/>
    <col min="11" max="12" width="20.44140625" style="3" bestFit="1" customWidth="1"/>
    <col min="13" max="13" width="21.88671875" style="3" bestFit="1" customWidth="1"/>
    <col min="14" max="14" width="20.44140625" style="3" bestFit="1" customWidth="1"/>
    <col min="15" max="15" width="19.88671875" style="3" bestFit="1" customWidth="1"/>
    <col min="16" max="16" width="21.33203125" style="3" bestFit="1" customWidth="1"/>
    <col min="17" max="18" width="20.44140625" style="3" bestFit="1" customWidth="1"/>
    <col min="19" max="19" width="20.5546875" style="3" bestFit="1" customWidth="1"/>
    <col min="20" max="21" width="19.88671875" style="3" bestFit="1" customWidth="1"/>
    <col min="22" max="22" width="20.44140625" style="3" bestFit="1" customWidth="1"/>
    <col min="23" max="23" width="19.88671875" style="3" bestFit="1" customWidth="1"/>
    <col min="24" max="24" width="20.44140625" style="3" bestFit="1" customWidth="1"/>
    <col min="25" max="25" width="21.88671875" style="3" bestFit="1" customWidth="1"/>
    <col min="26" max="27" width="20.44140625" style="3" bestFit="1" customWidth="1"/>
    <col min="28" max="28" width="20.5546875" style="3" bestFit="1" customWidth="1"/>
    <col min="29" max="30" width="20.44140625" style="3" bestFit="1" customWidth="1"/>
    <col min="31" max="31" width="20.5546875" style="3" bestFit="1" customWidth="1"/>
    <col min="32" max="32" width="19.44140625" style="3" bestFit="1" customWidth="1"/>
    <col min="33" max="34" width="19.88671875" style="3" bestFit="1" customWidth="1"/>
    <col min="35" max="36" width="20.44140625" style="3" bestFit="1" customWidth="1"/>
    <col min="37" max="37" width="21.88671875" style="3" bestFit="1" customWidth="1"/>
    <col min="38" max="38" width="19.88671875" style="3" bestFit="1" customWidth="1"/>
    <col min="39" max="39" width="20.44140625" style="3" bestFit="1" customWidth="1"/>
    <col min="40" max="40" width="21.33203125" style="3" bestFit="1" customWidth="1"/>
    <col min="41" max="41" width="20.44140625" style="3" bestFit="1" customWidth="1"/>
    <col min="42" max="42" width="19.88671875" style="3" bestFit="1" customWidth="1"/>
    <col min="43" max="43" width="21.33203125" style="3" bestFit="1" customWidth="1"/>
    <col min="44" max="44" width="19.88671875" style="3" bestFit="1" customWidth="1"/>
    <col min="45" max="45" width="19.44140625" style="3" bestFit="1" customWidth="1"/>
    <col min="46" max="46" width="21.88671875" style="3" bestFit="1" customWidth="1"/>
    <col min="47" max="47" width="20.44140625" style="3" bestFit="1" customWidth="1"/>
    <col min="48" max="48" width="19.88671875" style="3" bestFit="1" customWidth="1"/>
    <col min="49" max="49" width="20.5546875" style="3" bestFit="1" customWidth="1"/>
    <col min="50" max="51" width="17.5546875" style="3" bestFit="1" customWidth="1"/>
    <col min="52" max="16384" width="9.109375" style="3"/>
  </cols>
  <sheetData>
    <row r="1" spans="1:51">
      <c r="E1" s="1926" t="s">
        <v>52</v>
      </c>
      <c r="F1" s="1926"/>
      <c r="G1" s="1926"/>
      <c r="H1" s="1926"/>
      <c r="I1" s="1926"/>
      <c r="J1" s="1926"/>
      <c r="K1" s="1926"/>
      <c r="R1" s="1926" t="s">
        <v>52</v>
      </c>
      <c r="S1" s="1926"/>
      <c r="T1" s="1926"/>
      <c r="U1" s="1926"/>
      <c r="V1" s="2"/>
      <c r="W1" s="2"/>
      <c r="X1" s="2"/>
      <c r="Y1" s="2"/>
      <c r="AB1" s="1926" t="s">
        <v>52</v>
      </c>
      <c r="AC1" s="1926"/>
      <c r="AD1" s="1926"/>
      <c r="AE1" s="1926"/>
      <c r="AF1" s="1926"/>
      <c r="AG1" s="1926"/>
      <c r="AH1" s="1926"/>
      <c r="AI1" s="1926"/>
      <c r="AJ1" s="1926"/>
      <c r="AK1" s="1926"/>
      <c r="AL1" s="1926"/>
      <c r="AM1" s="1926"/>
      <c r="AN1" s="1926"/>
      <c r="AO1" s="1926"/>
      <c r="AP1" s="1926" t="s">
        <v>52</v>
      </c>
      <c r="AQ1" s="1926"/>
      <c r="AR1" s="1926"/>
      <c r="AS1" s="1926"/>
      <c r="AT1" s="1926"/>
      <c r="AU1" s="1926"/>
      <c r="AV1" s="1926"/>
      <c r="AW1" s="1926"/>
      <c r="AX1" s="1926"/>
      <c r="AY1" s="1926"/>
    </row>
    <row r="2" spans="1:51">
      <c r="E2" s="5"/>
      <c r="F2" s="1926" t="s">
        <v>1824</v>
      </c>
      <c r="G2" s="1926"/>
      <c r="H2" s="1926"/>
      <c r="I2" s="1926"/>
      <c r="J2" s="1926"/>
      <c r="K2" s="5"/>
      <c r="R2" s="1926" t="str">
        <f>+F2</f>
        <v>UG 20_____</v>
      </c>
      <c r="S2" s="1926"/>
      <c r="T2" s="1926"/>
      <c r="U2" s="1926"/>
      <c r="V2" s="2"/>
      <c r="W2" s="2"/>
      <c r="X2" s="2"/>
      <c r="Y2" s="5"/>
      <c r="AA2" s="5"/>
      <c r="AB2" s="1926" t="str">
        <f>+R2</f>
        <v>UG 20_____</v>
      </c>
      <c r="AC2" s="1926"/>
      <c r="AD2" s="1926"/>
      <c r="AE2" s="1926"/>
      <c r="AF2" s="1926"/>
      <c r="AG2" s="1926"/>
      <c r="AH2" s="1926"/>
      <c r="AI2" s="1926"/>
      <c r="AJ2" s="1926"/>
      <c r="AK2" s="1926"/>
      <c r="AL2" s="1926"/>
      <c r="AM2" s="1926"/>
      <c r="AN2" s="1926"/>
      <c r="AO2" s="1926"/>
      <c r="AP2" s="1926" t="str">
        <f>+AB2</f>
        <v>UG 20_____</v>
      </c>
      <c r="AQ2" s="1926"/>
      <c r="AR2" s="1926"/>
      <c r="AS2" s="1926"/>
      <c r="AT2" s="1926"/>
      <c r="AU2" s="1926"/>
      <c r="AV2" s="1926"/>
      <c r="AW2" s="1926"/>
      <c r="AX2" s="1926"/>
      <c r="AY2" s="1926"/>
    </row>
    <row r="3" spans="1:51">
      <c r="E3" s="5"/>
      <c r="F3" s="1926" t="s">
        <v>1304</v>
      </c>
      <c r="G3" s="1926"/>
      <c r="H3" s="1926"/>
      <c r="I3" s="1926"/>
      <c r="J3" s="1926"/>
      <c r="K3" s="5"/>
      <c r="R3" s="1926" t="str">
        <f>+F3</f>
        <v>MCP WP-1.4</v>
      </c>
      <c r="S3" s="1926"/>
      <c r="T3" s="1926"/>
      <c r="U3" s="1926"/>
      <c r="V3" s="2"/>
      <c r="W3" s="2"/>
      <c r="X3" s="2"/>
      <c r="Y3" s="5"/>
      <c r="AA3" s="5"/>
      <c r="AB3" s="1926" t="str">
        <f>+R3</f>
        <v>MCP WP-1.4</v>
      </c>
      <c r="AC3" s="1926"/>
      <c r="AD3" s="1926"/>
      <c r="AE3" s="1926"/>
      <c r="AF3" s="1926"/>
      <c r="AG3" s="1926"/>
      <c r="AH3" s="1926"/>
      <c r="AI3" s="1926"/>
      <c r="AJ3" s="1926"/>
      <c r="AK3" s="1926"/>
      <c r="AL3" s="1926"/>
      <c r="AM3" s="1926"/>
      <c r="AN3" s="1926"/>
      <c r="AO3" s="1926"/>
      <c r="AP3" s="1926" t="str">
        <f>+AB3</f>
        <v>MCP WP-1.4</v>
      </c>
      <c r="AQ3" s="1926"/>
      <c r="AR3" s="1926"/>
      <c r="AS3" s="1926"/>
      <c r="AT3" s="1926"/>
      <c r="AU3" s="1926"/>
      <c r="AV3" s="1926"/>
      <c r="AW3" s="1926"/>
      <c r="AX3" s="1926"/>
      <c r="AY3" s="1926"/>
    </row>
    <row r="4" spans="1:51">
      <c r="E4" s="1926" t="s">
        <v>1028</v>
      </c>
      <c r="F4" s="1926"/>
      <c r="G4" s="1926"/>
      <c r="H4" s="1926"/>
      <c r="I4" s="1926"/>
      <c r="J4" s="1926"/>
      <c r="K4" s="1926"/>
      <c r="R4" s="1926" t="s">
        <v>1028</v>
      </c>
      <c r="S4" s="1926"/>
      <c r="T4" s="1926"/>
      <c r="U4" s="1926"/>
      <c r="V4" s="2"/>
      <c r="W4" s="2"/>
      <c r="X4" s="2"/>
      <c r="Y4" s="2"/>
      <c r="AB4" s="1926" t="s">
        <v>1028</v>
      </c>
      <c r="AC4" s="1926"/>
      <c r="AD4" s="1926"/>
      <c r="AE4" s="1926"/>
      <c r="AF4" s="1926"/>
      <c r="AG4" s="1926"/>
      <c r="AH4" s="1926"/>
      <c r="AI4" s="1926"/>
      <c r="AJ4" s="1926"/>
      <c r="AK4" s="1926"/>
      <c r="AL4" s="1926"/>
      <c r="AM4" s="1926"/>
      <c r="AN4" s="1926"/>
      <c r="AO4" s="1926"/>
      <c r="AP4" s="1926" t="s">
        <v>1028</v>
      </c>
      <c r="AQ4" s="1926"/>
      <c r="AR4" s="1926"/>
      <c r="AS4" s="1926"/>
      <c r="AT4" s="1926"/>
      <c r="AU4" s="1926"/>
      <c r="AV4" s="1926"/>
      <c r="AW4" s="1926"/>
      <c r="AX4" s="1926"/>
      <c r="AY4" s="1926"/>
    </row>
    <row r="5" spans="1:51">
      <c r="F5" s="1926" t="s">
        <v>1823</v>
      </c>
      <c r="G5" s="1926"/>
      <c r="H5" s="1926"/>
      <c r="I5" s="1926"/>
      <c r="J5" s="1926"/>
      <c r="R5" s="1926" t="str">
        <f>+F5</f>
        <v>Twelve Months Ended December 31, 2019</v>
      </c>
      <c r="S5" s="1926"/>
      <c r="T5" s="1926"/>
      <c r="U5" s="1926"/>
      <c r="V5" s="2"/>
      <c r="W5" s="2"/>
      <c r="X5" s="2"/>
      <c r="AB5" s="1926" t="str">
        <f>+R5</f>
        <v>Twelve Months Ended December 31, 2019</v>
      </c>
      <c r="AC5" s="1926"/>
      <c r="AD5" s="1926"/>
      <c r="AE5" s="1926"/>
      <c r="AF5" s="1926"/>
      <c r="AG5" s="1926"/>
      <c r="AH5" s="1926"/>
      <c r="AI5" s="1926"/>
      <c r="AJ5" s="1926"/>
      <c r="AK5" s="1926"/>
      <c r="AL5" s="1926"/>
      <c r="AM5" s="1926"/>
      <c r="AN5" s="1926"/>
      <c r="AO5" s="1926"/>
      <c r="AP5" s="1926" t="str">
        <f>+AB5</f>
        <v>Twelve Months Ended December 31, 2019</v>
      </c>
      <c r="AQ5" s="1926"/>
      <c r="AR5" s="1926"/>
      <c r="AS5" s="1926"/>
      <c r="AT5" s="1926"/>
      <c r="AU5" s="1926"/>
      <c r="AV5" s="1926"/>
      <c r="AW5" s="1926"/>
      <c r="AX5" s="1926"/>
      <c r="AY5" s="1926"/>
    </row>
    <row r="8" spans="1:51" s="16" customFormat="1" ht="16.2" thickBot="1">
      <c r="A8" s="16" t="s">
        <v>649</v>
      </c>
      <c r="B8" s="16" t="s">
        <v>778</v>
      </c>
      <c r="C8" s="16" t="s">
        <v>776</v>
      </c>
      <c r="E8" s="16" t="s">
        <v>777</v>
      </c>
      <c r="F8" s="16" t="s">
        <v>780</v>
      </c>
      <c r="G8" s="16" t="s">
        <v>781</v>
      </c>
      <c r="H8" s="16" t="s">
        <v>782</v>
      </c>
      <c r="I8" s="16" t="s">
        <v>783</v>
      </c>
      <c r="J8" s="16" t="s">
        <v>784</v>
      </c>
      <c r="K8" s="16" t="s">
        <v>785</v>
      </c>
      <c r="L8" s="16" t="s">
        <v>786</v>
      </c>
      <c r="M8" s="16" t="s">
        <v>787</v>
      </c>
      <c r="N8" s="16" t="s">
        <v>942</v>
      </c>
      <c r="O8" s="16" t="s">
        <v>789</v>
      </c>
      <c r="P8" s="16" t="s">
        <v>790</v>
      </c>
      <c r="Q8" s="16" t="s">
        <v>791</v>
      </c>
      <c r="R8" s="16" t="s">
        <v>995</v>
      </c>
      <c r="S8" s="16" t="s">
        <v>996</v>
      </c>
      <c r="T8" s="16" t="s">
        <v>997</v>
      </c>
      <c r="U8" s="16" t="s">
        <v>998</v>
      </c>
      <c r="V8" s="16" t="s">
        <v>999</v>
      </c>
      <c r="W8" s="16" t="s">
        <v>1000</v>
      </c>
      <c r="X8" s="16" t="s">
        <v>1001</v>
      </c>
      <c r="Y8" s="16" t="s">
        <v>1002</v>
      </c>
      <c r="Z8" s="16" t="s">
        <v>1003</v>
      </c>
      <c r="AA8" s="16" t="s">
        <v>1004</v>
      </c>
      <c r="AB8" s="16" t="s">
        <v>1005</v>
      </c>
      <c r="AC8" s="16" t="s">
        <v>740</v>
      </c>
      <c r="AD8" s="16" t="s">
        <v>1006</v>
      </c>
      <c r="AE8" s="16" t="s">
        <v>1007</v>
      </c>
      <c r="AF8" s="16" t="s">
        <v>1008</v>
      </c>
      <c r="AG8" s="16" t="s">
        <v>1009</v>
      </c>
      <c r="AH8" s="16" t="s">
        <v>1011</v>
      </c>
      <c r="AI8" s="16" t="s">
        <v>1012</v>
      </c>
      <c r="AJ8" s="16" t="s">
        <v>1013</v>
      </c>
      <c r="AK8" s="16" t="s">
        <v>1014</v>
      </c>
      <c r="AL8" s="16" t="s">
        <v>1015</v>
      </c>
      <c r="AM8" s="16" t="s">
        <v>1016</v>
      </c>
      <c r="AN8" s="16" t="s">
        <v>1017</v>
      </c>
      <c r="AO8" s="16" t="s">
        <v>1018</v>
      </c>
      <c r="AP8" s="16" t="s">
        <v>1019</v>
      </c>
      <c r="AQ8" s="16" t="s">
        <v>1020</v>
      </c>
      <c r="AR8" s="16" t="s">
        <v>1021</v>
      </c>
      <c r="AS8" s="16" t="s">
        <v>1022</v>
      </c>
      <c r="AT8" s="16" t="s">
        <v>1023</v>
      </c>
      <c r="AU8" s="16" t="s">
        <v>881</v>
      </c>
      <c r="AV8" s="16" t="s">
        <v>1024</v>
      </c>
      <c r="AW8" s="16" t="s">
        <v>1025</v>
      </c>
      <c r="AX8" s="16" t="s">
        <v>1026</v>
      </c>
      <c r="AY8" s="16" t="s">
        <v>1027</v>
      </c>
    </row>
    <row r="9" spans="1:51">
      <c r="A9" s="16">
        <v>1</v>
      </c>
      <c r="B9" s="1940" t="s">
        <v>1070</v>
      </c>
      <c r="C9" s="1941"/>
      <c r="D9" s="1941"/>
      <c r="E9" s="1942"/>
      <c r="F9" s="1949" t="s">
        <v>360</v>
      </c>
      <c r="G9" s="1949"/>
      <c r="H9" s="1949"/>
      <c r="I9" s="1950"/>
      <c r="J9" s="145" t="s">
        <v>740</v>
      </c>
      <c r="K9" s="146" t="s">
        <v>940</v>
      </c>
      <c r="L9" s="147" t="s">
        <v>941</v>
      </c>
      <c r="M9" s="145" t="s">
        <v>740</v>
      </c>
      <c r="N9" s="146" t="s">
        <v>940</v>
      </c>
      <c r="O9" s="147" t="s">
        <v>941</v>
      </c>
      <c r="P9" s="145" t="s">
        <v>740</v>
      </c>
      <c r="Q9" s="146" t="s">
        <v>940</v>
      </c>
      <c r="R9" s="147" t="s">
        <v>941</v>
      </c>
      <c r="S9" s="145" t="s">
        <v>740</v>
      </c>
      <c r="T9" s="146" t="s">
        <v>940</v>
      </c>
      <c r="U9" s="147" t="s">
        <v>941</v>
      </c>
      <c r="V9" s="145" t="s">
        <v>740</v>
      </c>
      <c r="W9" s="146" t="s">
        <v>940</v>
      </c>
      <c r="X9" s="147" t="s">
        <v>941</v>
      </c>
      <c r="Y9" s="145" t="s">
        <v>740</v>
      </c>
      <c r="Z9" s="146" t="s">
        <v>940</v>
      </c>
      <c r="AA9" s="147" t="s">
        <v>941</v>
      </c>
      <c r="AB9" s="145" t="s">
        <v>740</v>
      </c>
      <c r="AC9" s="146" t="s">
        <v>940</v>
      </c>
      <c r="AD9" s="147" t="s">
        <v>941</v>
      </c>
      <c r="AE9" s="145" t="s">
        <v>740</v>
      </c>
      <c r="AF9" s="146" t="s">
        <v>940</v>
      </c>
      <c r="AG9" s="147" t="s">
        <v>941</v>
      </c>
      <c r="AH9" s="145" t="s">
        <v>740</v>
      </c>
      <c r="AI9" s="146" t="s">
        <v>940</v>
      </c>
      <c r="AJ9" s="147" t="s">
        <v>941</v>
      </c>
      <c r="AK9" s="145" t="s">
        <v>740</v>
      </c>
      <c r="AL9" s="146" t="s">
        <v>940</v>
      </c>
      <c r="AM9" s="147" t="s">
        <v>941</v>
      </c>
      <c r="AN9" s="145" t="s">
        <v>740</v>
      </c>
      <c r="AO9" s="146" t="s">
        <v>940</v>
      </c>
      <c r="AP9" s="147" t="s">
        <v>941</v>
      </c>
      <c r="AQ9" s="145" t="s">
        <v>740</v>
      </c>
      <c r="AR9" s="146" t="s">
        <v>940</v>
      </c>
      <c r="AS9" s="147" t="s">
        <v>941</v>
      </c>
      <c r="AT9" s="145" t="s">
        <v>740</v>
      </c>
      <c r="AU9" s="146" t="s">
        <v>940</v>
      </c>
      <c r="AV9" s="147" t="s">
        <v>941</v>
      </c>
      <c r="AW9" s="148" t="s">
        <v>980</v>
      </c>
      <c r="AX9" s="148" t="s">
        <v>93</v>
      </c>
      <c r="AY9" s="148" t="s">
        <v>70</v>
      </c>
    </row>
    <row r="10" spans="1:51">
      <c r="A10" s="16">
        <v>2</v>
      </c>
      <c r="B10" s="1943"/>
      <c r="C10" s="1944"/>
      <c r="D10" s="1944"/>
      <c r="E10" s="1945"/>
      <c r="F10" s="1929" t="s">
        <v>361</v>
      </c>
      <c r="G10" s="1929"/>
      <c r="H10" s="1929"/>
      <c r="I10" s="1930"/>
      <c r="J10" s="691" t="s">
        <v>1305</v>
      </c>
      <c r="K10" s="682" t="s">
        <v>1305</v>
      </c>
      <c r="L10" s="692" t="s">
        <v>1305</v>
      </c>
      <c r="M10" s="691" t="s">
        <v>1827</v>
      </c>
      <c r="N10" s="682" t="s">
        <v>1827</v>
      </c>
      <c r="O10" s="682" t="s">
        <v>1827</v>
      </c>
      <c r="P10" s="691" t="s">
        <v>1827</v>
      </c>
      <c r="Q10" s="682" t="s">
        <v>1827</v>
      </c>
      <c r="R10" s="682" t="s">
        <v>1827</v>
      </c>
      <c r="S10" s="691" t="s">
        <v>1827</v>
      </c>
      <c r="T10" s="682" t="s">
        <v>1827</v>
      </c>
      <c r="U10" s="682" t="s">
        <v>1827</v>
      </c>
      <c r="V10" s="691" t="s">
        <v>1827</v>
      </c>
      <c r="W10" s="682" t="s">
        <v>1827</v>
      </c>
      <c r="X10" s="682" t="s">
        <v>1827</v>
      </c>
      <c r="Y10" s="691" t="s">
        <v>1827</v>
      </c>
      <c r="Z10" s="682" t="s">
        <v>1827</v>
      </c>
      <c r="AA10" s="682" t="s">
        <v>1827</v>
      </c>
      <c r="AB10" s="691" t="s">
        <v>1827</v>
      </c>
      <c r="AC10" s="691" t="s">
        <v>1827</v>
      </c>
      <c r="AD10" s="691" t="s">
        <v>1827</v>
      </c>
      <c r="AE10" s="691" t="s">
        <v>1827</v>
      </c>
      <c r="AF10" s="691" t="s">
        <v>1827</v>
      </c>
      <c r="AG10" s="691" t="s">
        <v>1827</v>
      </c>
      <c r="AH10" s="691" t="s">
        <v>1827</v>
      </c>
      <c r="AI10" s="691" t="s">
        <v>1827</v>
      </c>
      <c r="AJ10" s="691" t="s">
        <v>1827</v>
      </c>
      <c r="AK10" s="691" t="s">
        <v>1827</v>
      </c>
      <c r="AL10" s="691" t="s">
        <v>1827</v>
      </c>
      <c r="AM10" s="691" t="s">
        <v>1827</v>
      </c>
      <c r="AN10" s="691" t="s">
        <v>1827</v>
      </c>
      <c r="AO10" s="682" t="s">
        <v>1827</v>
      </c>
      <c r="AP10" s="682" t="s">
        <v>1827</v>
      </c>
      <c r="AQ10" s="691" t="s">
        <v>1827</v>
      </c>
      <c r="AR10" s="682" t="s">
        <v>1827</v>
      </c>
      <c r="AS10" s="682" t="s">
        <v>1827</v>
      </c>
      <c r="AT10" s="691" t="s">
        <v>1827</v>
      </c>
      <c r="AU10" s="682" t="s">
        <v>1827</v>
      </c>
      <c r="AV10" s="682" t="s">
        <v>1827</v>
      </c>
    </row>
    <row r="11" spans="1:51">
      <c r="A11" s="16">
        <v>3</v>
      </c>
      <c r="B11" s="1943"/>
      <c r="C11" s="1944"/>
      <c r="D11" s="1944"/>
      <c r="E11" s="1945"/>
      <c r="F11" s="1929" t="s">
        <v>362</v>
      </c>
      <c r="G11" s="1929"/>
      <c r="H11" s="1929"/>
      <c r="I11" s="1930"/>
      <c r="J11" s="149" t="s">
        <v>942</v>
      </c>
      <c r="K11" s="150" t="s">
        <v>942</v>
      </c>
      <c r="L11" s="151" t="s">
        <v>942</v>
      </c>
      <c r="M11" s="149" t="s">
        <v>942</v>
      </c>
      <c r="N11" s="150" t="s">
        <v>942</v>
      </c>
      <c r="O11" s="151" t="s">
        <v>942</v>
      </c>
      <c r="P11" s="149" t="s">
        <v>942</v>
      </c>
      <c r="Q11" s="150" t="s">
        <v>942</v>
      </c>
      <c r="R11" s="151" t="s">
        <v>942</v>
      </c>
      <c r="S11" s="149" t="s">
        <v>942</v>
      </c>
      <c r="T11" s="150" t="s">
        <v>942</v>
      </c>
      <c r="U11" s="151" t="s">
        <v>942</v>
      </c>
      <c r="V11" s="149" t="s">
        <v>942</v>
      </c>
      <c r="W11" s="150" t="s">
        <v>942</v>
      </c>
      <c r="X11" s="151" t="s">
        <v>942</v>
      </c>
      <c r="Y11" s="149" t="s">
        <v>942</v>
      </c>
      <c r="Z11" s="150" t="s">
        <v>942</v>
      </c>
      <c r="AA11" s="151" t="s">
        <v>942</v>
      </c>
      <c r="AB11" s="149" t="s">
        <v>942</v>
      </c>
      <c r="AC11" s="150" t="s">
        <v>942</v>
      </c>
      <c r="AD11" s="151" t="s">
        <v>942</v>
      </c>
      <c r="AE11" s="149" t="s">
        <v>942</v>
      </c>
      <c r="AF11" s="150" t="s">
        <v>942</v>
      </c>
      <c r="AG11" s="151" t="s">
        <v>942</v>
      </c>
      <c r="AH11" s="149" t="s">
        <v>942</v>
      </c>
      <c r="AI11" s="150" t="s">
        <v>942</v>
      </c>
      <c r="AJ11" s="151" t="s">
        <v>942</v>
      </c>
      <c r="AK11" s="149" t="s">
        <v>942</v>
      </c>
      <c r="AL11" s="150" t="s">
        <v>942</v>
      </c>
      <c r="AM11" s="151" t="s">
        <v>942</v>
      </c>
      <c r="AN11" s="149" t="s">
        <v>942</v>
      </c>
      <c r="AO11" s="150" t="s">
        <v>942</v>
      </c>
      <c r="AP11" s="151" t="s">
        <v>942</v>
      </c>
      <c r="AQ11" s="149" t="s">
        <v>942</v>
      </c>
      <c r="AR11" s="150" t="s">
        <v>942</v>
      </c>
      <c r="AS11" s="151" t="s">
        <v>942</v>
      </c>
      <c r="AT11" s="149" t="s">
        <v>942</v>
      </c>
      <c r="AU11" s="150" t="s">
        <v>942</v>
      </c>
      <c r="AV11" s="151" t="s">
        <v>942</v>
      </c>
      <c r="AX11" s="148" t="s">
        <v>356</v>
      </c>
    </row>
    <row r="12" spans="1:51">
      <c r="A12" s="133">
        <v>4</v>
      </c>
      <c r="B12" s="1943"/>
      <c r="C12" s="1944"/>
      <c r="D12" s="1944"/>
      <c r="E12" s="1945"/>
      <c r="F12" s="1929" t="s">
        <v>363</v>
      </c>
      <c r="G12" s="1929"/>
      <c r="H12" s="1929"/>
      <c r="I12" s="1930"/>
      <c r="J12" s="149" t="s">
        <v>460</v>
      </c>
      <c r="K12" s="150" t="s">
        <v>460</v>
      </c>
      <c r="L12" s="151" t="s">
        <v>460</v>
      </c>
      <c r="M12" s="149" t="s">
        <v>515</v>
      </c>
      <c r="N12" s="150" t="s">
        <v>515</v>
      </c>
      <c r="O12" s="151" t="s">
        <v>515</v>
      </c>
      <c r="P12" s="149" t="s">
        <v>549</v>
      </c>
      <c r="Q12" s="150" t="s">
        <v>549</v>
      </c>
      <c r="R12" s="151" t="s">
        <v>549</v>
      </c>
      <c r="S12" s="149" t="s">
        <v>550</v>
      </c>
      <c r="T12" s="150" t="s">
        <v>550</v>
      </c>
      <c r="U12" s="151" t="s">
        <v>550</v>
      </c>
      <c r="V12" s="149" t="s">
        <v>943</v>
      </c>
      <c r="W12" s="150" t="s">
        <v>943</v>
      </c>
      <c r="X12" s="151" t="s">
        <v>943</v>
      </c>
      <c r="Y12" s="149" t="s">
        <v>944</v>
      </c>
      <c r="Z12" s="150" t="s">
        <v>944</v>
      </c>
      <c r="AA12" s="151" t="s">
        <v>944</v>
      </c>
      <c r="AB12" s="149" t="s">
        <v>945</v>
      </c>
      <c r="AC12" s="150" t="s">
        <v>945</v>
      </c>
      <c r="AD12" s="151" t="s">
        <v>945</v>
      </c>
      <c r="AE12" s="149" t="s">
        <v>946</v>
      </c>
      <c r="AF12" s="150" t="s">
        <v>946</v>
      </c>
      <c r="AG12" s="151" t="s">
        <v>946</v>
      </c>
      <c r="AH12" s="149" t="s">
        <v>376</v>
      </c>
      <c r="AI12" s="150" t="s">
        <v>376</v>
      </c>
      <c r="AJ12" s="151" t="s">
        <v>376</v>
      </c>
      <c r="AK12" s="149" t="s">
        <v>947</v>
      </c>
      <c r="AL12" s="150" t="s">
        <v>947</v>
      </c>
      <c r="AM12" s="151" t="s">
        <v>947</v>
      </c>
      <c r="AN12" s="149" t="s">
        <v>948</v>
      </c>
      <c r="AO12" s="150" t="s">
        <v>948</v>
      </c>
      <c r="AP12" s="151" t="s">
        <v>948</v>
      </c>
      <c r="AQ12" s="149" t="s">
        <v>949</v>
      </c>
      <c r="AR12" s="150" t="s">
        <v>949</v>
      </c>
      <c r="AS12" s="151" t="s">
        <v>949</v>
      </c>
      <c r="AT12" s="149" t="s">
        <v>460</v>
      </c>
      <c r="AU12" s="150" t="s">
        <v>460</v>
      </c>
      <c r="AV12" s="151" t="s">
        <v>460</v>
      </c>
    </row>
    <row r="13" spans="1:51" ht="16.2" thickBot="1">
      <c r="A13" s="133">
        <v>5</v>
      </c>
      <c r="B13" s="1946"/>
      <c r="C13" s="1947"/>
      <c r="D13" s="1947"/>
      <c r="E13" s="1948"/>
      <c r="F13" s="1929" t="s">
        <v>364</v>
      </c>
      <c r="G13" s="1929"/>
      <c r="H13" s="1929"/>
      <c r="I13" s="1930"/>
      <c r="J13" s="149" t="s">
        <v>712</v>
      </c>
      <c r="K13" s="150" t="s">
        <v>712</v>
      </c>
      <c r="L13" s="151" t="s">
        <v>712</v>
      </c>
      <c r="M13" s="149" t="s">
        <v>712</v>
      </c>
      <c r="N13" s="150" t="s">
        <v>712</v>
      </c>
      <c r="O13" s="151" t="s">
        <v>712</v>
      </c>
      <c r="P13" s="149" t="s">
        <v>712</v>
      </c>
      <c r="Q13" s="150" t="s">
        <v>712</v>
      </c>
      <c r="R13" s="151" t="s">
        <v>712</v>
      </c>
      <c r="S13" s="149" t="s">
        <v>712</v>
      </c>
      <c r="T13" s="150" t="s">
        <v>712</v>
      </c>
      <c r="U13" s="151" t="s">
        <v>712</v>
      </c>
      <c r="V13" s="149" t="s">
        <v>712</v>
      </c>
      <c r="W13" s="150" t="s">
        <v>712</v>
      </c>
      <c r="X13" s="151" t="s">
        <v>712</v>
      </c>
      <c r="Y13" s="149" t="s">
        <v>712</v>
      </c>
      <c r="Z13" s="150" t="s">
        <v>712</v>
      </c>
      <c r="AA13" s="151" t="s">
        <v>712</v>
      </c>
      <c r="AB13" s="149" t="s">
        <v>712</v>
      </c>
      <c r="AC13" s="150" t="s">
        <v>712</v>
      </c>
      <c r="AD13" s="151" t="s">
        <v>712</v>
      </c>
      <c r="AE13" s="149" t="s">
        <v>712</v>
      </c>
      <c r="AF13" s="150" t="s">
        <v>712</v>
      </c>
      <c r="AG13" s="151" t="s">
        <v>712</v>
      </c>
      <c r="AH13" s="149" t="s">
        <v>712</v>
      </c>
      <c r="AI13" s="150" t="s">
        <v>712</v>
      </c>
      <c r="AJ13" s="151" t="s">
        <v>712</v>
      </c>
      <c r="AK13" s="149" t="s">
        <v>712</v>
      </c>
      <c r="AL13" s="150" t="s">
        <v>712</v>
      </c>
      <c r="AM13" s="151" t="s">
        <v>712</v>
      </c>
      <c r="AN13" s="149" t="s">
        <v>712</v>
      </c>
      <c r="AO13" s="150" t="s">
        <v>712</v>
      </c>
      <c r="AP13" s="151" t="s">
        <v>712</v>
      </c>
      <c r="AQ13" s="149" t="s">
        <v>712</v>
      </c>
      <c r="AR13" s="150" t="s">
        <v>712</v>
      </c>
      <c r="AS13" s="151" t="s">
        <v>712</v>
      </c>
      <c r="AT13" s="149" t="s">
        <v>712</v>
      </c>
      <c r="AU13" s="150" t="s">
        <v>712</v>
      </c>
      <c r="AV13" s="151" t="s">
        <v>712</v>
      </c>
    </row>
    <row r="14" spans="1:51">
      <c r="A14" s="133">
        <v>6</v>
      </c>
      <c r="B14" s="152"/>
      <c r="C14" s="153"/>
      <c r="D14" s="153"/>
      <c r="E14" s="153"/>
      <c r="F14" s="153"/>
      <c r="G14" s="153"/>
      <c r="H14" s="153"/>
      <c r="I14" s="154"/>
      <c r="J14" s="152"/>
      <c r="K14" s="153"/>
      <c r="L14" s="154"/>
      <c r="M14" s="152"/>
      <c r="N14" s="153"/>
      <c r="O14" s="154"/>
      <c r="P14" s="152"/>
      <c r="Q14" s="153"/>
      <c r="R14" s="154"/>
      <c r="S14" s="152"/>
      <c r="T14" s="153"/>
      <c r="U14" s="154"/>
      <c r="V14" s="152"/>
      <c r="W14" s="153"/>
      <c r="X14" s="154"/>
      <c r="Y14" s="152"/>
      <c r="Z14" s="153"/>
      <c r="AA14" s="154"/>
      <c r="AB14" s="152"/>
      <c r="AC14" s="153"/>
      <c r="AD14" s="154"/>
      <c r="AE14" s="152"/>
      <c r="AF14" s="153"/>
      <c r="AG14" s="154"/>
      <c r="AH14" s="152"/>
      <c r="AI14" s="153"/>
      <c r="AJ14" s="154"/>
      <c r="AK14" s="152"/>
      <c r="AL14" s="153"/>
      <c r="AM14" s="154"/>
      <c r="AN14" s="152"/>
      <c r="AO14" s="153"/>
      <c r="AP14" s="154"/>
      <c r="AQ14" s="152"/>
      <c r="AR14" s="153"/>
      <c r="AS14" s="154"/>
      <c r="AT14" s="152"/>
      <c r="AU14" s="153"/>
      <c r="AV14" s="154"/>
      <c r="AW14" s="154"/>
      <c r="AX14" s="154"/>
      <c r="AY14" s="154"/>
    </row>
    <row r="15" spans="1:51" ht="31.2">
      <c r="A15" s="133">
        <v>7</v>
      </c>
      <c r="B15" s="156"/>
      <c r="C15" s="157" t="s">
        <v>950</v>
      </c>
      <c r="D15" s="157"/>
      <c r="E15" s="157" t="s">
        <v>951</v>
      </c>
      <c r="F15" s="157" t="s">
        <v>952</v>
      </c>
      <c r="G15" s="157" t="s">
        <v>953</v>
      </c>
      <c r="H15" s="157" t="s">
        <v>954</v>
      </c>
      <c r="I15" s="158" t="s">
        <v>955</v>
      </c>
      <c r="J15" s="156"/>
      <c r="K15" s="159"/>
      <c r="L15" s="160"/>
      <c r="M15" s="156"/>
      <c r="N15" s="159"/>
      <c r="O15" s="160"/>
      <c r="P15" s="156"/>
      <c r="Q15" s="159"/>
      <c r="R15" s="160"/>
      <c r="S15" s="156"/>
      <c r="T15" s="159"/>
      <c r="U15" s="160"/>
      <c r="V15" s="156"/>
      <c r="W15" s="159"/>
      <c r="X15" s="160"/>
      <c r="Y15" s="156"/>
      <c r="Z15" s="159"/>
      <c r="AA15" s="160"/>
      <c r="AB15" s="156"/>
      <c r="AC15" s="159"/>
      <c r="AD15" s="160"/>
      <c r="AE15" s="156"/>
      <c r="AF15" s="159"/>
      <c r="AG15" s="160"/>
      <c r="AH15" s="156"/>
      <c r="AI15" s="159"/>
      <c r="AJ15" s="160"/>
      <c r="AK15" s="156"/>
      <c r="AL15" s="159"/>
      <c r="AM15" s="160"/>
      <c r="AN15" s="156"/>
      <c r="AO15" s="159"/>
      <c r="AP15" s="160"/>
      <c r="AQ15" s="156"/>
      <c r="AR15" s="159"/>
      <c r="AS15" s="160"/>
      <c r="AT15" s="156"/>
      <c r="AU15" s="159"/>
      <c r="AV15" s="160"/>
    </row>
    <row r="16" spans="1:51" ht="16.2">
      <c r="A16" s="133">
        <v>8</v>
      </c>
      <c r="B16" s="1937" t="s">
        <v>957</v>
      </c>
      <c r="C16" s="1938"/>
      <c r="D16" s="1938"/>
      <c r="E16" s="1938"/>
      <c r="F16" s="1938"/>
      <c r="G16" s="1938"/>
      <c r="H16" s="1938"/>
      <c r="I16" s="1939"/>
      <c r="J16" s="161"/>
      <c r="K16" s="162"/>
      <c r="L16" s="163"/>
      <c r="M16" s="161"/>
      <c r="N16" s="162"/>
      <c r="O16" s="163"/>
      <c r="P16" s="161"/>
      <c r="Q16" s="162"/>
      <c r="R16" s="163"/>
      <c r="S16" s="161"/>
      <c r="T16" s="162"/>
      <c r="U16" s="163"/>
      <c r="V16" s="161"/>
      <c r="W16" s="162"/>
      <c r="X16" s="163"/>
      <c r="Y16" s="161"/>
      <c r="Z16" s="162"/>
      <c r="AA16" s="163"/>
      <c r="AB16" s="161"/>
      <c r="AC16" s="162"/>
      <c r="AD16" s="163"/>
      <c r="AE16" s="161"/>
      <c r="AF16" s="162"/>
      <c r="AG16" s="163"/>
      <c r="AH16" s="161"/>
      <c r="AI16" s="162"/>
      <c r="AJ16" s="163"/>
      <c r="AK16" s="161"/>
      <c r="AL16" s="162"/>
      <c r="AM16" s="163"/>
      <c r="AN16" s="161"/>
      <c r="AO16" s="162"/>
      <c r="AP16" s="163"/>
      <c r="AQ16" s="161"/>
      <c r="AR16" s="162"/>
      <c r="AS16" s="163"/>
      <c r="AT16" s="161"/>
      <c r="AU16" s="162"/>
      <c r="AV16" s="163"/>
    </row>
    <row r="17" spans="1:56">
      <c r="A17" s="133">
        <v>9</v>
      </c>
      <c r="B17" s="155" t="s">
        <v>958</v>
      </c>
      <c r="C17" s="150" t="s">
        <v>741</v>
      </c>
      <c r="D17" s="150"/>
      <c r="E17" s="150" t="s">
        <v>959</v>
      </c>
      <c r="F17" s="150" t="s">
        <v>619</v>
      </c>
      <c r="G17" s="150" t="s">
        <v>960</v>
      </c>
      <c r="H17" s="150" t="s">
        <v>369</v>
      </c>
      <c r="I17" s="151" t="s">
        <v>369</v>
      </c>
      <c r="J17" s="161">
        <v>0</v>
      </c>
      <c r="K17" s="162">
        <v>0</v>
      </c>
      <c r="L17" s="163"/>
      <c r="M17" s="161">
        <v>0</v>
      </c>
      <c r="N17" s="162">
        <v>0</v>
      </c>
      <c r="O17" s="163"/>
      <c r="P17" s="161">
        <v>0</v>
      </c>
      <c r="Q17" s="162">
        <v>0</v>
      </c>
      <c r="R17" s="163"/>
      <c r="S17" s="161">
        <v>0</v>
      </c>
      <c r="T17" s="162">
        <v>0</v>
      </c>
      <c r="U17" s="163"/>
      <c r="V17" s="161">
        <v>0</v>
      </c>
      <c r="W17" s="162">
        <v>0</v>
      </c>
      <c r="X17" s="163"/>
      <c r="Y17" s="161">
        <v>0</v>
      </c>
      <c r="Z17" s="162">
        <v>0</v>
      </c>
      <c r="AA17" s="163"/>
      <c r="AB17" s="161">
        <v>0</v>
      </c>
      <c r="AC17" s="162">
        <v>0</v>
      </c>
      <c r="AD17" s="163"/>
      <c r="AE17" s="161">
        <v>0</v>
      </c>
      <c r="AF17" s="162">
        <v>0</v>
      </c>
      <c r="AG17" s="163"/>
      <c r="AH17" s="161">
        <v>0</v>
      </c>
      <c r="AI17" s="162">
        <v>0</v>
      </c>
      <c r="AJ17" s="163"/>
      <c r="AK17" s="161">
        <v>0</v>
      </c>
      <c r="AL17" s="162">
        <v>0</v>
      </c>
      <c r="AM17" s="163"/>
      <c r="AN17" s="161">
        <v>0</v>
      </c>
      <c r="AO17" s="162">
        <v>0</v>
      </c>
      <c r="AP17" s="163"/>
      <c r="AQ17" s="161">
        <v>0</v>
      </c>
      <c r="AR17" s="162">
        <v>0</v>
      </c>
      <c r="AS17" s="163"/>
      <c r="AT17" s="161">
        <v>0</v>
      </c>
      <c r="AU17" s="162">
        <v>0</v>
      </c>
      <c r="AV17" s="163"/>
    </row>
    <row r="18" spans="1:56">
      <c r="A18" s="16">
        <v>10</v>
      </c>
      <c r="B18" s="155" t="s">
        <v>961</v>
      </c>
      <c r="C18" s="150" t="s">
        <v>741</v>
      </c>
      <c r="D18" s="150"/>
      <c r="E18" s="150" t="s">
        <v>369</v>
      </c>
      <c r="F18" s="150" t="s">
        <v>619</v>
      </c>
      <c r="G18" s="150" t="s">
        <v>962</v>
      </c>
      <c r="H18" s="150" t="s">
        <v>369</v>
      </c>
      <c r="I18" s="151" t="s">
        <v>369</v>
      </c>
      <c r="J18" s="161">
        <f>+K18+L18</f>
        <v>-3418947.2399999998</v>
      </c>
      <c r="K18" s="164">
        <v>-3255123.44</v>
      </c>
      <c r="L18" s="163">
        <v>-163823.79999999999</v>
      </c>
      <c r="M18" s="161">
        <f>+N18+O18</f>
        <v>-3302748.8</v>
      </c>
      <c r="N18" s="164">
        <v>-3146448.38</v>
      </c>
      <c r="O18" s="163">
        <v>-156300.42000000001</v>
      </c>
      <c r="P18" s="161">
        <f>+Q18+R18</f>
        <v>-3311183.56</v>
      </c>
      <c r="Q18" s="164">
        <v>-3146448.38</v>
      </c>
      <c r="R18" s="163">
        <v>-164735.18</v>
      </c>
      <c r="S18" s="161">
        <f>+T18+U18</f>
        <v>-3337179.04</v>
      </c>
      <c r="T18" s="164">
        <v>-3146448.38</v>
      </c>
      <c r="U18" s="163">
        <v>-190730.66</v>
      </c>
      <c r="V18" s="161">
        <f>+W18+X18</f>
        <v>-3333157.56</v>
      </c>
      <c r="W18" s="164">
        <v>-3142835.9</v>
      </c>
      <c r="X18" s="163">
        <v>-190321.66</v>
      </c>
      <c r="Y18" s="161">
        <f>+Z18+AA18</f>
        <v>-3338815.94</v>
      </c>
      <c r="Z18" s="164">
        <v>-3142439.63</v>
      </c>
      <c r="AA18" s="163">
        <v>-196376.31</v>
      </c>
      <c r="AB18" s="161">
        <f>+AC18+AD18</f>
        <v>-3338815.94</v>
      </c>
      <c r="AC18" s="164">
        <v>-3142439.63</v>
      </c>
      <c r="AD18" s="163">
        <v>-196376.31</v>
      </c>
      <c r="AE18" s="161">
        <f>+AF18+AG18</f>
        <v>-3336013.46</v>
      </c>
      <c r="AF18" s="164">
        <v>-3142439.63</v>
      </c>
      <c r="AG18" s="163">
        <v>-193573.83</v>
      </c>
      <c r="AH18" s="161">
        <f>+AI18+AJ18</f>
        <v>-3339862.54</v>
      </c>
      <c r="AI18" s="164">
        <v>-3142439.63</v>
      </c>
      <c r="AJ18" s="163">
        <v>-197422.91</v>
      </c>
      <c r="AK18" s="161">
        <f>+AL18+AM18</f>
        <v>-3340258.81</v>
      </c>
      <c r="AL18" s="164">
        <v>-3142835.9</v>
      </c>
      <c r="AM18" s="163">
        <v>-197422.91</v>
      </c>
      <c r="AN18" s="161">
        <f>+AO18+AP18</f>
        <v>-3343673.7199999997</v>
      </c>
      <c r="AO18" s="164">
        <v>-3142835.9</v>
      </c>
      <c r="AP18" s="163">
        <v>-200837.82</v>
      </c>
      <c r="AQ18" s="161">
        <f>+AR18+AS18</f>
        <v>-3349954.61</v>
      </c>
      <c r="AR18" s="164">
        <v>-3142835.9</v>
      </c>
      <c r="AS18" s="163">
        <v>-207118.71</v>
      </c>
      <c r="AT18" s="161">
        <f>+AU18+AV18</f>
        <v>-3349954.61</v>
      </c>
      <c r="AU18" s="164">
        <v>-3142835.9</v>
      </c>
      <c r="AV18" s="163">
        <v>-207118.71</v>
      </c>
      <c r="AW18" s="118">
        <f>+(AT18+J18+(M18+P18+S18+V18+Y18+AB18+AE18+AH18+AK18+AN18+AQ18)*2)/24</f>
        <v>-3338009.575416666</v>
      </c>
      <c r="AX18" s="118">
        <f t="shared" ref="AX18:AY22" si="0">+(AU18+K18+(N18+Q18+T18+W18+Z18+AC18+AF18+AI18+AL18+AO18+AR18)*2)/24</f>
        <v>-3148285.5775000001</v>
      </c>
      <c r="AY18" s="118">
        <f t="shared" si="0"/>
        <v>-189723.99791666667</v>
      </c>
    </row>
    <row r="19" spans="1:56">
      <c r="A19" s="16">
        <v>11</v>
      </c>
      <c r="B19" s="155" t="s">
        <v>963</v>
      </c>
      <c r="C19" s="150" t="s">
        <v>741</v>
      </c>
      <c r="D19" s="150"/>
      <c r="E19" s="150" t="s">
        <v>956</v>
      </c>
      <c r="F19" s="150" t="s">
        <v>619</v>
      </c>
      <c r="G19" s="150" t="s">
        <v>964</v>
      </c>
      <c r="H19" s="150" t="s">
        <v>369</v>
      </c>
      <c r="I19" s="151" t="s">
        <v>369</v>
      </c>
      <c r="J19" s="161">
        <f>+K19+L19</f>
        <v>117299.85</v>
      </c>
      <c r="K19" s="162">
        <v>108675.06</v>
      </c>
      <c r="L19" s="163">
        <v>8624.7900000000009</v>
      </c>
      <c r="M19" s="161">
        <f>+N19+O19</f>
        <v>0</v>
      </c>
      <c r="N19" s="162">
        <v>0</v>
      </c>
      <c r="O19" s="163">
        <v>0</v>
      </c>
      <c r="P19" s="161">
        <v>0</v>
      </c>
      <c r="Q19" s="162">
        <v>0</v>
      </c>
      <c r="R19" s="163">
        <v>0</v>
      </c>
      <c r="S19" s="161">
        <f>+T19+U19</f>
        <v>77103.62</v>
      </c>
      <c r="T19" s="162">
        <v>74253.98</v>
      </c>
      <c r="U19" s="163">
        <v>2849.64</v>
      </c>
      <c r="V19" s="161">
        <f>+W19+X19</f>
        <v>77103.62</v>
      </c>
      <c r="W19" s="162">
        <v>74253.98</v>
      </c>
      <c r="X19" s="163">
        <v>2849.64</v>
      </c>
      <c r="Y19" s="161">
        <f>+Z19+AA19</f>
        <v>77103.62</v>
      </c>
      <c r="Z19" s="162">
        <v>74253.98</v>
      </c>
      <c r="AA19" s="163">
        <v>2849.64</v>
      </c>
      <c r="AB19" s="161">
        <f>+AC19+AD19</f>
        <v>77103.62</v>
      </c>
      <c r="AC19" s="162">
        <v>74253.98</v>
      </c>
      <c r="AD19" s="163">
        <v>2849.64</v>
      </c>
      <c r="AE19" s="161">
        <f>+AF19+AG19</f>
        <v>77103.62</v>
      </c>
      <c r="AF19" s="162">
        <v>74253.98</v>
      </c>
      <c r="AG19" s="163">
        <v>2849.64</v>
      </c>
      <c r="AH19" s="161">
        <f>+AI19+AJ19</f>
        <v>77103.62</v>
      </c>
      <c r="AI19" s="162">
        <v>74253.98</v>
      </c>
      <c r="AJ19" s="163">
        <v>2849.64</v>
      </c>
      <c r="AK19" s="161">
        <f>+AL19+AM19</f>
        <v>140365.51999999999</v>
      </c>
      <c r="AL19" s="162">
        <v>128346.79</v>
      </c>
      <c r="AM19" s="163">
        <v>12018.73</v>
      </c>
      <c r="AN19" s="161">
        <f>+AO19+AP19</f>
        <v>140365.51999999999</v>
      </c>
      <c r="AO19" s="162">
        <v>128346.79</v>
      </c>
      <c r="AP19" s="163">
        <v>12018.73</v>
      </c>
      <c r="AQ19" s="161">
        <f>+AR19+AS19</f>
        <v>140365.51999999999</v>
      </c>
      <c r="AR19" s="162">
        <v>128346.79</v>
      </c>
      <c r="AS19" s="163">
        <v>12018.73</v>
      </c>
      <c r="AT19" s="161">
        <f>+AU19+AV19</f>
        <v>140365.51999999999</v>
      </c>
      <c r="AU19" s="162">
        <v>128346.79</v>
      </c>
      <c r="AV19" s="163">
        <v>12018.73</v>
      </c>
      <c r="AW19" s="118">
        <f>+(AT19+J19+(M19+P19+S19+V19+Y19+AB19+AE19+AH19+AK19+AN19+AQ19)*2)/24</f>
        <v>84379.247083333335</v>
      </c>
      <c r="AX19" s="118">
        <f t="shared" si="0"/>
        <v>79089.597916666666</v>
      </c>
      <c r="AY19" s="118">
        <f t="shared" si="0"/>
        <v>5289.649166666667</v>
      </c>
    </row>
    <row r="20" spans="1:56">
      <c r="A20" s="16">
        <v>12</v>
      </c>
      <c r="B20" s="155" t="s">
        <v>965</v>
      </c>
      <c r="C20" s="150" t="s">
        <v>741</v>
      </c>
      <c r="D20" s="150"/>
      <c r="E20" s="150" t="s">
        <v>956</v>
      </c>
      <c r="F20" s="150" t="s">
        <v>619</v>
      </c>
      <c r="G20" s="150" t="s">
        <v>966</v>
      </c>
      <c r="H20" s="150" t="s">
        <v>369</v>
      </c>
      <c r="I20" s="151" t="s">
        <v>369</v>
      </c>
      <c r="J20" s="165">
        <f>+K20+L20</f>
        <v>0</v>
      </c>
      <c r="K20" s="166">
        <v>0.01</v>
      </c>
      <c r="L20" s="167">
        <v>-0.01</v>
      </c>
      <c r="M20" s="165">
        <f>+N20+O20</f>
        <v>0</v>
      </c>
      <c r="N20" s="166">
        <v>0.01</v>
      </c>
      <c r="O20" s="167">
        <v>-0.01</v>
      </c>
      <c r="P20" s="165">
        <v>0</v>
      </c>
      <c r="Q20" s="166">
        <v>0.01</v>
      </c>
      <c r="R20" s="167">
        <v>-0.01</v>
      </c>
      <c r="S20" s="165">
        <v>0</v>
      </c>
      <c r="T20" s="166">
        <v>0.01</v>
      </c>
      <c r="U20" s="167">
        <v>-0.01</v>
      </c>
      <c r="V20" s="165">
        <v>0</v>
      </c>
      <c r="W20" s="166">
        <v>0.01</v>
      </c>
      <c r="X20" s="167">
        <v>-0.01</v>
      </c>
      <c r="Y20" s="165">
        <v>0</v>
      </c>
      <c r="Z20" s="166">
        <v>0.01</v>
      </c>
      <c r="AA20" s="167">
        <v>-0.01</v>
      </c>
      <c r="AB20" s="165">
        <v>0</v>
      </c>
      <c r="AC20" s="166">
        <v>0.01</v>
      </c>
      <c r="AD20" s="167">
        <v>-0.01</v>
      </c>
      <c r="AE20" s="165">
        <v>0</v>
      </c>
      <c r="AF20" s="166">
        <v>0.01</v>
      </c>
      <c r="AG20" s="167">
        <v>-0.01</v>
      </c>
      <c r="AH20" s="165">
        <f>+AI20+AJ20</f>
        <v>0</v>
      </c>
      <c r="AI20" s="166">
        <v>0.01</v>
      </c>
      <c r="AJ20" s="167">
        <v>-0.01</v>
      </c>
      <c r="AK20" s="165">
        <f>+AL20+AM20</f>
        <v>0</v>
      </c>
      <c r="AL20" s="166">
        <v>0.01</v>
      </c>
      <c r="AM20" s="167">
        <v>-0.01</v>
      </c>
      <c r="AN20" s="165">
        <f>+AO20+AP20</f>
        <v>0</v>
      </c>
      <c r="AO20" s="166">
        <v>0.01</v>
      </c>
      <c r="AP20" s="167">
        <v>-0.01</v>
      </c>
      <c r="AQ20" s="165">
        <f>+AR20+AS20</f>
        <v>0</v>
      </c>
      <c r="AR20" s="166">
        <v>0.01</v>
      </c>
      <c r="AS20" s="167">
        <v>-0.01</v>
      </c>
      <c r="AT20" s="165">
        <f>+AU20+AV20</f>
        <v>0</v>
      </c>
      <c r="AU20" s="166">
        <v>0.01</v>
      </c>
      <c r="AV20" s="167">
        <v>-0.01</v>
      </c>
      <c r="AW20" s="118">
        <f>+(AT20+J20+(M20+P20+S20+V20+Y20+AB20+AE20+AH20+AK20+AN20+AQ20)*2)/24</f>
        <v>0</v>
      </c>
      <c r="AX20" s="118">
        <f t="shared" si="0"/>
        <v>9.9999999999999985E-3</v>
      </c>
      <c r="AY20" s="118">
        <f t="shared" si="0"/>
        <v>-9.9999999999999985E-3</v>
      </c>
    </row>
    <row r="21" spans="1:56">
      <c r="A21" s="133">
        <v>13</v>
      </c>
      <c r="B21" s="155" t="s">
        <v>967</v>
      </c>
      <c r="C21" s="150" t="s">
        <v>741</v>
      </c>
      <c r="D21" s="150"/>
      <c r="E21" s="150" t="s">
        <v>956</v>
      </c>
      <c r="F21" s="150" t="s">
        <v>619</v>
      </c>
      <c r="G21" s="150" t="s">
        <v>968</v>
      </c>
      <c r="H21" s="150" t="s">
        <v>369</v>
      </c>
      <c r="I21" s="151" t="s">
        <v>369</v>
      </c>
      <c r="J21" s="165">
        <f>+K21+L21</f>
        <v>-1014253.48</v>
      </c>
      <c r="K21" s="166">
        <v>-758934.52</v>
      </c>
      <c r="L21" s="167">
        <v>-255318.96</v>
      </c>
      <c r="M21" s="165">
        <f>+N21+O21</f>
        <v>-1014253.48</v>
      </c>
      <c r="N21" s="166">
        <v>-762301.02</v>
      </c>
      <c r="O21" s="167">
        <v>-251952.46</v>
      </c>
      <c r="P21" s="165">
        <f>+Q21+R21</f>
        <v>-1014253.48</v>
      </c>
      <c r="Q21" s="166">
        <v>-762301.02</v>
      </c>
      <c r="R21" s="167">
        <v>-251952.46</v>
      </c>
      <c r="S21" s="165">
        <f>+T21+U21</f>
        <v>-998215.14</v>
      </c>
      <c r="T21" s="166">
        <v>-750245</v>
      </c>
      <c r="U21" s="167">
        <v>-247970.14</v>
      </c>
      <c r="V21" s="165">
        <f>+W21+X21</f>
        <v>-961008.70000000007</v>
      </c>
      <c r="W21" s="166">
        <v>-722276.92</v>
      </c>
      <c r="X21" s="167">
        <v>-238731.78</v>
      </c>
      <c r="Y21" s="165">
        <f>+Z21+AA21</f>
        <v>-961008.70000000007</v>
      </c>
      <c r="Z21" s="166">
        <v>-722276.92</v>
      </c>
      <c r="AA21" s="167">
        <v>-238731.78</v>
      </c>
      <c r="AB21" s="165">
        <f>+AC21+AD21</f>
        <v>-961008.70000000007</v>
      </c>
      <c r="AC21" s="166">
        <v>-722276.92</v>
      </c>
      <c r="AD21" s="167">
        <v>-238731.78</v>
      </c>
      <c r="AE21" s="165">
        <f>+AF21+AG21</f>
        <v>-961008.70000000007</v>
      </c>
      <c r="AF21" s="166">
        <v>-722276.92</v>
      </c>
      <c r="AG21" s="167">
        <v>-238731.78</v>
      </c>
      <c r="AH21" s="165">
        <f>+AI21+AJ21</f>
        <v>-961008.70000000007</v>
      </c>
      <c r="AI21" s="166">
        <v>-722276.92</v>
      </c>
      <c r="AJ21" s="167">
        <v>-238731.78</v>
      </c>
      <c r="AK21" s="165">
        <f>+AL21+AM21</f>
        <v>-940392.64999999991</v>
      </c>
      <c r="AL21" s="166">
        <v>-706779.84</v>
      </c>
      <c r="AM21" s="167">
        <v>-233612.81</v>
      </c>
      <c r="AN21" s="165">
        <f>+AO21+AP21</f>
        <v>-947948.91</v>
      </c>
      <c r="AO21" s="166">
        <v>-712459.88</v>
      </c>
      <c r="AP21" s="167">
        <v>-235489.03</v>
      </c>
      <c r="AQ21" s="165">
        <f>+AR21+AS21</f>
        <v>-956826.3</v>
      </c>
      <c r="AR21" s="166">
        <v>-719133.01</v>
      </c>
      <c r="AS21" s="167">
        <v>-237693.29</v>
      </c>
      <c r="AT21" s="165">
        <f>+AU21+AV21</f>
        <v>-985998.22</v>
      </c>
      <c r="AU21" s="166">
        <v>-741061.54</v>
      </c>
      <c r="AV21" s="167">
        <v>-244936.68</v>
      </c>
      <c r="AW21" s="118">
        <f>+(AT21+J21+(M21+P21+S21+V21+Y21+AB21+AE21+AH21+AK21+AN21+AQ21)*2)/24</f>
        <v>-973088.27583333338</v>
      </c>
      <c r="AX21" s="118">
        <f t="shared" si="0"/>
        <v>-731216.86666666658</v>
      </c>
      <c r="AY21" s="118">
        <f t="shared" si="0"/>
        <v>-241871.40916666665</v>
      </c>
    </row>
    <row r="22" spans="1:56" ht="16.2" thickBot="1">
      <c r="A22" s="133">
        <v>14</v>
      </c>
      <c r="B22" s="155" t="s">
        <v>969</v>
      </c>
      <c r="C22" s="150" t="s">
        <v>741</v>
      </c>
      <c r="D22" s="150"/>
      <c r="E22" s="150" t="s">
        <v>956</v>
      </c>
      <c r="F22" s="150" t="s">
        <v>619</v>
      </c>
      <c r="G22" s="150" t="s">
        <v>970</v>
      </c>
      <c r="H22" s="150" t="s">
        <v>369</v>
      </c>
      <c r="I22" s="151" t="s">
        <v>369</v>
      </c>
      <c r="J22" s="165">
        <f>+K22+L22</f>
        <v>0</v>
      </c>
      <c r="K22" s="166">
        <v>0</v>
      </c>
      <c r="L22" s="167">
        <v>0</v>
      </c>
      <c r="M22" s="165">
        <f>+N22+O22</f>
        <v>0</v>
      </c>
      <c r="N22" s="166">
        <v>0</v>
      </c>
      <c r="O22" s="167">
        <v>0</v>
      </c>
      <c r="P22" s="165">
        <v>0</v>
      </c>
      <c r="Q22" s="166">
        <v>0</v>
      </c>
      <c r="R22" s="167">
        <v>0</v>
      </c>
      <c r="S22" s="165">
        <v>0</v>
      </c>
      <c r="T22" s="166">
        <v>0</v>
      </c>
      <c r="U22" s="167">
        <v>0</v>
      </c>
      <c r="V22" s="165">
        <v>0</v>
      </c>
      <c r="W22" s="166">
        <v>0</v>
      </c>
      <c r="X22" s="167">
        <v>0</v>
      </c>
      <c r="Y22" s="165">
        <v>0</v>
      </c>
      <c r="Z22" s="166">
        <v>0</v>
      </c>
      <c r="AA22" s="167">
        <v>0</v>
      </c>
      <c r="AB22" s="165">
        <v>0</v>
      </c>
      <c r="AC22" s="166">
        <v>0</v>
      </c>
      <c r="AD22" s="167">
        <v>0</v>
      </c>
      <c r="AE22" s="165">
        <v>0</v>
      </c>
      <c r="AF22" s="166">
        <v>0</v>
      </c>
      <c r="AG22" s="167">
        <v>0</v>
      </c>
      <c r="AH22" s="165">
        <f>+AI22+AJ22</f>
        <v>0</v>
      </c>
      <c r="AI22" s="166">
        <v>0</v>
      </c>
      <c r="AJ22" s="167">
        <v>0</v>
      </c>
      <c r="AK22" s="165">
        <f>+AL22+AM22</f>
        <v>0</v>
      </c>
      <c r="AL22" s="166">
        <v>0</v>
      </c>
      <c r="AM22" s="167">
        <v>0</v>
      </c>
      <c r="AN22" s="165">
        <f>+AO22+AP22</f>
        <v>0</v>
      </c>
      <c r="AO22" s="166">
        <v>0</v>
      </c>
      <c r="AP22" s="167">
        <v>0</v>
      </c>
      <c r="AQ22" s="165">
        <f>+AR22+AS22</f>
        <v>0</v>
      </c>
      <c r="AR22" s="166">
        <v>0</v>
      </c>
      <c r="AS22" s="167">
        <v>0</v>
      </c>
      <c r="AT22" s="165">
        <f>+AU22+AV22</f>
        <v>0</v>
      </c>
      <c r="AU22" s="166">
        <v>0</v>
      </c>
      <c r="AV22" s="167">
        <v>0</v>
      </c>
      <c r="AW22" s="168">
        <f>+(AT22+J22+(M22+P22+S22+V22+Y22+AB22+AE22+AH22+AK22+AN22+AQ22)*2)/24</f>
        <v>0</v>
      </c>
      <c r="AX22" s="168">
        <f t="shared" si="0"/>
        <v>0</v>
      </c>
      <c r="AY22" s="168">
        <f t="shared" si="0"/>
        <v>0</v>
      </c>
    </row>
    <row r="23" spans="1:56" ht="16.2" thickBot="1">
      <c r="A23" s="133">
        <v>15</v>
      </c>
      <c r="B23" s="155"/>
      <c r="C23" s="150"/>
      <c r="D23" s="150"/>
      <c r="E23" s="150"/>
      <c r="F23" s="150"/>
      <c r="G23" s="150"/>
      <c r="H23" s="150"/>
      <c r="I23" s="151"/>
      <c r="J23" s="169">
        <f>SUM(J18:J22)</f>
        <v>-4315900.8699999992</v>
      </c>
      <c r="K23" s="170">
        <f>SUM(K17:K22)</f>
        <v>-3905382.89</v>
      </c>
      <c r="L23" s="171">
        <f>SUM(L18:L22)</f>
        <v>-410517.98</v>
      </c>
      <c r="M23" s="169">
        <f>SUM(M17:M22)</f>
        <v>-4317002.2799999993</v>
      </c>
      <c r="N23" s="170">
        <f>SUM(N17:N22)</f>
        <v>-3908749.39</v>
      </c>
      <c r="O23" s="171">
        <f>SUM(O18:O22)</f>
        <v>-408252.89</v>
      </c>
      <c r="P23" s="169">
        <f>SUM(P17:P22)</f>
        <v>-4325437.04</v>
      </c>
      <c r="Q23" s="170">
        <f>SUM(Q17:Q22)</f>
        <v>-3908749.39</v>
      </c>
      <c r="R23" s="171">
        <f>SUM(R18:R22)</f>
        <v>-416687.65</v>
      </c>
      <c r="S23" s="169">
        <f>SUM(S17:S22)</f>
        <v>-4258290.5599999996</v>
      </c>
      <c r="T23" s="170">
        <f>SUM(T17:T22)</f>
        <v>-3822439.39</v>
      </c>
      <c r="U23" s="171">
        <f>SUM(U18:U22)</f>
        <v>-435851.17000000004</v>
      </c>
      <c r="V23" s="169">
        <f>SUM(V17:V22)</f>
        <v>-4217062.6399999997</v>
      </c>
      <c r="W23" s="170">
        <f>SUM(W17:W22)</f>
        <v>-3790858.83</v>
      </c>
      <c r="X23" s="171">
        <f>SUM(X18:X22)</f>
        <v>-426203.81</v>
      </c>
      <c r="Y23" s="169">
        <f>SUM(Y17:Y22)</f>
        <v>-4222721.0199999996</v>
      </c>
      <c r="Z23" s="170">
        <f>SUM(Z17:Z22)</f>
        <v>-3790462.56</v>
      </c>
      <c r="AA23" s="171">
        <f>SUM(AA18:AA22)</f>
        <v>-432258.45999999996</v>
      </c>
      <c r="AB23" s="169">
        <f>SUM(AB17:AB22)</f>
        <v>-4222721.0199999996</v>
      </c>
      <c r="AC23" s="170">
        <f>SUM(AC17:AC22)</f>
        <v>-3790462.56</v>
      </c>
      <c r="AD23" s="171">
        <f>SUM(AD18:AD22)</f>
        <v>-432258.45999999996</v>
      </c>
      <c r="AE23" s="169">
        <f>SUM(AE17:AE22)</f>
        <v>-4219918.54</v>
      </c>
      <c r="AF23" s="170">
        <f>SUM(AF17:AF22)</f>
        <v>-3790462.56</v>
      </c>
      <c r="AG23" s="171">
        <f>SUM(AG18:AG22)</f>
        <v>-429455.98</v>
      </c>
      <c r="AH23" s="169">
        <f>SUM(AH17:AH22)</f>
        <v>-4223767.62</v>
      </c>
      <c r="AI23" s="170">
        <f>SUM(AI17:AI22)</f>
        <v>-3790462.56</v>
      </c>
      <c r="AJ23" s="171">
        <f>SUM(AJ18:AJ22)</f>
        <v>-433305.06</v>
      </c>
      <c r="AK23" s="169">
        <f>SUM(AK17:AK22)</f>
        <v>-4140285.94</v>
      </c>
      <c r="AL23" s="170">
        <f>SUM(AL17:AL22)</f>
        <v>-3721268.94</v>
      </c>
      <c r="AM23" s="171">
        <f>SUM(AM18:AM22)</f>
        <v>-419017</v>
      </c>
      <c r="AN23" s="169">
        <f>SUM(AN17:AN22)</f>
        <v>-4151257.11</v>
      </c>
      <c r="AO23" s="170">
        <f>SUM(AO17:AO22)</f>
        <v>-3726948.98</v>
      </c>
      <c r="AP23" s="171">
        <f>SUM(AP18:AP22)</f>
        <v>-424308.13</v>
      </c>
      <c r="AQ23" s="169">
        <f>SUM(AQ17:AQ22)</f>
        <v>-4166415.3899999997</v>
      </c>
      <c r="AR23" s="170">
        <f>SUM(AR17:AR22)</f>
        <v>-3733622.1100000003</v>
      </c>
      <c r="AS23" s="171">
        <f>SUM(AS18:AS22)</f>
        <v>-432793.28</v>
      </c>
      <c r="AT23" s="169">
        <f>SUM(AT17:AT22)</f>
        <v>-4195587.3099999996</v>
      </c>
      <c r="AU23" s="170">
        <f>SUM(AU17:AU22)</f>
        <v>-3755550.64</v>
      </c>
      <c r="AV23" s="171">
        <f>SUM(AV18:AV22)</f>
        <v>-440036.67</v>
      </c>
      <c r="AW23" s="172">
        <f>SUM(AW18:AW22)</f>
        <v>-4226718.604166666</v>
      </c>
      <c r="AX23" s="717">
        <f>SUM(AX18:AX22)</f>
        <v>-3800412.8362500002</v>
      </c>
      <c r="AY23" s="173">
        <f>SUM(AY18:AY22)</f>
        <v>-426305.76791666669</v>
      </c>
    </row>
    <row r="24" spans="1:56" ht="16.2" thickTop="1">
      <c r="A24" s="133">
        <v>16</v>
      </c>
      <c r="B24" s="155"/>
      <c r="C24" s="150"/>
      <c r="D24" s="150"/>
      <c r="E24" s="150"/>
      <c r="F24" s="150"/>
      <c r="G24" s="150"/>
      <c r="H24" s="150"/>
      <c r="I24" s="151"/>
      <c r="J24" s="161"/>
      <c r="K24" s="162"/>
      <c r="L24" s="163">
        <v>8.7311491370201111E-10</v>
      </c>
      <c r="M24" s="161"/>
      <c r="N24" s="162"/>
      <c r="O24" s="163">
        <v>5.8207660913467407E-10</v>
      </c>
      <c r="P24" s="161"/>
      <c r="Q24" s="162"/>
      <c r="R24" s="163">
        <v>6.9849193096160889E-10</v>
      </c>
      <c r="S24" s="161"/>
      <c r="T24" s="162"/>
      <c r="U24" s="163">
        <v>0</v>
      </c>
      <c r="V24" s="161"/>
      <c r="W24" s="162"/>
      <c r="X24" s="163">
        <v>0</v>
      </c>
      <c r="Y24" s="161"/>
      <c r="Z24" s="162"/>
      <c r="AA24" s="163">
        <v>0</v>
      </c>
      <c r="AB24" s="161"/>
      <c r="AC24" s="162"/>
      <c r="AD24" s="163">
        <v>0</v>
      </c>
      <c r="AE24" s="161"/>
      <c r="AF24" s="162"/>
      <c r="AG24" s="163">
        <v>0</v>
      </c>
      <c r="AH24" s="161"/>
      <c r="AI24" s="162"/>
      <c r="AJ24" s="163">
        <v>0</v>
      </c>
      <c r="AK24" s="161"/>
      <c r="AL24" s="162"/>
      <c r="AM24" s="163">
        <v>4.6566128730773926E-10</v>
      </c>
      <c r="AN24" s="161"/>
      <c r="AO24" s="162"/>
      <c r="AP24" s="163">
        <v>4.6566128730773926E-10</v>
      </c>
      <c r="AQ24" s="161"/>
      <c r="AR24" s="162"/>
      <c r="AS24" s="163">
        <v>6.4028427004814148E-10</v>
      </c>
      <c r="AT24" s="161"/>
      <c r="AU24" s="162"/>
      <c r="AV24" s="163">
        <v>0</v>
      </c>
      <c r="AW24" s="174"/>
      <c r="AX24" s="1951" t="s">
        <v>1986</v>
      </c>
      <c r="AY24" s="1951"/>
      <c r="AZ24" s="1951"/>
      <c r="BA24" s="1951"/>
      <c r="BB24" s="1951"/>
      <c r="BC24" s="1951"/>
      <c r="BD24" s="1951"/>
    </row>
    <row r="25" spans="1:56" ht="16.2">
      <c r="A25" s="133">
        <v>17</v>
      </c>
      <c r="B25" s="1937" t="s">
        <v>971</v>
      </c>
      <c r="C25" s="1938"/>
      <c r="D25" s="1938"/>
      <c r="E25" s="1938"/>
      <c r="F25" s="1938"/>
      <c r="G25" s="1938"/>
      <c r="H25" s="1938"/>
      <c r="I25" s="1939"/>
      <c r="J25" s="175"/>
      <c r="K25" s="176"/>
      <c r="L25" s="177"/>
      <c r="M25" s="175"/>
      <c r="N25" s="176"/>
      <c r="O25" s="177"/>
      <c r="P25" s="175"/>
      <c r="Q25" s="176"/>
      <c r="R25" s="177"/>
      <c r="S25" s="175"/>
      <c r="T25" s="176"/>
      <c r="U25" s="177"/>
      <c r="V25" s="175"/>
      <c r="W25" s="176"/>
      <c r="X25" s="177"/>
      <c r="Y25" s="175"/>
      <c r="Z25" s="176"/>
      <c r="AA25" s="177"/>
      <c r="AB25" s="175"/>
      <c r="AC25" s="176"/>
      <c r="AD25" s="177"/>
      <c r="AE25" s="175"/>
      <c r="AF25" s="176"/>
      <c r="AG25" s="177"/>
      <c r="AH25" s="175"/>
      <c r="AI25" s="176"/>
      <c r="AJ25" s="177"/>
      <c r="AK25" s="175"/>
      <c r="AL25" s="176"/>
      <c r="AM25" s="177"/>
      <c r="AN25" s="175"/>
      <c r="AO25" s="176"/>
      <c r="AP25" s="177"/>
      <c r="AQ25" s="175"/>
      <c r="AR25" s="176"/>
      <c r="AS25" s="177"/>
      <c r="AT25" s="175"/>
      <c r="AU25" s="176"/>
      <c r="AV25" s="177"/>
      <c r="AX25" s="1951"/>
      <c r="AY25" s="1951"/>
      <c r="AZ25" s="1951"/>
      <c r="BA25" s="1951"/>
      <c r="BB25" s="1951"/>
      <c r="BC25" s="1951"/>
      <c r="BD25" s="1951"/>
    </row>
    <row r="26" spans="1:56">
      <c r="A26" s="133">
        <v>18</v>
      </c>
      <c r="B26" s="178" t="s">
        <v>972</v>
      </c>
      <c r="C26" s="150" t="s">
        <v>741</v>
      </c>
      <c r="D26" s="150"/>
      <c r="E26" s="150" t="s">
        <v>956</v>
      </c>
      <c r="F26" s="179" t="s">
        <v>628</v>
      </c>
      <c r="G26" s="179" t="s">
        <v>973</v>
      </c>
      <c r="H26" s="179" t="s">
        <v>369</v>
      </c>
      <c r="I26" s="180" t="s">
        <v>369</v>
      </c>
      <c r="J26" s="181">
        <f>+K26+L26</f>
        <v>-99638867.390000001</v>
      </c>
      <c r="K26" s="673">
        <v>-76751819.560000002</v>
      </c>
      <c r="L26" s="182">
        <v>-22887047.829999998</v>
      </c>
      <c r="M26" s="181">
        <f>+N26+O26</f>
        <v>-99562756.319999993</v>
      </c>
      <c r="N26" s="673">
        <v>-75209706.129999995</v>
      </c>
      <c r="O26" s="182">
        <v>-24353050.190000001</v>
      </c>
      <c r="P26" s="181">
        <f>+Q26+R26</f>
        <v>-99486645.239999995</v>
      </c>
      <c r="Q26" s="673">
        <v>-75152211.819999993</v>
      </c>
      <c r="R26" s="182">
        <v>-24334433.420000002</v>
      </c>
      <c r="S26" s="181">
        <f>+T26+U26</f>
        <v>-99410534.159999996</v>
      </c>
      <c r="T26" s="673">
        <v>-75094717.510000005</v>
      </c>
      <c r="U26" s="182">
        <v>-24315816.649999999</v>
      </c>
      <c r="V26" s="181">
        <f>+W26+X26</f>
        <v>-99334423.089999989</v>
      </c>
      <c r="W26" s="673">
        <v>-75037223.209999993</v>
      </c>
      <c r="X26" s="182">
        <v>-24297199.879999999</v>
      </c>
      <c r="Y26" s="181">
        <v>-1.4901161193847699E-8</v>
      </c>
      <c r="Z26" s="673">
        <v>-9.9999904632568394E-3</v>
      </c>
      <c r="AA26" s="182">
        <v>1.00000016391277E-2</v>
      </c>
      <c r="AB26" s="181">
        <v>-1.4901161193847699E-8</v>
      </c>
      <c r="AC26" s="673">
        <v>-9.9999904632568394E-3</v>
      </c>
      <c r="AD26" s="182">
        <v>1.00000016391277E-2</v>
      </c>
      <c r="AE26" s="181">
        <v>-1.4901161193847699E-8</v>
      </c>
      <c r="AF26" s="673">
        <v>-9.9999904632568394E-3</v>
      </c>
      <c r="AG26" s="182">
        <v>1.00000016391277E-2</v>
      </c>
      <c r="AH26" s="181">
        <v>-1.4901161193847699E-8</v>
      </c>
      <c r="AI26" s="673">
        <v>-9.9999904632568394E-3</v>
      </c>
      <c r="AJ26" s="182">
        <v>1.00000016391277E-2</v>
      </c>
      <c r="AK26" s="181">
        <v>-1.4901161193847699E-8</v>
      </c>
      <c r="AL26" s="673">
        <v>-9.9999904632568394E-3</v>
      </c>
      <c r="AM26" s="182">
        <v>1.00000016391277E-2</v>
      </c>
      <c r="AN26" s="181">
        <v>-1.4901161193847699E-8</v>
      </c>
      <c r="AO26" s="673">
        <v>-9.9999904632568394E-3</v>
      </c>
      <c r="AP26" s="182">
        <v>1.00000016391277E-2</v>
      </c>
      <c r="AQ26" s="181">
        <v>-1.4901161193847699E-8</v>
      </c>
      <c r="AR26" s="673">
        <v>-9.9999904632568394E-3</v>
      </c>
      <c r="AS26" s="182">
        <v>1.00000016391277E-2</v>
      </c>
      <c r="AT26" s="181">
        <v>-1.4901161193847699E-8</v>
      </c>
      <c r="AU26" s="673">
        <v>-9.9999904632568394E-3</v>
      </c>
      <c r="AV26" s="182">
        <v>1.00000016391277E-2</v>
      </c>
      <c r="AW26" s="118">
        <f t="shared" ref="AW26:AW42" si="1">+(AT26+J26+(M26+P26+S26+V26+Y26+AB26+AE26+AH26+AK26+AN26+AQ26)*2)/24</f>
        <v>-37301149.375416666</v>
      </c>
      <c r="AX26" s="118">
        <f t="shared" ref="AX26:AX42" si="2">+(AU26+K26+(N26+Q26+T26+W26+Z26+AC26+AF26+AI26+AL26+AO26+AR26)*2)/24</f>
        <v>-28239147.37708332</v>
      </c>
      <c r="AY26" s="118">
        <f t="shared" ref="AY26:AY42" si="3">+(AV26+L26+(O26+R26+U26+X26+AA26+AD26+AG26+AJ26+AM26+AP26+AS26)*2)/24</f>
        <v>-9062001.9983333293</v>
      </c>
    </row>
    <row r="27" spans="1:56">
      <c r="A27" s="133">
        <v>19</v>
      </c>
      <c r="B27" s="178" t="s">
        <v>972</v>
      </c>
      <c r="C27" s="150" t="s">
        <v>741</v>
      </c>
      <c r="D27" s="150"/>
      <c r="E27" s="150" t="s">
        <v>984</v>
      </c>
      <c r="F27" s="179" t="s">
        <v>628</v>
      </c>
      <c r="G27" s="179" t="s">
        <v>973</v>
      </c>
      <c r="H27" s="179" t="s">
        <v>369</v>
      </c>
      <c r="I27" s="180" t="s">
        <v>369</v>
      </c>
      <c r="J27" s="181">
        <f t="shared" ref="J27:J34" si="4">+K27+L27</f>
        <v>0</v>
      </c>
      <c r="K27" s="673">
        <v>0</v>
      </c>
      <c r="L27" s="182">
        <v>0</v>
      </c>
      <c r="M27" s="181">
        <f t="shared" ref="M27:M34" si="5">+N27+O27</f>
        <v>0</v>
      </c>
      <c r="N27" s="673">
        <v>0</v>
      </c>
      <c r="O27" s="182">
        <v>0</v>
      </c>
      <c r="P27" s="181">
        <f t="shared" ref="P27:P34" si="6">+Q27+R27</f>
        <v>0</v>
      </c>
      <c r="Q27" s="673">
        <v>0</v>
      </c>
      <c r="R27" s="182">
        <v>0</v>
      </c>
      <c r="S27" s="181">
        <f t="shared" ref="S27:S34" si="7">+T27+U27</f>
        <v>0</v>
      </c>
      <c r="T27" s="673">
        <v>0</v>
      </c>
      <c r="U27" s="182">
        <v>0</v>
      </c>
      <c r="V27" s="181">
        <f t="shared" ref="V27:V34" si="8">+W27+X27</f>
        <v>0</v>
      </c>
      <c r="W27" s="673">
        <v>0</v>
      </c>
      <c r="X27" s="182">
        <v>0</v>
      </c>
      <c r="Y27" s="181">
        <f>+Z27+AA27</f>
        <v>-22343046.039999999</v>
      </c>
      <c r="Z27" s="673">
        <v>0</v>
      </c>
      <c r="AA27" s="182">
        <v>-22343046.039999999</v>
      </c>
      <c r="AB27" s="181">
        <f>+AC27+AD27</f>
        <v>-22325913.43</v>
      </c>
      <c r="AC27" s="673">
        <v>0</v>
      </c>
      <c r="AD27" s="182">
        <v>-22325913.43</v>
      </c>
      <c r="AE27" s="181">
        <f>+AF27+AG27</f>
        <v>-22308780.829999998</v>
      </c>
      <c r="AF27" s="673">
        <v>0</v>
      </c>
      <c r="AG27" s="182">
        <v>-22308780.829999998</v>
      </c>
      <c r="AH27" s="181">
        <f>+AI27+AJ27</f>
        <v>-22291648.23</v>
      </c>
      <c r="AI27" s="673">
        <v>0</v>
      </c>
      <c r="AJ27" s="182">
        <v>-22291648.23</v>
      </c>
      <c r="AK27" s="181">
        <f>+AL27+AM27</f>
        <v>-22274515.629999999</v>
      </c>
      <c r="AL27" s="673">
        <v>0</v>
      </c>
      <c r="AM27" s="182">
        <v>-22274515.629999999</v>
      </c>
      <c r="AN27" s="181">
        <f>+AO27+AP27</f>
        <v>-22257383.030000001</v>
      </c>
      <c r="AO27" s="673">
        <v>0</v>
      </c>
      <c r="AP27" s="182">
        <v>-22257383.030000001</v>
      </c>
      <c r="AQ27" s="181">
        <f>+AR27+AS27</f>
        <v>-22454623.309999999</v>
      </c>
      <c r="AR27" s="673">
        <v>0</v>
      </c>
      <c r="AS27" s="182">
        <v>-22454623.309999999</v>
      </c>
      <c r="AT27" s="181">
        <f>+AU27+AV27</f>
        <v>-22776131.02</v>
      </c>
      <c r="AU27" s="673">
        <v>0</v>
      </c>
      <c r="AV27" s="182">
        <v>-22776131.02</v>
      </c>
      <c r="AW27" s="118">
        <f t="shared" si="1"/>
        <v>-13970331.334166666</v>
      </c>
      <c r="AX27" s="118">
        <f t="shared" si="2"/>
        <v>0</v>
      </c>
      <c r="AY27" s="118">
        <f t="shared" si="3"/>
        <v>-13970331.334166666</v>
      </c>
    </row>
    <row r="28" spans="1:56">
      <c r="A28" s="133">
        <v>20</v>
      </c>
      <c r="B28" s="178" t="s">
        <v>972</v>
      </c>
      <c r="C28" s="150" t="s">
        <v>741</v>
      </c>
      <c r="D28" s="150"/>
      <c r="E28" s="150" t="s">
        <v>959</v>
      </c>
      <c r="F28" s="179" t="s">
        <v>628</v>
      </c>
      <c r="G28" s="179" t="s">
        <v>973</v>
      </c>
      <c r="H28" s="179" t="s">
        <v>369</v>
      </c>
      <c r="I28" s="180" t="s">
        <v>369</v>
      </c>
      <c r="J28" s="181">
        <f t="shared" si="4"/>
        <v>0</v>
      </c>
      <c r="K28" s="673">
        <v>0</v>
      </c>
      <c r="L28" s="182">
        <v>0</v>
      </c>
      <c r="M28" s="181">
        <f t="shared" si="5"/>
        <v>0</v>
      </c>
      <c r="N28" s="673">
        <v>0</v>
      </c>
      <c r="O28" s="182">
        <v>0</v>
      </c>
      <c r="P28" s="181">
        <f t="shared" si="6"/>
        <v>0</v>
      </c>
      <c r="Q28" s="673">
        <v>0</v>
      </c>
      <c r="R28" s="182">
        <v>0</v>
      </c>
      <c r="S28" s="181">
        <f t="shared" si="7"/>
        <v>0</v>
      </c>
      <c r="T28" s="673">
        <v>0</v>
      </c>
      <c r="U28" s="182">
        <v>0</v>
      </c>
      <c r="V28" s="181">
        <f t="shared" si="8"/>
        <v>0</v>
      </c>
      <c r="W28" s="673">
        <v>0</v>
      </c>
      <c r="X28" s="182">
        <v>0</v>
      </c>
      <c r="Y28" s="181">
        <f t="shared" ref="Y28:Y34" si="9">+Z28+AA28</f>
        <v>-76915265.980000004</v>
      </c>
      <c r="Z28" s="673">
        <v>-76915265.980000004</v>
      </c>
      <c r="AA28" s="182">
        <v>0</v>
      </c>
      <c r="AB28" s="181">
        <f t="shared" ref="AB28:AB34" si="10">+AC28+AD28</f>
        <v>-76856287.510000005</v>
      </c>
      <c r="AC28" s="673">
        <v>-76856287.510000005</v>
      </c>
      <c r="AD28" s="182">
        <v>0</v>
      </c>
      <c r="AE28" s="181">
        <f t="shared" ref="AE28:AE34" si="11">+AF28+AG28</f>
        <v>-76797309.040000007</v>
      </c>
      <c r="AF28" s="673">
        <v>-76797309.040000007</v>
      </c>
      <c r="AG28" s="182">
        <v>0</v>
      </c>
      <c r="AH28" s="181">
        <f t="shared" ref="AH28:AH34" si="12">+AI28+AJ28</f>
        <v>-76738330.569999993</v>
      </c>
      <c r="AI28" s="673">
        <v>-76738330.569999993</v>
      </c>
      <c r="AJ28" s="182">
        <v>0</v>
      </c>
      <c r="AK28" s="181">
        <f t="shared" ref="AK28:AK34" si="13">+AL28+AM28</f>
        <v>-76679352.090000004</v>
      </c>
      <c r="AL28" s="673">
        <v>-76679352.090000004</v>
      </c>
      <c r="AM28" s="182">
        <v>0</v>
      </c>
      <c r="AN28" s="181">
        <f t="shared" ref="AN28:AN34" si="14">+AO28+AP28</f>
        <v>-76620373.620000005</v>
      </c>
      <c r="AO28" s="673">
        <v>-76620373.620000005</v>
      </c>
      <c r="AP28" s="182">
        <v>0</v>
      </c>
      <c r="AQ28" s="181">
        <f t="shared" ref="AQ28:AQ34" si="15">+AR28+AS28</f>
        <v>-77299367.390000001</v>
      </c>
      <c r="AR28" s="673">
        <v>-77299367.390000001</v>
      </c>
      <c r="AS28" s="182">
        <v>0</v>
      </c>
      <c r="AT28" s="181">
        <f t="shared" ref="AT28:AT34" si="16">+AU28+AV28</f>
        <v>-78406148.049999997</v>
      </c>
      <c r="AU28" s="673">
        <v>-78406148.049999997</v>
      </c>
      <c r="AV28" s="182">
        <v>0</v>
      </c>
      <c r="AW28" s="118">
        <f t="shared" si="1"/>
        <v>-48092446.685416669</v>
      </c>
      <c r="AX28" s="118">
        <f t="shared" si="2"/>
        <v>-48092446.685416669</v>
      </c>
      <c r="AY28" s="118">
        <f t="shared" si="3"/>
        <v>0</v>
      </c>
    </row>
    <row r="29" spans="1:56">
      <c r="A29" s="133">
        <v>21</v>
      </c>
      <c r="B29" s="178" t="s">
        <v>974</v>
      </c>
      <c r="C29" s="150" t="s">
        <v>741</v>
      </c>
      <c r="D29" s="150"/>
      <c r="E29" s="150" t="s">
        <v>956</v>
      </c>
      <c r="F29" s="179" t="s">
        <v>629</v>
      </c>
      <c r="G29" s="179" t="s">
        <v>975</v>
      </c>
      <c r="H29" s="179" t="s">
        <v>369</v>
      </c>
      <c r="I29" s="180" t="s">
        <v>369</v>
      </c>
      <c r="J29" s="181">
        <f t="shared" si="4"/>
        <v>-153482.01</v>
      </c>
      <c r="K29" s="673">
        <v>-118227.19</v>
      </c>
      <c r="L29" s="182">
        <v>-35254.82</v>
      </c>
      <c r="M29" s="181">
        <f t="shared" si="5"/>
        <v>-152777.97</v>
      </c>
      <c r="N29" s="673">
        <v>-115408.48</v>
      </c>
      <c r="O29" s="182">
        <v>-37369.49</v>
      </c>
      <c r="P29" s="181">
        <f t="shared" si="6"/>
        <v>-152073.93</v>
      </c>
      <c r="Q29" s="673">
        <v>-114876.65</v>
      </c>
      <c r="R29" s="182">
        <v>-37197.279999999999</v>
      </c>
      <c r="S29" s="181">
        <f t="shared" si="7"/>
        <v>-151369.9</v>
      </c>
      <c r="T29" s="673">
        <v>-114344.83</v>
      </c>
      <c r="U29" s="182">
        <v>-37025.07</v>
      </c>
      <c r="V29" s="181">
        <f t="shared" si="8"/>
        <v>-150665.85999999999</v>
      </c>
      <c r="W29" s="673">
        <v>-113813</v>
      </c>
      <c r="X29" s="182">
        <v>-36852.86</v>
      </c>
      <c r="Y29" s="181">
        <f t="shared" si="9"/>
        <v>2.1827898863402417E-11</v>
      </c>
      <c r="Z29" s="673">
        <v>-9.9999999802094005E-3</v>
      </c>
      <c r="AA29" s="182">
        <v>1.0000000002037299E-2</v>
      </c>
      <c r="AB29" s="181">
        <f t="shared" si="10"/>
        <v>2.1827898863402417E-11</v>
      </c>
      <c r="AC29" s="673">
        <v>-9.9999999802094005E-3</v>
      </c>
      <c r="AD29" s="182">
        <v>1.0000000002037299E-2</v>
      </c>
      <c r="AE29" s="181">
        <f t="shared" si="11"/>
        <v>2.1827898863402417E-11</v>
      </c>
      <c r="AF29" s="673">
        <v>-9.9999999802094005E-3</v>
      </c>
      <c r="AG29" s="182">
        <v>1.0000000002037299E-2</v>
      </c>
      <c r="AH29" s="181">
        <f t="shared" si="12"/>
        <v>2.1827898863402417E-11</v>
      </c>
      <c r="AI29" s="673">
        <v>-9.9999999802094005E-3</v>
      </c>
      <c r="AJ29" s="182">
        <v>1.0000000002037299E-2</v>
      </c>
      <c r="AK29" s="181">
        <f t="shared" si="13"/>
        <v>2.1827898863402417E-11</v>
      </c>
      <c r="AL29" s="673">
        <v>-9.9999999802094005E-3</v>
      </c>
      <c r="AM29" s="182">
        <v>1.0000000002037299E-2</v>
      </c>
      <c r="AN29" s="181">
        <f t="shared" si="14"/>
        <v>2.1827898863402417E-11</v>
      </c>
      <c r="AO29" s="673">
        <v>-9.9999999802094005E-3</v>
      </c>
      <c r="AP29" s="182">
        <v>1.0000000002037299E-2</v>
      </c>
      <c r="AQ29" s="181">
        <f t="shared" si="15"/>
        <v>2.1827898863402417E-11</v>
      </c>
      <c r="AR29" s="673">
        <v>-9.9999999802094005E-3</v>
      </c>
      <c r="AS29" s="182">
        <v>1.0000000002037299E-2</v>
      </c>
      <c r="AT29" s="181">
        <f t="shared" si="16"/>
        <v>2.1827898863402417E-11</v>
      </c>
      <c r="AU29" s="673">
        <v>-9.9999999802094005E-3</v>
      </c>
      <c r="AV29" s="182">
        <v>1.0000000002037299E-2</v>
      </c>
      <c r="AW29" s="373">
        <f t="shared" si="1"/>
        <v>-56969.05541666667</v>
      </c>
      <c r="AX29" s="374">
        <f t="shared" si="2"/>
        <v>-43129.719166666669</v>
      </c>
      <c r="AY29" s="374">
        <f t="shared" si="3"/>
        <v>-13839.336249999995</v>
      </c>
    </row>
    <row r="30" spans="1:56">
      <c r="A30" s="133">
        <v>22</v>
      </c>
      <c r="B30" s="178" t="s">
        <v>974</v>
      </c>
      <c r="C30" s="150" t="s">
        <v>741</v>
      </c>
      <c r="D30" s="150"/>
      <c r="E30" s="150" t="s">
        <v>984</v>
      </c>
      <c r="F30" s="179" t="s">
        <v>629</v>
      </c>
      <c r="G30" s="179" t="s">
        <v>975</v>
      </c>
      <c r="H30" s="179" t="s">
        <v>369</v>
      </c>
      <c r="I30" s="180" t="s">
        <v>369</v>
      </c>
      <c r="J30" s="181">
        <f t="shared" si="4"/>
        <v>0</v>
      </c>
      <c r="K30" s="673">
        <v>0</v>
      </c>
      <c r="L30" s="182">
        <v>0</v>
      </c>
      <c r="M30" s="181">
        <f t="shared" si="5"/>
        <v>0</v>
      </c>
      <c r="N30" s="673">
        <v>0</v>
      </c>
      <c r="O30" s="182">
        <v>0</v>
      </c>
      <c r="P30" s="181">
        <f t="shared" si="6"/>
        <v>0</v>
      </c>
      <c r="Q30" s="673">
        <v>0</v>
      </c>
      <c r="R30" s="182">
        <v>0</v>
      </c>
      <c r="S30" s="181">
        <f t="shared" si="7"/>
        <v>0</v>
      </c>
      <c r="T30" s="673">
        <v>0</v>
      </c>
      <c r="U30" s="182">
        <v>0</v>
      </c>
      <c r="V30" s="181">
        <f t="shared" si="8"/>
        <v>0</v>
      </c>
      <c r="W30" s="673">
        <v>0</v>
      </c>
      <c r="X30" s="182">
        <v>0</v>
      </c>
      <c r="Y30" s="181">
        <f t="shared" si="9"/>
        <v>-36680.65</v>
      </c>
      <c r="Z30" s="673">
        <v>0</v>
      </c>
      <c r="AA30" s="182">
        <v>-36680.65</v>
      </c>
      <c r="AB30" s="181">
        <f t="shared" si="10"/>
        <v>-36508.44</v>
      </c>
      <c r="AC30" s="673">
        <v>0</v>
      </c>
      <c r="AD30" s="182">
        <v>-36508.44</v>
      </c>
      <c r="AE30" s="181">
        <f t="shared" si="11"/>
        <v>-36336.230000000003</v>
      </c>
      <c r="AF30" s="673">
        <v>0</v>
      </c>
      <c r="AG30" s="182">
        <v>-36336.230000000003</v>
      </c>
      <c r="AH30" s="181">
        <f t="shared" si="12"/>
        <v>-36164.019999999997</v>
      </c>
      <c r="AI30" s="673">
        <v>0</v>
      </c>
      <c r="AJ30" s="182">
        <v>-36164.019999999997</v>
      </c>
      <c r="AK30" s="181">
        <f t="shared" si="13"/>
        <v>-35991.82</v>
      </c>
      <c r="AL30" s="673">
        <v>0</v>
      </c>
      <c r="AM30" s="182">
        <v>-35991.82</v>
      </c>
      <c r="AN30" s="181">
        <f t="shared" si="14"/>
        <v>-35819.61</v>
      </c>
      <c r="AO30" s="673">
        <v>0</v>
      </c>
      <c r="AP30" s="182">
        <v>-35819.61</v>
      </c>
      <c r="AQ30" s="181">
        <f t="shared" si="15"/>
        <v>-35647.4</v>
      </c>
      <c r="AR30" s="673">
        <v>0</v>
      </c>
      <c r="AS30" s="182">
        <v>-35647.4</v>
      </c>
      <c r="AT30" s="181">
        <f t="shared" si="16"/>
        <v>-35475.199999999997</v>
      </c>
      <c r="AU30" s="673">
        <v>0</v>
      </c>
      <c r="AV30" s="182">
        <v>-35475.199999999997</v>
      </c>
      <c r="AW30" s="373">
        <f t="shared" si="1"/>
        <v>-22573.814166666667</v>
      </c>
      <c r="AX30" s="374">
        <f t="shared" si="2"/>
        <v>0</v>
      </c>
      <c r="AY30" s="374">
        <f t="shared" si="3"/>
        <v>-22573.814166666667</v>
      </c>
    </row>
    <row r="31" spans="1:56">
      <c r="A31" s="133">
        <v>23</v>
      </c>
      <c r="B31" s="178" t="s">
        <v>974</v>
      </c>
      <c r="C31" s="150" t="s">
        <v>741</v>
      </c>
      <c r="D31" s="150"/>
      <c r="E31" s="150" t="s">
        <v>959</v>
      </c>
      <c r="F31" s="179" t="s">
        <v>629</v>
      </c>
      <c r="G31" s="179" t="s">
        <v>975</v>
      </c>
      <c r="H31" s="179" t="s">
        <v>369</v>
      </c>
      <c r="I31" s="180" t="s">
        <v>369</v>
      </c>
      <c r="J31" s="181">
        <f t="shared" si="4"/>
        <v>0</v>
      </c>
      <c r="K31" s="673">
        <v>0</v>
      </c>
      <c r="L31" s="182">
        <v>0</v>
      </c>
      <c r="M31" s="181">
        <f t="shared" si="5"/>
        <v>0</v>
      </c>
      <c r="N31" s="673">
        <v>0</v>
      </c>
      <c r="O31" s="182">
        <v>0</v>
      </c>
      <c r="P31" s="181">
        <f t="shared" si="6"/>
        <v>0</v>
      </c>
      <c r="Q31" s="673">
        <v>0</v>
      </c>
      <c r="R31" s="182">
        <v>0</v>
      </c>
      <c r="S31" s="181">
        <f t="shared" si="7"/>
        <v>0</v>
      </c>
      <c r="T31" s="673">
        <v>0</v>
      </c>
      <c r="U31" s="182">
        <v>0</v>
      </c>
      <c r="V31" s="181">
        <f t="shared" si="8"/>
        <v>0</v>
      </c>
      <c r="W31" s="673">
        <v>0</v>
      </c>
      <c r="X31" s="182">
        <v>0</v>
      </c>
      <c r="Y31" s="181">
        <f t="shared" si="9"/>
        <v>-113281.17</v>
      </c>
      <c r="Z31" s="673">
        <v>-113281.17</v>
      </c>
      <c r="AA31" s="182">
        <v>0</v>
      </c>
      <c r="AB31" s="181">
        <f t="shared" si="10"/>
        <v>-112749.34</v>
      </c>
      <c r="AC31" s="673">
        <v>-112749.34</v>
      </c>
      <c r="AD31" s="182">
        <v>0</v>
      </c>
      <c r="AE31" s="181">
        <f t="shared" si="11"/>
        <v>-112217.51</v>
      </c>
      <c r="AF31" s="673">
        <v>-112217.51</v>
      </c>
      <c r="AG31" s="182">
        <v>0</v>
      </c>
      <c r="AH31" s="181">
        <f t="shared" si="12"/>
        <v>-111685.68</v>
      </c>
      <c r="AI31" s="673">
        <v>-111685.68</v>
      </c>
      <c r="AJ31" s="182">
        <v>0</v>
      </c>
      <c r="AK31" s="181">
        <f t="shared" si="13"/>
        <v>-111153.85</v>
      </c>
      <c r="AL31" s="673">
        <v>-111153.85</v>
      </c>
      <c r="AM31" s="182">
        <v>0</v>
      </c>
      <c r="AN31" s="181">
        <f t="shared" si="14"/>
        <v>-110622.02</v>
      </c>
      <c r="AO31" s="673">
        <v>-110622.02</v>
      </c>
      <c r="AP31" s="182">
        <v>0</v>
      </c>
      <c r="AQ31" s="181">
        <f t="shared" si="15"/>
        <v>-110090.19</v>
      </c>
      <c r="AR31" s="673">
        <v>-110090.19</v>
      </c>
      <c r="AS31" s="182">
        <v>0</v>
      </c>
      <c r="AT31" s="181">
        <f t="shared" si="16"/>
        <v>-109558.36</v>
      </c>
      <c r="AU31" s="673">
        <v>-109558.36</v>
      </c>
      <c r="AV31" s="182">
        <v>0</v>
      </c>
      <c r="AW31" s="373">
        <f t="shared" si="1"/>
        <v>-69714.911666666667</v>
      </c>
      <c r="AX31" s="374">
        <f t="shared" si="2"/>
        <v>-69714.911666666667</v>
      </c>
      <c r="AY31" s="374">
        <f t="shared" si="3"/>
        <v>0</v>
      </c>
    </row>
    <row r="32" spans="1:56">
      <c r="A32" s="133">
        <v>24</v>
      </c>
      <c r="B32" s="178" t="s">
        <v>1306</v>
      </c>
      <c r="C32" s="150" t="s">
        <v>741</v>
      </c>
      <c r="D32" s="150"/>
      <c r="E32" s="150" t="s">
        <v>956</v>
      </c>
      <c r="F32" s="179" t="s">
        <v>456</v>
      </c>
      <c r="G32" s="179" t="s">
        <v>1311</v>
      </c>
      <c r="H32" s="179" t="s">
        <v>369</v>
      </c>
      <c r="I32" s="180" t="s">
        <v>369</v>
      </c>
      <c r="J32" s="181">
        <f t="shared" si="4"/>
        <v>680831.94</v>
      </c>
      <c r="K32" s="673">
        <v>524444.86</v>
      </c>
      <c r="L32" s="182">
        <v>156387.07999999999</v>
      </c>
      <c r="M32" s="181">
        <f t="shared" si="5"/>
        <v>681059.07000000007</v>
      </c>
      <c r="N32" s="673">
        <v>514472.02</v>
      </c>
      <c r="O32" s="182">
        <v>166587.04999999999</v>
      </c>
      <c r="P32" s="181">
        <f t="shared" si="6"/>
        <v>682798.39999999991</v>
      </c>
      <c r="Q32" s="673">
        <v>515785.91</v>
      </c>
      <c r="R32" s="182">
        <v>167012.49</v>
      </c>
      <c r="S32" s="181">
        <f t="shared" si="7"/>
        <v>672259.39</v>
      </c>
      <c r="T32" s="673">
        <v>507824.74</v>
      </c>
      <c r="U32" s="182">
        <v>164434.65</v>
      </c>
      <c r="V32" s="181">
        <f t="shared" si="8"/>
        <v>671430.12</v>
      </c>
      <c r="W32" s="673">
        <v>507198.31</v>
      </c>
      <c r="X32" s="182">
        <v>164231.81</v>
      </c>
      <c r="Y32" s="181">
        <f t="shared" si="9"/>
        <v>0</v>
      </c>
      <c r="Z32" s="673">
        <v>0</v>
      </c>
      <c r="AA32" s="182">
        <v>0</v>
      </c>
      <c r="AB32" s="181">
        <f t="shared" si="10"/>
        <v>0</v>
      </c>
      <c r="AC32" s="673">
        <v>0</v>
      </c>
      <c r="AD32" s="182">
        <v>0</v>
      </c>
      <c r="AE32" s="181">
        <f t="shared" si="11"/>
        <v>0</v>
      </c>
      <c r="AF32" s="673">
        <v>0</v>
      </c>
      <c r="AG32" s="182">
        <v>0</v>
      </c>
      <c r="AH32" s="181">
        <f t="shared" si="12"/>
        <v>0</v>
      </c>
      <c r="AI32" s="673">
        <v>0</v>
      </c>
      <c r="AJ32" s="182">
        <v>0</v>
      </c>
      <c r="AK32" s="181">
        <f t="shared" si="13"/>
        <v>0</v>
      </c>
      <c r="AL32" s="673">
        <v>0</v>
      </c>
      <c r="AM32" s="182">
        <v>0</v>
      </c>
      <c r="AN32" s="181">
        <f t="shared" si="14"/>
        <v>0</v>
      </c>
      <c r="AO32" s="673">
        <v>0</v>
      </c>
      <c r="AP32" s="182">
        <v>0</v>
      </c>
      <c r="AQ32" s="181">
        <f t="shared" si="15"/>
        <v>0</v>
      </c>
      <c r="AR32" s="673">
        <v>0</v>
      </c>
      <c r="AS32" s="182">
        <v>0</v>
      </c>
      <c r="AT32" s="181">
        <f t="shared" si="16"/>
        <v>0</v>
      </c>
      <c r="AU32" s="673">
        <v>0</v>
      </c>
      <c r="AV32" s="182">
        <v>0</v>
      </c>
      <c r="AW32" s="373">
        <f t="shared" si="1"/>
        <v>253996.91250000001</v>
      </c>
      <c r="AX32" s="374">
        <f t="shared" si="2"/>
        <v>192291.95083333334</v>
      </c>
      <c r="AY32" s="374">
        <f t="shared" si="3"/>
        <v>61704.96166666667</v>
      </c>
    </row>
    <row r="33" spans="1:51">
      <c r="A33" s="133">
        <v>25</v>
      </c>
      <c r="B33" s="178" t="s">
        <v>1306</v>
      </c>
      <c r="C33" s="150" t="s">
        <v>741</v>
      </c>
      <c r="D33" s="150"/>
      <c r="E33" s="150" t="s">
        <v>984</v>
      </c>
      <c r="F33" s="179" t="s">
        <v>456</v>
      </c>
      <c r="G33" s="179" t="s">
        <v>1311</v>
      </c>
      <c r="H33" s="179" t="s">
        <v>369</v>
      </c>
      <c r="I33" s="180" t="s">
        <v>369</v>
      </c>
      <c r="J33" s="181">
        <f t="shared" si="4"/>
        <v>0</v>
      </c>
      <c r="K33" s="673">
        <v>0</v>
      </c>
      <c r="L33" s="182">
        <v>0</v>
      </c>
      <c r="M33" s="181">
        <f t="shared" si="5"/>
        <v>0</v>
      </c>
      <c r="N33" s="673">
        <v>0</v>
      </c>
      <c r="O33" s="182">
        <v>0</v>
      </c>
      <c r="P33" s="181">
        <f t="shared" si="6"/>
        <v>0</v>
      </c>
      <c r="Q33" s="673">
        <v>0</v>
      </c>
      <c r="R33" s="182">
        <v>0</v>
      </c>
      <c r="S33" s="181">
        <f t="shared" si="7"/>
        <v>0</v>
      </c>
      <c r="T33" s="673">
        <v>0</v>
      </c>
      <c r="U33" s="182">
        <v>0</v>
      </c>
      <c r="V33" s="181">
        <f t="shared" si="8"/>
        <v>0</v>
      </c>
      <c r="W33" s="673">
        <v>0</v>
      </c>
      <c r="X33" s="182">
        <v>0</v>
      </c>
      <c r="Y33" s="181">
        <f t="shared" si="9"/>
        <v>39907.08</v>
      </c>
      <c r="Z33" s="673">
        <v>0</v>
      </c>
      <c r="AA33" s="182">
        <v>39907.08</v>
      </c>
      <c r="AB33" s="181">
        <f t="shared" si="10"/>
        <v>39907.08</v>
      </c>
      <c r="AC33" s="673">
        <v>0</v>
      </c>
      <c r="AD33" s="182">
        <v>39907.08</v>
      </c>
      <c r="AE33" s="181">
        <f t="shared" si="11"/>
        <v>39329.18</v>
      </c>
      <c r="AF33" s="673">
        <v>0</v>
      </c>
      <c r="AG33" s="182">
        <v>39329.18</v>
      </c>
      <c r="AH33" s="181">
        <f t="shared" si="12"/>
        <v>40122.9</v>
      </c>
      <c r="AI33" s="673">
        <v>0</v>
      </c>
      <c r="AJ33" s="182">
        <v>40122.9</v>
      </c>
      <c r="AK33" s="181">
        <f t="shared" si="13"/>
        <v>38232.14</v>
      </c>
      <c r="AL33" s="673">
        <v>0</v>
      </c>
      <c r="AM33" s="182">
        <v>38232.14</v>
      </c>
      <c r="AN33" s="181">
        <f t="shared" si="14"/>
        <v>38936.33</v>
      </c>
      <c r="AO33" s="673">
        <v>0</v>
      </c>
      <c r="AP33" s="182">
        <v>38936.33</v>
      </c>
      <c r="AQ33" s="181">
        <f t="shared" si="15"/>
        <v>40231.5</v>
      </c>
      <c r="AR33" s="673">
        <v>0</v>
      </c>
      <c r="AS33" s="182">
        <v>40231.5</v>
      </c>
      <c r="AT33" s="181">
        <f t="shared" si="16"/>
        <v>40231.5</v>
      </c>
      <c r="AU33" s="673">
        <v>0</v>
      </c>
      <c r="AV33" s="182">
        <v>40231.5</v>
      </c>
      <c r="AW33" s="373">
        <f t="shared" si="1"/>
        <v>24731.83</v>
      </c>
      <c r="AX33" s="374">
        <f t="shared" si="2"/>
        <v>0</v>
      </c>
      <c r="AY33" s="374">
        <f t="shared" si="3"/>
        <v>24731.83</v>
      </c>
    </row>
    <row r="34" spans="1:51">
      <c r="A34" s="133">
        <v>26</v>
      </c>
      <c r="B34" s="178" t="s">
        <v>1306</v>
      </c>
      <c r="C34" s="150" t="s">
        <v>741</v>
      </c>
      <c r="D34" s="150"/>
      <c r="E34" s="150" t="s">
        <v>959</v>
      </c>
      <c r="F34" s="179" t="s">
        <v>456</v>
      </c>
      <c r="G34" s="179" t="s">
        <v>1311</v>
      </c>
      <c r="H34" s="179" t="s">
        <v>369</v>
      </c>
      <c r="I34" s="180" t="s">
        <v>369</v>
      </c>
      <c r="J34" s="181">
        <f t="shared" si="4"/>
        <v>0</v>
      </c>
      <c r="K34" s="673">
        <v>0</v>
      </c>
      <c r="L34" s="182">
        <v>0</v>
      </c>
      <c r="M34" s="181">
        <f t="shared" si="5"/>
        <v>0</v>
      </c>
      <c r="N34" s="673">
        <v>0</v>
      </c>
      <c r="O34" s="182">
        <v>0</v>
      </c>
      <c r="P34" s="181">
        <f t="shared" si="6"/>
        <v>0</v>
      </c>
      <c r="Q34" s="673">
        <v>0</v>
      </c>
      <c r="R34" s="182">
        <v>0</v>
      </c>
      <c r="S34" s="181">
        <f t="shared" si="7"/>
        <v>0</v>
      </c>
      <c r="T34" s="673">
        <v>0</v>
      </c>
      <c r="U34" s="182">
        <v>0</v>
      </c>
      <c r="V34" s="181">
        <f t="shared" si="8"/>
        <v>0</v>
      </c>
      <c r="W34" s="673">
        <v>0</v>
      </c>
      <c r="X34" s="182">
        <v>0</v>
      </c>
      <c r="Y34" s="181">
        <f t="shared" si="9"/>
        <v>632689.85</v>
      </c>
      <c r="Z34" s="673">
        <v>632689.85</v>
      </c>
      <c r="AA34" s="182">
        <v>0</v>
      </c>
      <c r="AB34" s="181">
        <f t="shared" si="10"/>
        <v>632689.85</v>
      </c>
      <c r="AC34" s="673">
        <v>632689.85</v>
      </c>
      <c r="AD34" s="182">
        <v>0</v>
      </c>
      <c r="AE34" s="181">
        <f t="shared" si="11"/>
        <v>632689.85</v>
      </c>
      <c r="AF34" s="673">
        <v>632689.85</v>
      </c>
      <c r="AG34" s="182">
        <v>0</v>
      </c>
      <c r="AH34" s="181">
        <f t="shared" si="12"/>
        <v>632689.85</v>
      </c>
      <c r="AI34" s="673">
        <v>632689.85</v>
      </c>
      <c r="AJ34" s="182">
        <v>0</v>
      </c>
      <c r="AK34" s="181">
        <f t="shared" si="13"/>
        <v>621617.1</v>
      </c>
      <c r="AL34" s="673">
        <v>621617.1</v>
      </c>
      <c r="AM34" s="182">
        <v>0</v>
      </c>
      <c r="AN34" s="181">
        <f t="shared" si="14"/>
        <v>621617.1</v>
      </c>
      <c r="AO34" s="673">
        <v>621617.1</v>
      </c>
      <c r="AP34" s="182">
        <v>0</v>
      </c>
      <c r="AQ34" s="181">
        <f t="shared" si="15"/>
        <v>621617.1</v>
      </c>
      <c r="AR34" s="673">
        <v>621617.1</v>
      </c>
      <c r="AS34" s="182">
        <v>0</v>
      </c>
      <c r="AT34" s="181">
        <f t="shared" si="16"/>
        <v>621617.1</v>
      </c>
      <c r="AU34" s="673">
        <v>621617.1</v>
      </c>
      <c r="AV34" s="182">
        <v>0</v>
      </c>
      <c r="AW34" s="373">
        <f t="shared" si="1"/>
        <v>392201.60416666669</v>
      </c>
      <c r="AX34" s="374">
        <f t="shared" si="2"/>
        <v>392201.60416666669</v>
      </c>
      <c r="AY34" s="374">
        <f t="shared" si="3"/>
        <v>0</v>
      </c>
    </row>
    <row r="35" spans="1:51">
      <c r="A35" s="133">
        <v>27</v>
      </c>
      <c r="B35" s="178" t="s">
        <v>1307</v>
      </c>
      <c r="C35" s="150" t="s">
        <v>741</v>
      </c>
      <c r="D35" s="150"/>
      <c r="E35" s="150" t="s">
        <v>959</v>
      </c>
      <c r="F35" s="179" t="s">
        <v>628</v>
      </c>
      <c r="G35" s="179" t="s">
        <v>1312</v>
      </c>
      <c r="H35" s="179" t="s">
        <v>369</v>
      </c>
      <c r="I35" s="180" t="s">
        <v>369</v>
      </c>
      <c r="J35" s="375">
        <v>0</v>
      </c>
      <c r="K35" s="674">
        <v>0</v>
      </c>
      <c r="L35" s="376">
        <v>0</v>
      </c>
      <c r="M35" s="375">
        <v>0</v>
      </c>
      <c r="N35" s="674">
        <v>0</v>
      </c>
      <c r="O35" s="376">
        <v>0</v>
      </c>
      <c r="P35" s="375">
        <v>0</v>
      </c>
      <c r="Q35" s="674">
        <v>0</v>
      </c>
      <c r="R35" s="376">
        <v>0</v>
      </c>
      <c r="S35" s="375">
        <v>0</v>
      </c>
      <c r="T35" s="674">
        <v>0</v>
      </c>
      <c r="U35" s="376">
        <v>0</v>
      </c>
      <c r="V35" s="375">
        <v>0</v>
      </c>
      <c r="W35" s="674">
        <v>0</v>
      </c>
      <c r="X35" s="376">
        <v>0</v>
      </c>
      <c r="Y35" s="375">
        <v>0</v>
      </c>
      <c r="Z35" s="674">
        <v>0</v>
      </c>
      <c r="AA35" s="376">
        <v>0</v>
      </c>
      <c r="AB35" s="375">
        <v>0</v>
      </c>
      <c r="AC35" s="674">
        <v>0</v>
      </c>
      <c r="AD35" s="376">
        <v>0</v>
      </c>
      <c r="AE35" s="375">
        <v>0</v>
      </c>
      <c r="AF35" s="674">
        <v>0</v>
      </c>
      <c r="AG35" s="376">
        <v>0</v>
      </c>
      <c r="AH35" s="375">
        <v>0</v>
      </c>
      <c r="AI35" s="674">
        <v>0</v>
      </c>
      <c r="AJ35" s="376">
        <v>0</v>
      </c>
      <c r="AK35" s="375">
        <v>0</v>
      </c>
      <c r="AL35" s="674">
        <v>0</v>
      </c>
      <c r="AM35" s="376">
        <v>0</v>
      </c>
      <c r="AN35" s="375">
        <v>0</v>
      </c>
      <c r="AO35" s="674">
        <v>0</v>
      </c>
      <c r="AP35" s="376">
        <v>0</v>
      </c>
      <c r="AQ35" s="375">
        <v>0</v>
      </c>
      <c r="AR35" s="674">
        <v>0</v>
      </c>
      <c r="AS35" s="376">
        <v>0</v>
      </c>
      <c r="AT35" s="375">
        <v>0</v>
      </c>
      <c r="AU35" s="674">
        <v>0</v>
      </c>
      <c r="AV35" s="376">
        <v>0</v>
      </c>
      <c r="AW35" s="373">
        <f t="shared" si="1"/>
        <v>0</v>
      </c>
      <c r="AX35" s="374">
        <f t="shared" si="2"/>
        <v>0</v>
      </c>
      <c r="AY35" s="374">
        <f t="shared" si="3"/>
        <v>0</v>
      </c>
    </row>
    <row r="36" spans="1:51">
      <c r="A36" s="133">
        <v>28</v>
      </c>
      <c r="B36" s="178" t="s">
        <v>1308</v>
      </c>
      <c r="C36" s="150" t="s">
        <v>741</v>
      </c>
      <c r="D36" s="150"/>
      <c r="E36" s="150" t="s">
        <v>959</v>
      </c>
      <c r="F36" s="179" t="s">
        <v>456</v>
      </c>
      <c r="G36" s="179" t="s">
        <v>1313</v>
      </c>
      <c r="H36" s="179" t="s">
        <v>369</v>
      </c>
      <c r="I36" s="180" t="s">
        <v>369</v>
      </c>
      <c r="J36" s="375">
        <f t="shared" ref="J36:J42" si="17">+K36+L36</f>
        <v>248712.88</v>
      </c>
      <c r="K36" s="674">
        <v>248712.88</v>
      </c>
      <c r="L36" s="376">
        <v>0</v>
      </c>
      <c r="M36" s="375">
        <f t="shared" ref="M36:M42" si="18">+N36+O36</f>
        <v>246409.98</v>
      </c>
      <c r="N36" s="674">
        <v>246409.98</v>
      </c>
      <c r="O36" s="376">
        <v>0</v>
      </c>
      <c r="P36" s="375">
        <f t="shared" ref="P36:P42" si="19">+Q36+R36</f>
        <v>244107.08</v>
      </c>
      <c r="Q36" s="674">
        <v>244107.08</v>
      </c>
      <c r="R36" s="376">
        <v>0</v>
      </c>
      <c r="S36" s="375">
        <f t="shared" ref="S36:S42" si="20">+T36+U36</f>
        <v>241804.19</v>
      </c>
      <c r="T36" s="674">
        <v>241804.19</v>
      </c>
      <c r="U36" s="376">
        <v>0</v>
      </c>
      <c r="V36" s="375">
        <f t="shared" ref="V36:V42" si="21">+W36+X36</f>
        <v>239501.29</v>
      </c>
      <c r="W36" s="674">
        <v>239501.29</v>
      </c>
      <c r="X36" s="376">
        <v>0</v>
      </c>
      <c r="Y36" s="375">
        <f t="shared" ref="Y36:Y42" si="22">+Z36+AA36</f>
        <v>237198.39</v>
      </c>
      <c r="Z36" s="674">
        <v>237198.39</v>
      </c>
      <c r="AA36" s="376">
        <v>0</v>
      </c>
      <c r="AB36" s="375">
        <f t="shared" ref="AB36:AB42" si="23">+AC36+AD36</f>
        <v>234895.5</v>
      </c>
      <c r="AC36" s="674">
        <v>234895.5</v>
      </c>
      <c r="AD36" s="376">
        <v>0</v>
      </c>
      <c r="AE36" s="375">
        <f t="shared" ref="AE36:AE42" si="24">+AF36+AG36</f>
        <v>232592.6</v>
      </c>
      <c r="AF36" s="674">
        <v>232592.6</v>
      </c>
      <c r="AG36" s="376">
        <v>0</v>
      </c>
      <c r="AH36" s="375">
        <f t="shared" ref="AH36:AH42" si="25">+AI36+AJ36</f>
        <v>230289.7</v>
      </c>
      <c r="AI36" s="674">
        <v>230289.7</v>
      </c>
      <c r="AJ36" s="376">
        <v>0</v>
      </c>
      <c r="AK36" s="375">
        <f t="shared" ref="AK36:AK42" si="26">+AL36+AM36</f>
        <v>227986.81</v>
      </c>
      <c r="AL36" s="674">
        <v>227986.81</v>
      </c>
      <c r="AM36" s="376">
        <v>0</v>
      </c>
      <c r="AN36" s="375">
        <f t="shared" ref="AN36:AN42" si="27">+AO36+AP36</f>
        <v>225683.91</v>
      </c>
      <c r="AO36" s="674">
        <v>225683.91</v>
      </c>
      <c r="AP36" s="376">
        <v>0</v>
      </c>
      <c r="AQ36" s="375">
        <f t="shared" ref="AQ36:AQ42" si="28">+AR36+AS36</f>
        <v>223381.01</v>
      </c>
      <c r="AR36" s="674">
        <v>223381.01</v>
      </c>
      <c r="AS36" s="376">
        <v>0</v>
      </c>
      <c r="AT36" s="375">
        <f t="shared" ref="AT36:AT42" si="29">+AU36+AV36</f>
        <v>221078.12</v>
      </c>
      <c r="AU36" s="674">
        <v>221078.12</v>
      </c>
      <c r="AV36" s="376">
        <v>0</v>
      </c>
      <c r="AW36" s="373">
        <f t="shared" si="1"/>
        <v>234895.49666666667</v>
      </c>
      <c r="AX36" s="374">
        <f t="shared" si="2"/>
        <v>234895.49666666667</v>
      </c>
      <c r="AY36" s="374">
        <f t="shared" si="3"/>
        <v>0</v>
      </c>
    </row>
    <row r="37" spans="1:51">
      <c r="A37" s="133">
        <v>29</v>
      </c>
      <c r="B37" s="178" t="s">
        <v>1308</v>
      </c>
      <c r="C37" s="150" t="s">
        <v>741</v>
      </c>
      <c r="D37" s="150"/>
      <c r="E37" s="150" t="s">
        <v>984</v>
      </c>
      <c r="F37" s="179" t="s">
        <v>456</v>
      </c>
      <c r="G37" s="179" t="s">
        <v>1313</v>
      </c>
      <c r="H37" s="179"/>
      <c r="I37" s="180"/>
      <c r="J37" s="377">
        <f t="shared" si="17"/>
        <v>65440.960000000101</v>
      </c>
      <c r="K37" s="675">
        <v>0</v>
      </c>
      <c r="L37" s="183">
        <v>65440.960000000101</v>
      </c>
      <c r="M37" s="377">
        <f t="shared" si="18"/>
        <v>64077.61</v>
      </c>
      <c r="N37" s="675">
        <v>0</v>
      </c>
      <c r="O37" s="183">
        <v>64077.61</v>
      </c>
      <c r="P37" s="377">
        <f t="shared" si="19"/>
        <v>62714.26</v>
      </c>
      <c r="Q37" s="675">
        <v>0</v>
      </c>
      <c r="R37" s="183">
        <v>62714.26</v>
      </c>
      <c r="S37" s="377">
        <f t="shared" si="20"/>
        <v>61350.9</v>
      </c>
      <c r="T37" s="675">
        <v>0</v>
      </c>
      <c r="U37" s="183">
        <v>61350.9</v>
      </c>
      <c r="V37" s="377">
        <f t="shared" si="21"/>
        <v>59987.55</v>
      </c>
      <c r="W37" s="675">
        <v>0</v>
      </c>
      <c r="X37" s="183">
        <v>59987.55</v>
      </c>
      <c r="Y37" s="377">
        <f t="shared" si="22"/>
        <v>58624.2</v>
      </c>
      <c r="Z37" s="675">
        <v>0</v>
      </c>
      <c r="AA37" s="183">
        <v>58624.2</v>
      </c>
      <c r="AB37" s="377">
        <f t="shared" si="23"/>
        <v>57260.84</v>
      </c>
      <c r="AC37" s="675">
        <v>0</v>
      </c>
      <c r="AD37" s="183">
        <v>57260.84</v>
      </c>
      <c r="AE37" s="377">
        <f t="shared" si="24"/>
        <v>55897.49</v>
      </c>
      <c r="AF37" s="675">
        <v>0</v>
      </c>
      <c r="AG37" s="183">
        <v>55897.49</v>
      </c>
      <c r="AH37" s="377">
        <f t="shared" si="25"/>
        <v>54534.14</v>
      </c>
      <c r="AI37" s="675">
        <v>0</v>
      </c>
      <c r="AJ37" s="183">
        <v>54534.14</v>
      </c>
      <c r="AK37" s="377">
        <f t="shared" si="26"/>
        <v>53170.78</v>
      </c>
      <c r="AL37" s="675">
        <v>0</v>
      </c>
      <c r="AM37" s="183">
        <v>53170.78</v>
      </c>
      <c r="AN37" s="377">
        <f t="shared" si="27"/>
        <v>51807.43</v>
      </c>
      <c r="AO37" s="675">
        <v>0</v>
      </c>
      <c r="AP37" s="183">
        <v>51807.43</v>
      </c>
      <c r="AQ37" s="377">
        <f t="shared" si="28"/>
        <v>50444.08</v>
      </c>
      <c r="AR37" s="675">
        <v>0</v>
      </c>
      <c r="AS37" s="183">
        <v>50444.08</v>
      </c>
      <c r="AT37" s="377">
        <f t="shared" si="29"/>
        <v>49080.72</v>
      </c>
      <c r="AU37" s="675">
        <v>0</v>
      </c>
      <c r="AV37" s="183">
        <v>49080.72</v>
      </c>
      <c r="AW37" s="373">
        <f t="shared" si="1"/>
        <v>57260.843333333345</v>
      </c>
      <c r="AX37" s="374">
        <f t="shared" si="2"/>
        <v>0</v>
      </c>
      <c r="AY37" s="374">
        <f t="shared" si="3"/>
        <v>57260.843333333345</v>
      </c>
    </row>
    <row r="38" spans="1:51">
      <c r="A38" s="133">
        <v>30</v>
      </c>
      <c r="B38" s="178" t="s">
        <v>1307</v>
      </c>
      <c r="C38" s="150" t="s">
        <v>741</v>
      </c>
      <c r="D38" s="150"/>
      <c r="E38" s="150" t="s">
        <v>984</v>
      </c>
      <c r="F38" s="179" t="s">
        <v>628</v>
      </c>
      <c r="G38" s="179" t="s">
        <v>1312</v>
      </c>
      <c r="H38" s="179"/>
      <c r="I38" s="180"/>
      <c r="J38" s="377">
        <f t="shared" si="17"/>
        <v>0</v>
      </c>
      <c r="K38" s="675">
        <v>0</v>
      </c>
      <c r="L38" s="183">
        <v>0</v>
      </c>
      <c r="M38" s="377">
        <f t="shared" si="18"/>
        <v>0</v>
      </c>
      <c r="N38" s="675">
        <v>0</v>
      </c>
      <c r="O38" s="183">
        <v>0</v>
      </c>
      <c r="P38" s="377">
        <f t="shared" si="19"/>
        <v>0</v>
      </c>
      <c r="Q38" s="675">
        <v>0</v>
      </c>
      <c r="R38" s="183">
        <v>0</v>
      </c>
      <c r="S38" s="377">
        <f t="shared" si="20"/>
        <v>0</v>
      </c>
      <c r="T38" s="675">
        <v>0</v>
      </c>
      <c r="U38" s="183">
        <v>0</v>
      </c>
      <c r="V38" s="377">
        <f t="shared" si="21"/>
        <v>0</v>
      </c>
      <c r="W38" s="675">
        <v>0</v>
      </c>
      <c r="X38" s="183">
        <v>0</v>
      </c>
      <c r="Y38" s="377">
        <f t="shared" si="22"/>
        <v>0</v>
      </c>
      <c r="Z38" s="675">
        <v>0</v>
      </c>
      <c r="AA38" s="183">
        <v>0</v>
      </c>
      <c r="AB38" s="377">
        <f t="shared" si="23"/>
        <v>0</v>
      </c>
      <c r="AC38" s="675">
        <v>0</v>
      </c>
      <c r="AD38" s="183">
        <v>0</v>
      </c>
      <c r="AE38" s="377">
        <f t="shared" si="24"/>
        <v>0</v>
      </c>
      <c r="AF38" s="675">
        <v>0</v>
      </c>
      <c r="AG38" s="183">
        <v>0</v>
      </c>
      <c r="AH38" s="377">
        <f t="shared" si="25"/>
        <v>0</v>
      </c>
      <c r="AI38" s="675">
        <v>0</v>
      </c>
      <c r="AJ38" s="183">
        <v>0</v>
      </c>
      <c r="AK38" s="377">
        <f t="shared" si="26"/>
        <v>0</v>
      </c>
      <c r="AL38" s="675">
        <v>0</v>
      </c>
      <c r="AM38" s="183">
        <v>0</v>
      </c>
      <c r="AN38" s="377">
        <f t="shared" si="27"/>
        <v>0</v>
      </c>
      <c r="AO38" s="675">
        <v>0</v>
      </c>
      <c r="AP38" s="183">
        <v>0</v>
      </c>
      <c r="AQ38" s="377">
        <f t="shared" si="28"/>
        <v>0</v>
      </c>
      <c r="AR38" s="675">
        <v>0</v>
      </c>
      <c r="AS38" s="183">
        <v>0</v>
      </c>
      <c r="AT38" s="377">
        <f t="shared" si="29"/>
        <v>0</v>
      </c>
      <c r="AU38" s="675">
        <v>0</v>
      </c>
      <c r="AV38" s="183">
        <v>0</v>
      </c>
      <c r="AW38" s="373">
        <f t="shared" si="1"/>
        <v>0</v>
      </c>
      <c r="AX38" s="374">
        <f t="shared" si="2"/>
        <v>0</v>
      </c>
      <c r="AY38" s="374">
        <f t="shared" si="3"/>
        <v>0</v>
      </c>
    </row>
    <row r="39" spans="1:51">
      <c r="A39" s="133">
        <v>31</v>
      </c>
      <c r="B39" s="178" t="s">
        <v>976</v>
      </c>
      <c r="C39" s="150" t="s">
        <v>741</v>
      </c>
      <c r="D39" s="150"/>
      <c r="E39" s="150" t="s">
        <v>984</v>
      </c>
      <c r="F39" s="179" t="s">
        <v>628</v>
      </c>
      <c r="G39" s="179" t="s">
        <v>977</v>
      </c>
      <c r="H39" s="179"/>
      <c r="I39" s="180"/>
      <c r="J39" s="377">
        <f t="shared" si="17"/>
        <v>-4420542.34</v>
      </c>
      <c r="K39" s="675">
        <v>0</v>
      </c>
      <c r="L39" s="183">
        <v>-4420542.34</v>
      </c>
      <c r="M39" s="377">
        <f t="shared" si="18"/>
        <v>-4433550.5599999996</v>
      </c>
      <c r="N39" s="675">
        <v>0</v>
      </c>
      <c r="O39" s="183">
        <v>-4433550.5599999996</v>
      </c>
      <c r="P39" s="377">
        <f t="shared" si="19"/>
        <v>-4446558.79</v>
      </c>
      <c r="Q39" s="675">
        <v>0</v>
      </c>
      <c r="R39" s="183">
        <v>-4446558.79</v>
      </c>
      <c r="S39" s="377">
        <f t="shared" si="20"/>
        <v>-4459567.03</v>
      </c>
      <c r="T39" s="675">
        <v>0</v>
      </c>
      <c r="U39" s="183">
        <v>-4459567.03</v>
      </c>
      <c r="V39" s="377">
        <f t="shared" si="21"/>
        <v>-4472575.25</v>
      </c>
      <c r="W39" s="675">
        <v>0</v>
      </c>
      <c r="X39" s="183">
        <v>-4472575.25</v>
      </c>
      <c r="Y39" s="377">
        <f t="shared" si="22"/>
        <v>-4485583.4800000004</v>
      </c>
      <c r="Z39" s="675">
        <v>0</v>
      </c>
      <c r="AA39" s="183">
        <v>-4485583.4800000004</v>
      </c>
      <c r="AB39" s="377">
        <f t="shared" si="23"/>
        <v>-4498591.7</v>
      </c>
      <c r="AC39" s="675">
        <v>0</v>
      </c>
      <c r="AD39" s="183">
        <v>-4498591.7</v>
      </c>
      <c r="AE39" s="377">
        <f t="shared" si="24"/>
        <v>-4511599.92</v>
      </c>
      <c r="AF39" s="675">
        <v>0</v>
      </c>
      <c r="AG39" s="183">
        <v>-4511599.92</v>
      </c>
      <c r="AH39" s="377">
        <f t="shared" si="25"/>
        <v>-4524608.1500000004</v>
      </c>
      <c r="AI39" s="675">
        <v>0</v>
      </c>
      <c r="AJ39" s="183">
        <v>-4524608.1500000004</v>
      </c>
      <c r="AK39" s="377">
        <f t="shared" si="26"/>
        <v>-4537616.3899999997</v>
      </c>
      <c r="AL39" s="675">
        <v>0</v>
      </c>
      <c r="AM39" s="183">
        <v>-4537616.3899999997</v>
      </c>
      <c r="AN39" s="377">
        <f t="shared" si="27"/>
        <v>-4550624.6100000003</v>
      </c>
      <c r="AO39" s="675">
        <v>0</v>
      </c>
      <c r="AP39" s="183">
        <v>-4550624.6100000003</v>
      </c>
      <c r="AQ39" s="377">
        <f t="shared" si="28"/>
        <v>-4641330.5999999996</v>
      </c>
      <c r="AR39" s="675">
        <v>0</v>
      </c>
      <c r="AS39" s="183">
        <v>-4641330.5999999996</v>
      </c>
      <c r="AT39" s="377">
        <f t="shared" si="29"/>
        <v>-4791249.5199999996</v>
      </c>
      <c r="AU39" s="675">
        <v>0</v>
      </c>
      <c r="AV39" s="183">
        <v>-4791249.5199999996</v>
      </c>
      <c r="AW39" s="373">
        <f t="shared" si="1"/>
        <v>-4514008.5341666667</v>
      </c>
      <c r="AX39" s="374">
        <f t="shared" si="2"/>
        <v>0</v>
      </c>
      <c r="AY39" s="374">
        <f t="shared" si="3"/>
        <v>-4514008.5341666667</v>
      </c>
    </row>
    <row r="40" spans="1:51">
      <c r="A40" s="133">
        <v>32</v>
      </c>
      <c r="B40" s="178" t="s">
        <v>978</v>
      </c>
      <c r="C40" s="150" t="s">
        <v>741</v>
      </c>
      <c r="D40" s="150"/>
      <c r="E40" s="150" t="s">
        <v>984</v>
      </c>
      <c r="F40" s="179" t="s">
        <v>629</v>
      </c>
      <c r="G40" s="179" t="s">
        <v>979</v>
      </c>
      <c r="H40" s="179"/>
      <c r="I40" s="180"/>
      <c r="J40" s="377">
        <f t="shared" si="17"/>
        <v>-13433.67</v>
      </c>
      <c r="K40" s="675">
        <v>0</v>
      </c>
      <c r="L40" s="183">
        <v>-13433.67</v>
      </c>
      <c r="M40" s="377">
        <f t="shared" si="18"/>
        <v>-13372.05</v>
      </c>
      <c r="N40" s="675">
        <v>0</v>
      </c>
      <c r="O40" s="183">
        <v>-13372.05</v>
      </c>
      <c r="P40" s="377">
        <f t="shared" si="19"/>
        <v>-13310.43</v>
      </c>
      <c r="Q40" s="675">
        <v>0</v>
      </c>
      <c r="R40" s="183">
        <v>-13310.43</v>
      </c>
      <c r="S40" s="377">
        <f t="shared" si="20"/>
        <v>-13248.81</v>
      </c>
      <c r="T40" s="675">
        <v>0</v>
      </c>
      <c r="U40" s="183">
        <v>-13248.81</v>
      </c>
      <c r="V40" s="377">
        <f t="shared" si="21"/>
        <v>-13187.19</v>
      </c>
      <c r="W40" s="675">
        <v>0</v>
      </c>
      <c r="X40" s="183">
        <v>-13187.19</v>
      </c>
      <c r="Y40" s="377">
        <f t="shared" si="22"/>
        <v>-13125.57</v>
      </c>
      <c r="Z40" s="675">
        <v>0</v>
      </c>
      <c r="AA40" s="183">
        <v>-13125.57</v>
      </c>
      <c r="AB40" s="377">
        <f t="shared" si="23"/>
        <v>-13063.95</v>
      </c>
      <c r="AC40" s="675">
        <v>0</v>
      </c>
      <c r="AD40" s="183">
        <v>-13063.95</v>
      </c>
      <c r="AE40" s="377">
        <f t="shared" si="24"/>
        <v>-13002.33</v>
      </c>
      <c r="AF40" s="675">
        <v>0</v>
      </c>
      <c r="AG40" s="183">
        <v>-13002.33</v>
      </c>
      <c r="AH40" s="377">
        <f t="shared" si="25"/>
        <v>-12940.71</v>
      </c>
      <c r="AI40" s="675">
        <v>0</v>
      </c>
      <c r="AJ40" s="183">
        <v>-12940.71</v>
      </c>
      <c r="AK40" s="377">
        <f t="shared" si="26"/>
        <v>-12879.09</v>
      </c>
      <c r="AL40" s="675">
        <v>0</v>
      </c>
      <c r="AM40" s="183">
        <v>-12879.09</v>
      </c>
      <c r="AN40" s="377">
        <f t="shared" si="27"/>
        <v>-12817.47</v>
      </c>
      <c r="AO40" s="675">
        <v>0</v>
      </c>
      <c r="AP40" s="183">
        <v>-12817.47</v>
      </c>
      <c r="AQ40" s="377">
        <f t="shared" si="28"/>
        <v>-12755.85</v>
      </c>
      <c r="AR40" s="675">
        <v>0</v>
      </c>
      <c r="AS40" s="183">
        <v>-12755.85</v>
      </c>
      <c r="AT40" s="377">
        <f t="shared" si="29"/>
        <v>-12694.23</v>
      </c>
      <c r="AU40" s="675">
        <v>0</v>
      </c>
      <c r="AV40" s="183">
        <v>-12694.23</v>
      </c>
      <c r="AW40" s="373">
        <f t="shared" si="1"/>
        <v>-13063.950000000003</v>
      </c>
      <c r="AX40" s="374">
        <f t="shared" si="2"/>
        <v>0</v>
      </c>
      <c r="AY40" s="374">
        <f t="shared" si="3"/>
        <v>-13063.950000000003</v>
      </c>
    </row>
    <row r="41" spans="1:51">
      <c r="A41" s="133">
        <v>33</v>
      </c>
      <c r="B41" s="178" t="s">
        <v>1309</v>
      </c>
      <c r="C41" s="150" t="s">
        <v>741</v>
      </c>
      <c r="D41" s="150"/>
      <c r="E41" s="150" t="s">
        <v>984</v>
      </c>
      <c r="F41" s="179" t="s">
        <v>456</v>
      </c>
      <c r="G41" s="179" t="s">
        <v>1314</v>
      </c>
      <c r="H41" s="179"/>
      <c r="I41" s="180"/>
      <c r="J41" s="377">
        <f t="shared" si="17"/>
        <v>59590.47</v>
      </c>
      <c r="K41" s="675">
        <v>0</v>
      </c>
      <c r="L41" s="183">
        <v>59590.47</v>
      </c>
      <c r="M41" s="377">
        <f t="shared" si="18"/>
        <v>59610.35</v>
      </c>
      <c r="N41" s="675">
        <v>0</v>
      </c>
      <c r="O41" s="183">
        <v>59610.35</v>
      </c>
      <c r="P41" s="377">
        <f t="shared" si="19"/>
        <v>59762.59</v>
      </c>
      <c r="Q41" s="675">
        <v>0</v>
      </c>
      <c r="R41" s="183">
        <v>59762.59</v>
      </c>
      <c r="S41" s="377">
        <f t="shared" si="20"/>
        <v>58840.15</v>
      </c>
      <c r="T41" s="675">
        <v>0</v>
      </c>
      <c r="U41" s="183">
        <v>58840.15</v>
      </c>
      <c r="V41" s="377">
        <f t="shared" si="21"/>
        <v>58767.57</v>
      </c>
      <c r="W41" s="675">
        <v>0</v>
      </c>
      <c r="X41" s="183">
        <v>58767.57</v>
      </c>
      <c r="Y41" s="377">
        <f t="shared" si="22"/>
        <v>58869.7</v>
      </c>
      <c r="Z41" s="675">
        <v>0</v>
      </c>
      <c r="AA41" s="183">
        <v>58869.7</v>
      </c>
      <c r="AB41" s="377">
        <f t="shared" si="23"/>
        <v>58869.7</v>
      </c>
      <c r="AC41" s="675">
        <v>0</v>
      </c>
      <c r="AD41" s="183">
        <v>58869.7</v>
      </c>
      <c r="AE41" s="377">
        <f t="shared" si="24"/>
        <v>58819.12</v>
      </c>
      <c r="AF41" s="675">
        <v>0</v>
      </c>
      <c r="AG41" s="183">
        <v>58819.12</v>
      </c>
      <c r="AH41" s="377">
        <f t="shared" si="25"/>
        <v>58888.59</v>
      </c>
      <c r="AI41" s="675">
        <v>0</v>
      </c>
      <c r="AJ41" s="183">
        <v>58888.59</v>
      </c>
      <c r="AK41" s="377">
        <f t="shared" si="26"/>
        <v>57753.95</v>
      </c>
      <c r="AL41" s="675">
        <v>0</v>
      </c>
      <c r="AM41" s="183">
        <v>57753.95</v>
      </c>
      <c r="AN41" s="377">
        <f t="shared" si="27"/>
        <v>57815.58</v>
      </c>
      <c r="AO41" s="675">
        <v>0</v>
      </c>
      <c r="AP41" s="183">
        <v>57815.58</v>
      </c>
      <c r="AQ41" s="377">
        <f t="shared" si="28"/>
        <v>57928.94</v>
      </c>
      <c r="AR41" s="675">
        <v>0</v>
      </c>
      <c r="AS41" s="183">
        <v>57928.94</v>
      </c>
      <c r="AT41" s="377">
        <f t="shared" si="29"/>
        <v>57928.94</v>
      </c>
      <c r="AU41" s="675">
        <v>0</v>
      </c>
      <c r="AV41" s="183">
        <v>57928.94</v>
      </c>
      <c r="AW41" s="373">
        <f t="shared" si="1"/>
        <v>58723.828749999993</v>
      </c>
      <c r="AX41" s="374">
        <f t="shared" si="2"/>
        <v>0</v>
      </c>
      <c r="AY41" s="374">
        <f t="shared" si="3"/>
        <v>58723.828749999993</v>
      </c>
    </row>
    <row r="42" spans="1:51">
      <c r="A42" s="133">
        <v>34</v>
      </c>
      <c r="B42" s="178" t="s">
        <v>1310</v>
      </c>
      <c r="C42" s="150" t="s">
        <v>741</v>
      </c>
      <c r="D42" s="150"/>
      <c r="E42" s="150" t="s">
        <v>984</v>
      </c>
      <c r="F42" s="179" t="s">
        <v>456</v>
      </c>
      <c r="G42" s="179" t="s">
        <v>1315</v>
      </c>
      <c r="H42" s="179"/>
      <c r="I42" s="180"/>
      <c r="J42" s="377">
        <f t="shared" si="17"/>
        <v>-2574.25</v>
      </c>
      <c r="K42" s="675">
        <v>0</v>
      </c>
      <c r="L42" s="183">
        <v>-2574.25</v>
      </c>
      <c r="M42" s="377">
        <f t="shared" si="18"/>
        <v>-2526.58</v>
      </c>
      <c r="N42" s="675">
        <v>0</v>
      </c>
      <c r="O42" s="183">
        <v>-2526.58</v>
      </c>
      <c r="P42" s="377">
        <f t="shared" si="19"/>
        <v>-2478.91</v>
      </c>
      <c r="Q42" s="675">
        <v>0</v>
      </c>
      <c r="R42" s="183">
        <v>-2478.91</v>
      </c>
      <c r="S42" s="377">
        <f t="shared" si="20"/>
        <v>-2431.2399999999998</v>
      </c>
      <c r="T42" s="675">
        <v>0</v>
      </c>
      <c r="U42" s="183">
        <v>-2431.2399999999998</v>
      </c>
      <c r="V42" s="377">
        <f t="shared" si="21"/>
        <v>-2383.5700000000002</v>
      </c>
      <c r="W42" s="675">
        <v>0</v>
      </c>
      <c r="X42" s="183">
        <v>-2383.5700000000002</v>
      </c>
      <c r="Y42" s="377">
        <f t="shared" si="22"/>
        <v>-2335.9</v>
      </c>
      <c r="Z42" s="675">
        <v>0</v>
      </c>
      <c r="AA42" s="183">
        <v>-2335.9</v>
      </c>
      <c r="AB42" s="377">
        <f t="shared" si="23"/>
        <v>-2288.2199999999998</v>
      </c>
      <c r="AC42" s="675">
        <v>0</v>
      </c>
      <c r="AD42" s="183">
        <v>-2288.2199999999998</v>
      </c>
      <c r="AE42" s="377">
        <f t="shared" si="24"/>
        <v>-2240.5500000000002</v>
      </c>
      <c r="AF42" s="675">
        <v>0</v>
      </c>
      <c r="AG42" s="183">
        <v>-2240.5500000000002</v>
      </c>
      <c r="AH42" s="377">
        <f t="shared" si="25"/>
        <v>-2192.88</v>
      </c>
      <c r="AI42" s="675">
        <v>0</v>
      </c>
      <c r="AJ42" s="183">
        <v>-2192.88</v>
      </c>
      <c r="AK42" s="377">
        <f t="shared" si="26"/>
        <v>-2145.21</v>
      </c>
      <c r="AL42" s="675">
        <v>0</v>
      </c>
      <c r="AM42" s="183">
        <v>-2145.21</v>
      </c>
      <c r="AN42" s="377">
        <f t="shared" si="27"/>
        <v>-2097.54</v>
      </c>
      <c r="AO42" s="675">
        <v>0</v>
      </c>
      <c r="AP42" s="183">
        <v>-2097.54</v>
      </c>
      <c r="AQ42" s="377">
        <f t="shared" si="28"/>
        <v>-2049.87</v>
      </c>
      <c r="AR42" s="675">
        <v>0</v>
      </c>
      <c r="AS42" s="183">
        <v>-2049.87</v>
      </c>
      <c r="AT42" s="377">
        <f t="shared" si="29"/>
        <v>-2002.19</v>
      </c>
      <c r="AU42" s="675">
        <v>0</v>
      </c>
      <c r="AV42" s="183">
        <v>-2002.19</v>
      </c>
      <c r="AW42" s="373">
        <f t="shared" si="1"/>
        <v>-2288.2241666666664</v>
      </c>
      <c r="AX42" s="374">
        <f t="shared" si="2"/>
        <v>0</v>
      </c>
      <c r="AY42" s="374">
        <f t="shared" si="3"/>
        <v>-2288.2241666666664</v>
      </c>
    </row>
    <row r="43" spans="1:51" ht="16.2" thickBot="1">
      <c r="A43" s="133">
        <v>35</v>
      </c>
      <c r="B43" s="155"/>
      <c r="C43" s="150"/>
      <c r="D43" s="150"/>
      <c r="E43" s="150"/>
      <c r="F43" s="150"/>
      <c r="G43" s="150"/>
      <c r="H43" s="150"/>
      <c r="I43" s="151"/>
      <c r="J43" s="169">
        <f t="shared" ref="J43:AV43" si="30">SUM(J26:J42)</f>
        <v>-103174323.41000003</v>
      </c>
      <c r="K43" s="169">
        <f t="shared" si="30"/>
        <v>-76096889.010000005</v>
      </c>
      <c r="L43" s="169">
        <f t="shared" si="30"/>
        <v>-27077434.400000002</v>
      </c>
      <c r="M43" s="169">
        <f t="shared" si="30"/>
        <v>-103113826.47</v>
      </c>
      <c r="N43" s="169">
        <f t="shared" si="30"/>
        <v>-74564232.609999999</v>
      </c>
      <c r="O43" s="169">
        <f t="shared" si="30"/>
        <v>-28549593.859999996</v>
      </c>
      <c r="P43" s="169">
        <f t="shared" si="30"/>
        <v>-103051684.97</v>
      </c>
      <c r="Q43" s="169">
        <f t="shared" si="30"/>
        <v>-74507195.480000004</v>
      </c>
      <c r="R43" s="169">
        <f t="shared" si="30"/>
        <v>-28544489.490000002</v>
      </c>
      <c r="S43" s="169">
        <f t="shared" si="30"/>
        <v>-103002896.50999999</v>
      </c>
      <c r="T43" s="169">
        <f t="shared" si="30"/>
        <v>-74459433.410000011</v>
      </c>
      <c r="U43" s="169">
        <f t="shared" si="30"/>
        <v>-28543463.100000001</v>
      </c>
      <c r="V43" s="169">
        <f t="shared" si="30"/>
        <v>-102943548.42999998</v>
      </c>
      <c r="W43" s="169">
        <f t="shared" si="30"/>
        <v>-74404336.609999985</v>
      </c>
      <c r="X43" s="169">
        <f t="shared" si="30"/>
        <v>-28539211.82</v>
      </c>
      <c r="Y43" s="169">
        <f t="shared" si="30"/>
        <v>-102882029.57000002</v>
      </c>
      <c r="Z43" s="169">
        <f t="shared" si="30"/>
        <v>-76158658.930000007</v>
      </c>
      <c r="AA43" s="169">
        <f t="shared" si="30"/>
        <v>-26723370.639999997</v>
      </c>
      <c r="AB43" s="169">
        <f t="shared" si="30"/>
        <v>-102821779.62000003</v>
      </c>
      <c r="AC43" s="169">
        <f t="shared" si="30"/>
        <v>-76101451.520000011</v>
      </c>
      <c r="AD43" s="169">
        <f t="shared" si="30"/>
        <v>-26720328.099999998</v>
      </c>
      <c r="AE43" s="169">
        <f t="shared" si="30"/>
        <v>-102762158.17000003</v>
      </c>
      <c r="AF43" s="169">
        <f t="shared" si="30"/>
        <v>-76044244.12000002</v>
      </c>
      <c r="AG43" s="169">
        <f t="shared" si="30"/>
        <v>-26717914.049999997</v>
      </c>
      <c r="AH43" s="169">
        <f t="shared" si="30"/>
        <v>-102701045.06</v>
      </c>
      <c r="AI43" s="169">
        <f t="shared" si="30"/>
        <v>-75987036.719999999</v>
      </c>
      <c r="AJ43" s="169">
        <f t="shared" si="30"/>
        <v>-26714008.339999996</v>
      </c>
      <c r="AK43" s="169">
        <f t="shared" si="30"/>
        <v>-102654893.3</v>
      </c>
      <c r="AL43" s="169">
        <f t="shared" si="30"/>
        <v>-75940902.049999997</v>
      </c>
      <c r="AM43" s="169">
        <f t="shared" si="30"/>
        <v>-26713991.249999996</v>
      </c>
      <c r="AN43" s="169">
        <f t="shared" si="30"/>
        <v>-102593877.55000003</v>
      </c>
      <c r="AO43" s="169">
        <f t="shared" si="30"/>
        <v>-75883694.650000006</v>
      </c>
      <c r="AP43" s="169">
        <f t="shared" si="30"/>
        <v>-26710182.899999999</v>
      </c>
      <c r="AQ43" s="169">
        <f t="shared" si="30"/>
        <v>-103562261.98000002</v>
      </c>
      <c r="AR43" s="169">
        <f t="shared" si="30"/>
        <v>-76564459.489999995</v>
      </c>
      <c r="AS43" s="169">
        <f t="shared" si="30"/>
        <v>-26997802.489999995</v>
      </c>
      <c r="AT43" s="169">
        <f t="shared" si="30"/>
        <v>-105143322.19000001</v>
      </c>
      <c r="AU43" s="169">
        <f t="shared" si="30"/>
        <v>-77673011.209999993</v>
      </c>
      <c r="AV43" s="169">
        <f t="shared" si="30"/>
        <v>-27470310.979999997</v>
      </c>
      <c r="AW43" s="378">
        <f>SUM(AW25:AW42)</f>
        <v>-103020735.36916667</v>
      </c>
      <c r="AX43" s="475">
        <f>SUM(AX25:AX42)</f>
        <v>-75625049.641666636</v>
      </c>
      <c r="AY43" s="379">
        <f>SUM(AY25:AY42)</f>
        <v>-27395685.727499995</v>
      </c>
    </row>
    <row r="44" spans="1:51" s="14" customFormat="1" ht="17.399999999999999" thickTop="1" thickBot="1">
      <c r="A44" s="683">
        <v>30</v>
      </c>
      <c r="B44" s="451" t="s">
        <v>993</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row>
    <row r="45" spans="1:51" s="14" customFormat="1">
      <c r="A45" s="683">
        <v>31</v>
      </c>
      <c r="B45" s="14" t="s">
        <v>1364</v>
      </c>
      <c r="C45" s="452" t="s">
        <v>741</v>
      </c>
      <c r="E45" s="452"/>
      <c r="F45" s="453">
        <v>1900</v>
      </c>
      <c r="G45" s="453" t="s">
        <v>985</v>
      </c>
      <c r="H45" s="452"/>
      <c r="I45" s="452"/>
      <c r="J45" s="454">
        <v>-7249.34</v>
      </c>
      <c r="K45" s="455"/>
      <c r="L45" s="456"/>
      <c r="M45" s="455">
        <v>-7165.15</v>
      </c>
      <c r="N45" s="455"/>
      <c r="O45" s="456"/>
      <c r="P45" s="455">
        <v>-7080.94</v>
      </c>
      <c r="Q45" s="455"/>
      <c r="R45" s="456"/>
      <c r="S45" s="455">
        <v>-6996.75</v>
      </c>
      <c r="T45" s="455"/>
      <c r="U45" s="456"/>
      <c r="V45" s="455">
        <v>-6912.56</v>
      </c>
      <c r="W45" s="455"/>
      <c r="X45" s="456"/>
      <c r="Y45" s="455">
        <v>-6828.37</v>
      </c>
      <c r="Z45" s="455"/>
      <c r="AA45" s="456"/>
      <c r="AB45" s="455">
        <v>-6744.18</v>
      </c>
      <c r="AC45" s="455"/>
      <c r="AD45" s="456"/>
      <c r="AE45" s="455">
        <v>-6659.99</v>
      </c>
      <c r="AF45" s="455"/>
      <c r="AG45" s="456"/>
      <c r="AH45" s="455">
        <v>-6575.8</v>
      </c>
      <c r="AI45" s="455"/>
      <c r="AJ45" s="456"/>
      <c r="AK45" s="455">
        <v>-6491.61</v>
      </c>
      <c r="AL45" s="455"/>
      <c r="AM45" s="456"/>
      <c r="AN45" s="455">
        <v>-6407.42</v>
      </c>
      <c r="AO45" s="455"/>
      <c r="AP45" s="456"/>
      <c r="AQ45" s="455">
        <v>-6323.23</v>
      </c>
      <c r="AR45" s="455"/>
      <c r="AS45" s="456"/>
      <c r="AT45" s="455">
        <v>-6239.04</v>
      </c>
      <c r="AU45" s="455"/>
      <c r="AV45" s="456"/>
      <c r="AW45" s="457">
        <f t="shared" ref="AW45:AW72" si="31">+(AT45+J45+(M45+P45+S45+V45+Y45+AB45+AE45+AH45+AK45+AN45+AQ45)*2)/24</f>
        <v>-6744.1824999999999</v>
      </c>
      <c r="AX45" s="452"/>
      <c r="AY45" s="452"/>
    </row>
    <row r="46" spans="1:51" s="14" customFormat="1">
      <c r="A46" s="683">
        <v>32</v>
      </c>
      <c r="B46" s="14" t="s">
        <v>1365</v>
      </c>
      <c r="C46" s="452" t="s">
        <v>741</v>
      </c>
      <c r="E46" s="452"/>
      <c r="F46" s="453" t="s">
        <v>456</v>
      </c>
      <c r="G46" s="453" t="s">
        <v>986</v>
      </c>
      <c r="H46" s="452"/>
      <c r="I46" s="452"/>
      <c r="J46" s="458">
        <v>2574.23</v>
      </c>
      <c r="K46" s="459"/>
      <c r="L46" s="460"/>
      <c r="M46" s="459">
        <v>2526.5500000000002</v>
      </c>
      <c r="N46" s="459"/>
      <c r="O46" s="460"/>
      <c r="P46" s="459">
        <v>2478.9</v>
      </c>
      <c r="Q46" s="459"/>
      <c r="R46" s="460"/>
      <c r="S46" s="459">
        <v>2431.23</v>
      </c>
      <c r="T46" s="459"/>
      <c r="U46" s="460"/>
      <c r="V46" s="459">
        <v>2383.5700000000002</v>
      </c>
      <c r="W46" s="459"/>
      <c r="X46" s="460"/>
      <c r="Y46" s="459">
        <v>2335.9</v>
      </c>
      <c r="Z46" s="459"/>
      <c r="AA46" s="460"/>
      <c r="AB46" s="459">
        <v>2288.2199999999998</v>
      </c>
      <c r="AC46" s="459"/>
      <c r="AD46" s="460"/>
      <c r="AE46" s="459">
        <v>2240.5700000000002</v>
      </c>
      <c r="AF46" s="459"/>
      <c r="AG46" s="460"/>
      <c r="AH46" s="459">
        <v>2192.91</v>
      </c>
      <c r="AI46" s="459"/>
      <c r="AJ46" s="460"/>
      <c r="AK46" s="459">
        <v>2145.2199999999998</v>
      </c>
      <c r="AL46" s="459"/>
      <c r="AM46" s="460"/>
      <c r="AN46" s="459">
        <v>2097.56</v>
      </c>
      <c r="AO46" s="459"/>
      <c r="AP46" s="460"/>
      <c r="AQ46" s="459">
        <v>2049.87</v>
      </c>
      <c r="AR46" s="459"/>
      <c r="AS46" s="460"/>
      <c r="AT46" s="459">
        <v>2002.16</v>
      </c>
      <c r="AU46" s="459"/>
      <c r="AV46" s="460"/>
      <c r="AW46" s="461">
        <f t="shared" si="31"/>
        <v>2288.2245833333332</v>
      </c>
      <c r="AX46" s="452"/>
      <c r="AY46" s="452"/>
    </row>
    <row r="47" spans="1:51" s="14" customFormat="1">
      <c r="A47" s="133">
        <v>34</v>
      </c>
      <c r="B47" s="14" t="s">
        <v>1366</v>
      </c>
      <c r="C47" s="452" t="s">
        <v>741</v>
      </c>
      <c r="E47" s="452"/>
      <c r="F47" s="453" t="s">
        <v>456</v>
      </c>
      <c r="G47" s="453" t="s">
        <v>987</v>
      </c>
      <c r="H47" s="452"/>
      <c r="I47" s="452"/>
      <c r="J47" s="458">
        <v>1007436.65</v>
      </c>
      <c r="K47" s="459"/>
      <c r="L47" s="460"/>
      <c r="M47" s="459">
        <v>1007188.66</v>
      </c>
      <c r="N47" s="459"/>
      <c r="O47" s="460"/>
      <c r="P47" s="459">
        <v>1005952.68</v>
      </c>
      <c r="Q47" s="459"/>
      <c r="R47" s="460"/>
      <c r="S47" s="459">
        <v>1003898.25</v>
      </c>
      <c r="T47" s="459"/>
      <c r="U47" s="460"/>
      <c r="V47" s="459">
        <v>1001032.56</v>
      </c>
      <c r="W47" s="459"/>
      <c r="X47" s="460"/>
      <c r="Y47" s="459">
        <v>418897.9</v>
      </c>
      <c r="Z47" s="459"/>
      <c r="AA47" s="460"/>
      <c r="AB47" s="459">
        <v>408252.29</v>
      </c>
      <c r="AC47" s="459"/>
      <c r="AD47" s="460"/>
      <c r="AE47" s="459">
        <v>407353.09</v>
      </c>
      <c r="AF47" s="459"/>
      <c r="AG47" s="460"/>
      <c r="AH47" s="459">
        <v>405581.88</v>
      </c>
      <c r="AI47" s="459"/>
      <c r="AJ47" s="460"/>
      <c r="AK47" s="459">
        <v>404369.91999999998</v>
      </c>
      <c r="AL47" s="459"/>
      <c r="AM47" s="460"/>
      <c r="AN47" s="459">
        <v>401034.88</v>
      </c>
      <c r="AO47" s="459"/>
      <c r="AP47" s="460"/>
      <c r="AQ47" s="459">
        <v>399699.02</v>
      </c>
      <c r="AR47" s="459"/>
      <c r="AS47" s="460"/>
      <c r="AT47" s="459">
        <v>329517.43</v>
      </c>
      <c r="AU47" s="459"/>
      <c r="AV47" s="460"/>
      <c r="AW47" s="461">
        <f t="shared" si="31"/>
        <v>627644.84749999992</v>
      </c>
      <c r="AX47" s="452"/>
      <c r="AY47" s="452"/>
    </row>
    <row r="48" spans="1:51" s="14" customFormat="1">
      <c r="A48" s="133">
        <v>35</v>
      </c>
      <c r="B48" s="14" t="s">
        <v>1367</v>
      </c>
      <c r="C48" s="452" t="s">
        <v>741</v>
      </c>
      <c r="E48" s="452"/>
      <c r="F48" s="453" t="s">
        <v>456</v>
      </c>
      <c r="G48" s="453" t="s">
        <v>187</v>
      </c>
      <c r="H48" s="452"/>
      <c r="I48" s="452"/>
      <c r="J48" s="458">
        <v>145396.82</v>
      </c>
      <c r="K48" s="459"/>
      <c r="L48" s="460"/>
      <c r="M48" s="459">
        <v>148421.38</v>
      </c>
      <c r="N48" s="459"/>
      <c r="O48" s="460"/>
      <c r="P48" s="459">
        <v>128771.35</v>
      </c>
      <c r="Q48" s="459"/>
      <c r="R48" s="460"/>
      <c r="S48" s="459">
        <v>129857.41</v>
      </c>
      <c r="T48" s="459"/>
      <c r="U48" s="460"/>
      <c r="V48" s="459">
        <v>112857.27</v>
      </c>
      <c r="W48" s="459"/>
      <c r="X48" s="460"/>
      <c r="Y48" s="459">
        <v>114490.48</v>
      </c>
      <c r="Z48" s="459"/>
      <c r="AA48" s="460"/>
      <c r="AB48" s="459">
        <v>117214.76</v>
      </c>
      <c r="AC48" s="459"/>
      <c r="AD48" s="460"/>
      <c r="AE48" s="459">
        <v>119154.55</v>
      </c>
      <c r="AF48" s="459"/>
      <c r="AG48" s="460"/>
      <c r="AH48" s="459">
        <v>121273.61</v>
      </c>
      <c r="AI48" s="459"/>
      <c r="AJ48" s="460"/>
      <c r="AK48" s="459">
        <v>120858.67</v>
      </c>
      <c r="AL48" s="459"/>
      <c r="AM48" s="460"/>
      <c r="AN48" s="459">
        <v>120291.11</v>
      </c>
      <c r="AO48" s="459"/>
      <c r="AP48" s="460"/>
      <c r="AQ48" s="459">
        <v>100655.08</v>
      </c>
      <c r="AR48" s="459"/>
      <c r="AS48" s="460"/>
      <c r="AT48" s="459">
        <v>152233.85999999999</v>
      </c>
      <c r="AU48" s="459"/>
      <c r="AV48" s="460"/>
      <c r="AW48" s="461">
        <f t="shared" si="31"/>
        <v>123555.08416666668</v>
      </c>
      <c r="AX48" s="452"/>
      <c r="AY48" s="452"/>
    </row>
    <row r="49" spans="1:51" s="14" customFormat="1">
      <c r="A49" s="133">
        <v>36</v>
      </c>
      <c r="B49" s="14" t="s">
        <v>1368</v>
      </c>
      <c r="C49" s="452" t="s">
        <v>741</v>
      </c>
      <c r="E49" s="452"/>
      <c r="F49" s="453" t="s">
        <v>456</v>
      </c>
      <c r="G49" s="453" t="s">
        <v>988</v>
      </c>
      <c r="H49" s="452"/>
      <c r="I49" s="452"/>
      <c r="J49" s="458">
        <v>-82824.95</v>
      </c>
      <c r="K49" s="459"/>
      <c r="L49" s="460"/>
      <c r="M49" s="459">
        <v>-81863.039999999994</v>
      </c>
      <c r="N49" s="459"/>
      <c r="O49" s="460"/>
      <c r="P49" s="459">
        <v>-80901.16</v>
      </c>
      <c r="Q49" s="459"/>
      <c r="R49" s="460"/>
      <c r="S49" s="459">
        <v>-79939.23</v>
      </c>
      <c r="T49" s="459"/>
      <c r="U49" s="460"/>
      <c r="V49" s="459">
        <v>-78977.33</v>
      </c>
      <c r="W49" s="459"/>
      <c r="X49" s="460"/>
      <c r="Y49" s="459">
        <v>-78015.429999999993</v>
      </c>
      <c r="Z49" s="459"/>
      <c r="AA49" s="460"/>
      <c r="AB49" s="459">
        <v>-77053.539999999994</v>
      </c>
      <c r="AC49" s="459"/>
      <c r="AD49" s="460"/>
      <c r="AE49" s="459">
        <v>-76091.649999999994</v>
      </c>
      <c r="AF49" s="459"/>
      <c r="AG49" s="460"/>
      <c r="AH49" s="459">
        <v>-75129.75</v>
      </c>
      <c r="AI49" s="459"/>
      <c r="AJ49" s="460"/>
      <c r="AK49" s="459">
        <v>-74167.83</v>
      </c>
      <c r="AL49" s="459"/>
      <c r="AM49" s="460"/>
      <c r="AN49" s="459">
        <v>-73205.919999999998</v>
      </c>
      <c r="AO49" s="459"/>
      <c r="AP49" s="460"/>
      <c r="AQ49" s="459">
        <v>-72244.02</v>
      </c>
      <c r="AR49" s="459"/>
      <c r="AS49" s="460"/>
      <c r="AT49" s="459">
        <v>-71282.13</v>
      </c>
      <c r="AU49" s="459"/>
      <c r="AV49" s="460"/>
      <c r="AW49" s="461">
        <f t="shared" si="31"/>
        <v>-77053.536666666667</v>
      </c>
      <c r="AX49" s="452"/>
      <c r="AY49" s="452"/>
    </row>
    <row r="50" spans="1:51" s="14" customFormat="1">
      <c r="A50" s="133">
        <v>37</v>
      </c>
      <c r="B50" s="14" t="s">
        <v>1369</v>
      </c>
      <c r="C50" s="452" t="s">
        <v>741</v>
      </c>
      <c r="E50" s="452"/>
      <c r="F50" s="453" t="s">
        <v>456</v>
      </c>
      <c r="G50" s="453" t="s">
        <v>989</v>
      </c>
      <c r="H50" s="452"/>
      <c r="I50" s="452"/>
      <c r="J50" s="458">
        <v>-314153.82</v>
      </c>
      <c r="K50" s="459"/>
      <c r="L50" s="460"/>
      <c r="M50" s="459">
        <v>-310487.56</v>
      </c>
      <c r="N50" s="459"/>
      <c r="O50" s="460"/>
      <c r="P50" s="459">
        <v>-306821.32</v>
      </c>
      <c r="Q50" s="459"/>
      <c r="R50" s="460"/>
      <c r="S50" s="459">
        <v>-303155.03999999998</v>
      </c>
      <c r="T50" s="459"/>
      <c r="U50" s="460"/>
      <c r="V50" s="459">
        <v>-299488.8</v>
      </c>
      <c r="W50" s="459"/>
      <c r="X50" s="460"/>
      <c r="Y50" s="459">
        <v>-295822.51</v>
      </c>
      <c r="Z50" s="459"/>
      <c r="AA50" s="460"/>
      <c r="AB50" s="459">
        <v>-292156.31</v>
      </c>
      <c r="AC50" s="459"/>
      <c r="AD50" s="460"/>
      <c r="AE50" s="459">
        <v>-288490.09000000003</v>
      </c>
      <c r="AF50" s="459"/>
      <c r="AG50" s="460"/>
      <c r="AH50" s="459">
        <v>-284823.81</v>
      </c>
      <c r="AI50" s="459"/>
      <c r="AJ50" s="460"/>
      <c r="AK50" s="459">
        <v>-281157.56</v>
      </c>
      <c r="AL50" s="459"/>
      <c r="AM50" s="460"/>
      <c r="AN50" s="459">
        <v>-277491.31</v>
      </c>
      <c r="AO50" s="459"/>
      <c r="AP50" s="460"/>
      <c r="AQ50" s="459">
        <v>-273824.98</v>
      </c>
      <c r="AR50" s="459"/>
      <c r="AS50" s="460"/>
      <c r="AT50" s="459">
        <v>-270158.8</v>
      </c>
      <c r="AU50" s="459"/>
      <c r="AV50" s="460"/>
      <c r="AW50" s="461">
        <f t="shared" si="31"/>
        <v>-292156.3</v>
      </c>
      <c r="AX50" s="452"/>
      <c r="AY50" s="452"/>
    </row>
    <row r="51" spans="1:51" s="14" customFormat="1">
      <c r="A51" s="133">
        <v>39</v>
      </c>
      <c r="B51" s="14" t="s">
        <v>1370</v>
      </c>
      <c r="C51" s="452" t="s">
        <v>741</v>
      </c>
      <c r="E51" s="452"/>
      <c r="F51" s="453" t="s">
        <v>456</v>
      </c>
      <c r="G51" s="453" t="s">
        <v>990</v>
      </c>
      <c r="H51" s="452"/>
      <c r="I51" s="452"/>
      <c r="J51" s="458">
        <v>11510145.4</v>
      </c>
      <c r="K51" s="459"/>
      <c r="L51" s="460"/>
      <c r="M51" s="459">
        <v>11507312.039999999</v>
      </c>
      <c r="N51" s="459"/>
      <c r="O51" s="460"/>
      <c r="P51" s="459">
        <v>11493190.75</v>
      </c>
      <c r="Q51" s="459"/>
      <c r="R51" s="460"/>
      <c r="S51" s="459">
        <v>11469718.529999999</v>
      </c>
      <c r="T51" s="459"/>
      <c r="U51" s="460"/>
      <c r="V51" s="459">
        <v>11436977.539999999</v>
      </c>
      <c r="W51" s="459"/>
      <c r="X51" s="460"/>
      <c r="Y51" s="459">
        <v>4785984.6900000004</v>
      </c>
      <c r="Z51" s="459"/>
      <c r="AA51" s="460"/>
      <c r="AB51" s="459">
        <v>4664356.68</v>
      </c>
      <c r="AC51" s="459"/>
      <c r="AD51" s="460"/>
      <c r="AE51" s="459">
        <v>4654083.1500000004</v>
      </c>
      <c r="AF51" s="459"/>
      <c r="AG51" s="460"/>
      <c r="AH51" s="459">
        <v>4633846.72</v>
      </c>
      <c r="AI51" s="459"/>
      <c r="AJ51" s="460"/>
      <c r="AK51" s="459">
        <v>4619999.8499999996</v>
      </c>
      <c r="AL51" s="459"/>
      <c r="AM51" s="460"/>
      <c r="AN51" s="459">
        <v>4581896.46</v>
      </c>
      <c r="AO51" s="459"/>
      <c r="AP51" s="460"/>
      <c r="AQ51" s="459">
        <v>4566634.12</v>
      </c>
      <c r="AR51" s="459"/>
      <c r="AS51" s="460"/>
      <c r="AT51" s="459">
        <v>3764796.5</v>
      </c>
      <c r="AU51" s="459"/>
      <c r="AV51" s="460"/>
      <c r="AW51" s="461">
        <f t="shared" si="31"/>
        <v>7170955.9566666661</v>
      </c>
      <c r="AX51" s="452"/>
      <c r="AY51" s="452"/>
    </row>
    <row r="52" spans="1:51" s="14" customFormat="1">
      <c r="A52" s="133">
        <v>40</v>
      </c>
      <c r="B52" s="14" t="s">
        <v>1371</v>
      </c>
      <c r="C52" s="452" t="s">
        <v>741</v>
      </c>
      <c r="E52" s="452"/>
      <c r="F52" s="453" t="s">
        <v>456</v>
      </c>
      <c r="G52" s="453" t="s">
        <v>1137</v>
      </c>
      <c r="H52" s="452"/>
      <c r="I52" s="452"/>
      <c r="J52" s="462">
        <v>1661184.9</v>
      </c>
      <c r="K52" s="459"/>
      <c r="L52" s="460"/>
      <c r="M52" s="462">
        <v>1695741.01</v>
      </c>
      <c r="N52" s="459"/>
      <c r="O52" s="460"/>
      <c r="P52" s="462">
        <v>1471236.01</v>
      </c>
      <c r="Q52" s="459"/>
      <c r="R52" s="460"/>
      <c r="S52" s="462">
        <v>1483644.41</v>
      </c>
      <c r="T52" s="459"/>
      <c r="U52" s="460"/>
      <c r="V52" s="462">
        <v>1289414.67</v>
      </c>
      <c r="W52" s="459"/>
      <c r="X52" s="460"/>
      <c r="Y52" s="462">
        <v>1308074.3700000001</v>
      </c>
      <c r="Z52" s="459"/>
      <c r="AA52" s="460"/>
      <c r="AB52" s="462">
        <v>1339199.76</v>
      </c>
      <c r="AC52" s="459"/>
      <c r="AD52" s="460"/>
      <c r="AE52" s="462">
        <v>1361362.4</v>
      </c>
      <c r="AF52" s="459"/>
      <c r="AG52" s="460"/>
      <c r="AH52" s="462">
        <v>1385573.15</v>
      </c>
      <c r="AI52" s="459"/>
      <c r="AJ52" s="460"/>
      <c r="AK52" s="462">
        <v>1380832.33</v>
      </c>
      <c r="AL52" s="459"/>
      <c r="AM52" s="460"/>
      <c r="AN52" s="462">
        <v>1374347.93</v>
      </c>
      <c r="AO52" s="459"/>
      <c r="AP52" s="460"/>
      <c r="AQ52" s="462">
        <v>1150002.48</v>
      </c>
      <c r="AR52" s="459"/>
      <c r="AS52" s="460"/>
      <c r="AT52" s="462">
        <v>1739299.2</v>
      </c>
      <c r="AU52" s="459"/>
      <c r="AV52" s="459"/>
      <c r="AW52" s="463">
        <f t="shared" si="31"/>
        <v>1411639.2141666666</v>
      </c>
      <c r="AX52" s="452"/>
      <c r="AY52" s="452"/>
    </row>
    <row r="53" spans="1:51" s="14" customFormat="1">
      <c r="A53" s="133">
        <v>41</v>
      </c>
      <c r="C53" s="452"/>
      <c r="E53" s="452"/>
      <c r="F53" s="452"/>
      <c r="G53" s="452"/>
      <c r="H53" s="452"/>
      <c r="I53" s="452"/>
      <c r="J53" s="458">
        <f>SUM(J45:J52)</f>
        <v>13922509.890000001</v>
      </c>
      <c r="K53" s="459"/>
      <c r="L53" s="460"/>
      <c r="M53" s="459">
        <f>SUM(M45:M52)</f>
        <v>13961673.889999999</v>
      </c>
      <c r="N53" s="459"/>
      <c r="O53" s="459"/>
      <c r="P53" s="459">
        <f>SUM(P45:P52)</f>
        <v>13706826.27</v>
      </c>
      <c r="Q53" s="459"/>
      <c r="R53" s="459"/>
      <c r="S53" s="459">
        <f>SUM(S45:S52)</f>
        <v>13699458.809999999</v>
      </c>
      <c r="T53" s="459"/>
      <c r="U53" s="459"/>
      <c r="V53" s="459">
        <f>SUM(V45:V52)</f>
        <v>13457286.92</v>
      </c>
      <c r="W53" s="459"/>
      <c r="X53" s="459"/>
      <c r="Y53" s="459">
        <f>SUM(Y45:Y52)</f>
        <v>6249117.0300000003</v>
      </c>
      <c r="Z53" s="459"/>
      <c r="AA53" s="459"/>
      <c r="AB53" s="459">
        <f>SUM(AB45:AB52)</f>
        <v>6155357.6799999997</v>
      </c>
      <c r="AC53" s="459"/>
      <c r="AD53" s="459"/>
      <c r="AE53" s="459">
        <f>SUM(AE45:AE52)</f>
        <v>6172952.0300000012</v>
      </c>
      <c r="AF53" s="459"/>
      <c r="AG53" s="459"/>
      <c r="AH53" s="459">
        <f>SUM(AH45:AH52)</f>
        <v>6181938.9100000001</v>
      </c>
      <c r="AI53" s="459"/>
      <c r="AJ53" s="459"/>
      <c r="AK53" s="459">
        <f>SUM(AK45:AK52)</f>
        <v>6166388.9899999993</v>
      </c>
      <c r="AL53" s="459"/>
      <c r="AM53" s="459"/>
      <c r="AN53" s="459">
        <f>SUM(AN45:AN52)</f>
        <v>6122563.29</v>
      </c>
      <c r="AO53" s="459"/>
      <c r="AP53" s="459"/>
      <c r="AQ53" s="459">
        <f>SUM(AQ45:AQ52)</f>
        <v>5866648.3399999999</v>
      </c>
      <c r="AR53" s="459"/>
      <c r="AS53" s="459"/>
      <c r="AT53" s="459">
        <f>SUM(AT45:AT52)</f>
        <v>5640169.1799999997</v>
      </c>
      <c r="AU53" s="459"/>
      <c r="AV53" s="459"/>
      <c r="AW53" s="461">
        <f t="shared" si="31"/>
        <v>8960129.3079166654</v>
      </c>
      <c r="AX53" s="452"/>
      <c r="AY53" s="452"/>
    </row>
    <row r="54" spans="1:51" s="14" customFormat="1">
      <c r="A54" s="133">
        <v>42</v>
      </c>
      <c r="C54" s="452"/>
      <c r="E54" s="452"/>
      <c r="F54" s="452"/>
      <c r="G54" s="452"/>
      <c r="H54" s="452"/>
      <c r="I54" s="452"/>
      <c r="J54" s="458"/>
      <c r="K54" s="459"/>
      <c r="L54" s="460"/>
      <c r="M54" s="459"/>
      <c r="N54" s="459"/>
      <c r="O54" s="460"/>
      <c r="P54" s="459"/>
      <c r="Q54" s="459"/>
      <c r="R54" s="460"/>
      <c r="S54" s="459"/>
      <c r="T54" s="459"/>
      <c r="U54" s="460"/>
      <c r="V54" s="459"/>
      <c r="W54" s="459"/>
      <c r="X54" s="460"/>
      <c r="Y54" s="459"/>
      <c r="Z54" s="459"/>
      <c r="AA54" s="460"/>
      <c r="AB54" s="459"/>
      <c r="AC54" s="459"/>
      <c r="AD54" s="460"/>
      <c r="AE54" s="459"/>
      <c r="AF54" s="459"/>
      <c r="AG54" s="460"/>
      <c r="AH54" s="459"/>
      <c r="AI54" s="459"/>
      <c r="AJ54" s="460"/>
      <c r="AK54" s="459"/>
      <c r="AL54" s="459"/>
      <c r="AM54" s="460"/>
      <c r="AN54" s="459"/>
      <c r="AO54" s="459"/>
      <c r="AP54" s="460"/>
      <c r="AQ54" s="459"/>
      <c r="AR54" s="459"/>
      <c r="AS54" s="460"/>
      <c r="AT54" s="459"/>
      <c r="AU54" s="459"/>
      <c r="AV54" s="460"/>
      <c r="AW54" s="461"/>
      <c r="AX54" s="452"/>
      <c r="AY54" s="452"/>
    </row>
    <row r="55" spans="1:51" s="14" customFormat="1">
      <c r="A55" s="133">
        <v>43</v>
      </c>
      <c r="B55" s="14" t="s">
        <v>1364</v>
      </c>
      <c r="C55" s="452" t="s">
        <v>741</v>
      </c>
      <c r="E55" s="452"/>
      <c r="F55" s="452" t="s">
        <v>628</v>
      </c>
      <c r="G55" s="452" t="s">
        <v>985</v>
      </c>
      <c r="H55" s="452"/>
      <c r="I55" s="452"/>
      <c r="J55" s="458">
        <v>895436.16</v>
      </c>
      <c r="K55" s="459"/>
      <c r="L55" s="460"/>
      <c r="M55" s="459">
        <v>891841.56</v>
      </c>
      <c r="N55" s="459"/>
      <c r="O55" s="460"/>
      <c r="P55" s="459">
        <v>888246.94</v>
      </c>
      <c r="Q55" s="459"/>
      <c r="R55" s="460"/>
      <c r="S55" s="459">
        <v>884652.33</v>
      </c>
      <c r="T55" s="459"/>
      <c r="U55" s="460"/>
      <c r="V55" s="459">
        <v>881057.7</v>
      </c>
      <c r="W55" s="459"/>
      <c r="X55" s="460"/>
      <c r="Y55" s="459">
        <v>877463.1</v>
      </c>
      <c r="Z55" s="459"/>
      <c r="AA55" s="460"/>
      <c r="AB55" s="459">
        <v>873868.48</v>
      </c>
      <c r="AC55" s="459"/>
      <c r="AD55" s="460"/>
      <c r="AE55" s="459">
        <v>870273.95</v>
      </c>
      <c r="AF55" s="459"/>
      <c r="AG55" s="460"/>
      <c r="AH55" s="459">
        <v>866679.33</v>
      </c>
      <c r="AI55" s="459"/>
      <c r="AJ55" s="460"/>
      <c r="AK55" s="459">
        <v>863084.72</v>
      </c>
      <c r="AL55" s="459"/>
      <c r="AM55" s="460"/>
      <c r="AN55" s="459">
        <v>859490.1</v>
      </c>
      <c r="AO55" s="459"/>
      <c r="AP55" s="460"/>
      <c r="AQ55" s="459">
        <v>855502.51</v>
      </c>
      <c r="AR55" s="459"/>
      <c r="AS55" s="460"/>
      <c r="AT55" s="459">
        <v>850011.25</v>
      </c>
      <c r="AU55" s="459"/>
      <c r="AV55" s="460"/>
      <c r="AW55" s="461">
        <f t="shared" si="31"/>
        <v>873740.36874999991</v>
      </c>
      <c r="AX55" s="452"/>
      <c r="AY55" s="452"/>
    </row>
    <row r="56" spans="1:51" s="14" customFormat="1">
      <c r="A56" s="133">
        <v>44</v>
      </c>
      <c r="B56" s="14" t="s">
        <v>1365</v>
      </c>
      <c r="C56" s="452" t="s">
        <v>741</v>
      </c>
      <c r="E56" s="452"/>
      <c r="F56" s="452" t="s">
        <v>628</v>
      </c>
      <c r="G56" s="452" t="s">
        <v>986</v>
      </c>
      <c r="H56" s="452"/>
      <c r="I56" s="452"/>
      <c r="J56" s="458">
        <v>-798533.89</v>
      </c>
      <c r="K56" s="459"/>
      <c r="L56" s="460"/>
      <c r="M56" s="459">
        <v>-793515.04</v>
      </c>
      <c r="N56" s="459"/>
      <c r="O56" s="460"/>
      <c r="P56" s="459">
        <v>-788496.17</v>
      </c>
      <c r="Q56" s="459"/>
      <c r="R56" s="460"/>
      <c r="S56" s="459">
        <v>-783477.27</v>
      </c>
      <c r="T56" s="459"/>
      <c r="U56" s="460"/>
      <c r="V56" s="459">
        <v>-778458.43</v>
      </c>
      <c r="W56" s="459"/>
      <c r="X56" s="460"/>
      <c r="Y56" s="459">
        <v>-773439.56</v>
      </c>
      <c r="Z56" s="459"/>
      <c r="AA56" s="460"/>
      <c r="AB56" s="459">
        <v>-768420.69</v>
      </c>
      <c r="AC56" s="459"/>
      <c r="AD56" s="460"/>
      <c r="AE56" s="459">
        <v>-763401.51</v>
      </c>
      <c r="AF56" s="459"/>
      <c r="AG56" s="460"/>
      <c r="AH56" s="459">
        <v>-758382.62</v>
      </c>
      <c r="AI56" s="459"/>
      <c r="AJ56" s="460"/>
      <c r="AK56" s="459">
        <v>-753363.76</v>
      </c>
      <c r="AL56" s="459"/>
      <c r="AM56" s="460"/>
      <c r="AN56" s="459">
        <v>-748344.91</v>
      </c>
      <c r="AO56" s="459"/>
      <c r="AP56" s="460"/>
      <c r="AQ56" s="459">
        <v>-751585.57</v>
      </c>
      <c r="AR56" s="459"/>
      <c r="AS56" s="460"/>
      <c r="AT56" s="459">
        <v>-748372.32</v>
      </c>
      <c r="AU56" s="459"/>
      <c r="AV56" s="460"/>
      <c r="AW56" s="461">
        <f t="shared" si="31"/>
        <v>-769528.21958333335</v>
      </c>
      <c r="AX56" s="452"/>
      <c r="AY56" s="452"/>
    </row>
    <row r="57" spans="1:51" s="14" customFormat="1">
      <c r="A57" s="133">
        <v>46</v>
      </c>
      <c r="B57" s="14" t="s">
        <v>1366</v>
      </c>
      <c r="C57" s="452" t="s">
        <v>741</v>
      </c>
      <c r="E57" s="452"/>
      <c r="F57" s="452" t="s">
        <v>628</v>
      </c>
      <c r="G57" s="452" t="s">
        <v>987</v>
      </c>
      <c r="H57" s="452"/>
      <c r="I57" s="452"/>
      <c r="J57" s="458">
        <v>492728.47</v>
      </c>
      <c r="K57" s="459"/>
      <c r="L57" s="460"/>
      <c r="M57" s="459">
        <v>491067.3</v>
      </c>
      <c r="N57" s="459"/>
      <c r="O57" s="460"/>
      <c r="P57" s="459">
        <v>491190.19</v>
      </c>
      <c r="Q57" s="459"/>
      <c r="R57" s="460"/>
      <c r="S57" s="459">
        <v>494874.48</v>
      </c>
      <c r="T57" s="459"/>
      <c r="U57" s="460"/>
      <c r="V57" s="459">
        <v>495326.42</v>
      </c>
      <c r="W57" s="459"/>
      <c r="X57" s="460"/>
      <c r="Y57" s="459">
        <v>494892.02</v>
      </c>
      <c r="Z57" s="459"/>
      <c r="AA57" s="460"/>
      <c r="AB57" s="459">
        <v>494416.3</v>
      </c>
      <c r="AC57" s="459"/>
      <c r="AD57" s="460"/>
      <c r="AE57" s="459">
        <v>494046.33</v>
      </c>
      <c r="AF57" s="459"/>
      <c r="AG57" s="460"/>
      <c r="AH57" s="459">
        <v>499096.44</v>
      </c>
      <c r="AI57" s="459"/>
      <c r="AJ57" s="460"/>
      <c r="AK57" s="459">
        <v>500831.95</v>
      </c>
      <c r="AL57" s="459"/>
      <c r="AM57" s="460"/>
      <c r="AN57" s="459">
        <v>501238.35</v>
      </c>
      <c r="AO57" s="459"/>
      <c r="AP57" s="460"/>
      <c r="AQ57" s="459">
        <v>428206.76</v>
      </c>
      <c r="AR57" s="459"/>
      <c r="AS57" s="460"/>
      <c r="AT57" s="459">
        <v>505732.86</v>
      </c>
      <c r="AU57" s="459"/>
      <c r="AV57" s="460"/>
      <c r="AW57" s="461">
        <f t="shared" si="31"/>
        <v>490368.1004166666</v>
      </c>
      <c r="AX57" s="452"/>
      <c r="AY57" s="452"/>
    </row>
    <row r="58" spans="1:51" s="14" customFormat="1">
      <c r="A58" s="133">
        <v>47</v>
      </c>
      <c r="B58" s="14" t="s">
        <v>1367</v>
      </c>
      <c r="C58" s="452" t="s">
        <v>741</v>
      </c>
      <c r="E58" s="452"/>
      <c r="F58" s="452" t="s">
        <v>628</v>
      </c>
      <c r="G58" s="452" t="s">
        <v>187</v>
      </c>
      <c r="H58" s="452"/>
      <c r="I58" s="452"/>
      <c r="J58" s="458">
        <v>0</v>
      </c>
      <c r="K58" s="459"/>
      <c r="L58" s="460"/>
      <c r="M58" s="459">
        <v>0</v>
      </c>
      <c r="N58" s="459"/>
      <c r="O58" s="460"/>
      <c r="P58" s="459">
        <v>0</v>
      </c>
      <c r="Q58" s="459"/>
      <c r="R58" s="460"/>
      <c r="S58" s="459">
        <v>0</v>
      </c>
      <c r="T58" s="459"/>
      <c r="U58" s="460"/>
      <c r="V58" s="459">
        <v>0</v>
      </c>
      <c r="W58" s="459"/>
      <c r="X58" s="460"/>
      <c r="Y58" s="459">
        <v>0</v>
      </c>
      <c r="Z58" s="459"/>
      <c r="AA58" s="460"/>
      <c r="AB58" s="459">
        <v>0</v>
      </c>
      <c r="AC58" s="459"/>
      <c r="AD58" s="460"/>
      <c r="AE58" s="459">
        <v>0</v>
      </c>
      <c r="AF58" s="459"/>
      <c r="AG58" s="460"/>
      <c r="AH58" s="459">
        <v>0</v>
      </c>
      <c r="AI58" s="459"/>
      <c r="AJ58" s="460"/>
      <c r="AK58" s="459">
        <v>0</v>
      </c>
      <c r="AL58" s="459"/>
      <c r="AM58" s="460"/>
      <c r="AN58" s="459">
        <v>0</v>
      </c>
      <c r="AO58" s="459"/>
      <c r="AP58" s="460"/>
      <c r="AQ58" s="459">
        <v>0</v>
      </c>
      <c r="AR58" s="459"/>
      <c r="AS58" s="460"/>
      <c r="AT58" s="459">
        <v>0</v>
      </c>
      <c r="AU58" s="459"/>
      <c r="AV58" s="460"/>
      <c r="AW58" s="461">
        <f t="shared" si="31"/>
        <v>0</v>
      </c>
      <c r="AX58" s="452"/>
      <c r="AY58" s="452"/>
    </row>
    <row r="59" spans="1:51" s="14" customFormat="1">
      <c r="A59" s="133">
        <v>48</v>
      </c>
      <c r="B59" s="14" t="s">
        <v>1368</v>
      </c>
      <c r="C59" s="452" t="s">
        <v>741</v>
      </c>
      <c r="E59" s="452"/>
      <c r="F59" s="452" t="s">
        <v>628</v>
      </c>
      <c r="G59" s="452" t="s">
        <v>988</v>
      </c>
      <c r="H59" s="452"/>
      <c r="I59" s="452"/>
      <c r="J59" s="458">
        <v>10230519.77</v>
      </c>
      <c r="K59" s="459"/>
      <c r="L59" s="460"/>
      <c r="M59" s="459">
        <v>10189450.65</v>
      </c>
      <c r="N59" s="459"/>
      <c r="O59" s="460"/>
      <c r="P59" s="459">
        <v>10148381.529999999</v>
      </c>
      <c r="Q59" s="459"/>
      <c r="R59" s="460"/>
      <c r="S59" s="459">
        <v>10107312.4</v>
      </c>
      <c r="T59" s="459"/>
      <c r="U59" s="460"/>
      <c r="V59" s="459">
        <v>10066243.27</v>
      </c>
      <c r="W59" s="459"/>
      <c r="X59" s="460"/>
      <c r="Y59" s="459">
        <v>10025174.17</v>
      </c>
      <c r="Z59" s="459"/>
      <c r="AA59" s="460"/>
      <c r="AB59" s="459">
        <v>9984105.0199999996</v>
      </c>
      <c r="AC59" s="459"/>
      <c r="AD59" s="460"/>
      <c r="AE59" s="459">
        <v>9943036.9100000001</v>
      </c>
      <c r="AF59" s="459"/>
      <c r="AG59" s="460"/>
      <c r="AH59" s="459">
        <v>9901967.7899999991</v>
      </c>
      <c r="AI59" s="459"/>
      <c r="AJ59" s="460"/>
      <c r="AK59" s="459">
        <v>9860898.6600000001</v>
      </c>
      <c r="AL59" s="459"/>
      <c r="AM59" s="460"/>
      <c r="AN59" s="459">
        <v>9819829.5399999991</v>
      </c>
      <c r="AO59" s="459"/>
      <c r="AP59" s="460"/>
      <c r="AQ59" s="459">
        <v>9774270.3900000006</v>
      </c>
      <c r="AR59" s="459"/>
      <c r="AS59" s="460"/>
      <c r="AT59" s="459">
        <v>9711531.8900000006</v>
      </c>
      <c r="AU59" s="459"/>
      <c r="AV59" s="460"/>
      <c r="AW59" s="461">
        <f t="shared" si="31"/>
        <v>9982641.3466666639</v>
      </c>
      <c r="AX59" s="452"/>
      <c r="AY59" s="452"/>
    </row>
    <row r="60" spans="1:51" s="14" customFormat="1">
      <c r="A60" s="133">
        <v>49</v>
      </c>
      <c r="B60" s="14" t="s">
        <v>1369</v>
      </c>
      <c r="C60" s="452" t="s">
        <v>741</v>
      </c>
      <c r="E60" s="452"/>
      <c r="F60" s="452" t="s">
        <v>628</v>
      </c>
      <c r="G60" s="452" t="s">
        <v>989</v>
      </c>
      <c r="H60" s="452"/>
      <c r="I60" s="452"/>
      <c r="J60" s="458">
        <v>39297042.920000002</v>
      </c>
      <c r="K60" s="459"/>
      <c r="L60" s="460"/>
      <c r="M60" s="459">
        <v>39137349.799999997</v>
      </c>
      <c r="N60" s="459"/>
      <c r="O60" s="460"/>
      <c r="P60" s="459">
        <v>38977656.649999999</v>
      </c>
      <c r="Q60" s="459"/>
      <c r="R60" s="460"/>
      <c r="S60" s="459">
        <v>38817963.509999998</v>
      </c>
      <c r="T60" s="459"/>
      <c r="U60" s="460"/>
      <c r="V60" s="459">
        <v>38658270.439999998</v>
      </c>
      <c r="W60" s="459"/>
      <c r="X60" s="460"/>
      <c r="Y60" s="459">
        <v>38498577.340000004</v>
      </c>
      <c r="Z60" s="459"/>
      <c r="AA60" s="460"/>
      <c r="AB60" s="459">
        <v>38338884.200000003</v>
      </c>
      <c r="AC60" s="459"/>
      <c r="AD60" s="460"/>
      <c r="AE60" s="459">
        <v>38179194.590000004</v>
      </c>
      <c r="AF60" s="459"/>
      <c r="AG60" s="460"/>
      <c r="AH60" s="459">
        <v>38019501.460000001</v>
      </c>
      <c r="AI60" s="459"/>
      <c r="AJ60" s="460"/>
      <c r="AK60" s="459">
        <v>37859808.329999998</v>
      </c>
      <c r="AL60" s="459"/>
      <c r="AM60" s="460"/>
      <c r="AN60" s="459">
        <v>37700115.229999997</v>
      </c>
      <c r="AO60" s="459"/>
      <c r="AP60" s="460"/>
      <c r="AQ60" s="459">
        <v>37530125.719999999</v>
      </c>
      <c r="AR60" s="459"/>
      <c r="AS60" s="460"/>
      <c r="AT60" s="459">
        <v>37290719.920000002</v>
      </c>
      <c r="AU60" s="459"/>
      <c r="AV60" s="460"/>
      <c r="AW60" s="461">
        <f t="shared" si="31"/>
        <v>38334277.390833333</v>
      </c>
      <c r="AX60" s="452"/>
      <c r="AY60" s="452"/>
    </row>
    <row r="61" spans="1:51" s="14" customFormat="1">
      <c r="A61" s="133">
        <v>51</v>
      </c>
      <c r="B61" s="14" t="s">
        <v>1370</v>
      </c>
      <c r="C61" s="452" t="s">
        <v>741</v>
      </c>
      <c r="E61" s="452"/>
      <c r="F61" s="452" t="s">
        <v>628</v>
      </c>
      <c r="G61" s="452" t="s">
        <v>990</v>
      </c>
      <c r="H61" s="452"/>
      <c r="I61" s="452"/>
      <c r="J61" s="458">
        <v>347877.73</v>
      </c>
      <c r="K61" s="459"/>
      <c r="L61" s="460"/>
      <c r="M61" s="459">
        <v>328898.68</v>
      </c>
      <c r="N61" s="459"/>
      <c r="O61" s="460"/>
      <c r="P61" s="459">
        <v>330302.68</v>
      </c>
      <c r="Q61" s="459"/>
      <c r="R61" s="460"/>
      <c r="S61" s="459">
        <v>372396.35</v>
      </c>
      <c r="T61" s="459"/>
      <c r="U61" s="460"/>
      <c r="V61" s="459">
        <v>377559.63</v>
      </c>
      <c r="W61" s="459"/>
      <c r="X61" s="460"/>
      <c r="Y61" s="459">
        <v>372596.72</v>
      </c>
      <c r="Z61" s="459"/>
      <c r="AA61" s="460"/>
      <c r="AB61" s="459">
        <v>367161.58</v>
      </c>
      <c r="AC61" s="459"/>
      <c r="AD61" s="460"/>
      <c r="AE61" s="459">
        <v>362934.5</v>
      </c>
      <c r="AF61" s="459"/>
      <c r="AG61" s="460"/>
      <c r="AH61" s="459">
        <v>420633.06</v>
      </c>
      <c r="AI61" s="459"/>
      <c r="AJ61" s="460"/>
      <c r="AK61" s="459">
        <v>440461.47</v>
      </c>
      <c r="AL61" s="459"/>
      <c r="AM61" s="460"/>
      <c r="AN61" s="459">
        <v>445104.75</v>
      </c>
      <c r="AO61" s="459"/>
      <c r="AP61" s="460"/>
      <c r="AQ61" s="459">
        <v>-389294.49</v>
      </c>
      <c r="AR61" s="459"/>
      <c r="AS61" s="460"/>
      <c r="AT61" s="459">
        <v>496455.14</v>
      </c>
      <c r="AU61" s="459"/>
      <c r="AV61" s="460"/>
      <c r="AW61" s="461">
        <f t="shared" si="31"/>
        <v>320910.11374999996</v>
      </c>
      <c r="AX61" s="452"/>
      <c r="AY61" s="452"/>
    </row>
    <row r="62" spans="1:51" s="14" customFormat="1">
      <c r="A62" s="133">
        <v>52</v>
      </c>
      <c r="B62" s="14" t="s">
        <v>1371</v>
      </c>
      <c r="C62" s="452" t="s">
        <v>741</v>
      </c>
      <c r="E62" s="452"/>
      <c r="F62" s="452" t="s">
        <v>628</v>
      </c>
      <c r="G62" s="452" t="s">
        <v>1137</v>
      </c>
      <c r="H62" s="452"/>
      <c r="I62" s="452"/>
      <c r="J62" s="462">
        <v>0</v>
      </c>
      <c r="K62" s="459"/>
      <c r="L62" s="460"/>
      <c r="M62" s="458">
        <v>0</v>
      </c>
      <c r="N62" s="459"/>
      <c r="O62" s="460"/>
      <c r="P62" s="462">
        <v>0</v>
      </c>
      <c r="Q62" s="459"/>
      <c r="R62" s="460"/>
      <c r="S62" s="462">
        <v>0</v>
      </c>
      <c r="T62" s="459"/>
      <c r="U62" s="460"/>
      <c r="V62" s="462">
        <v>0</v>
      </c>
      <c r="W62" s="459"/>
      <c r="X62" s="460"/>
      <c r="Y62" s="462">
        <v>0</v>
      </c>
      <c r="Z62" s="459"/>
      <c r="AA62" s="460"/>
      <c r="AB62" s="462">
        <v>0</v>
      </c>
      <c r="AC62" s="459"/>
      <c r="AD62" s="460"/>
      <c r="AE62" s="462">
        <v>0</v>
      </c>
      <c r="AF62" s="459"/>
      <c r="AG62" s="460"/>
      <c r="AH62" s="462">
        <v>0</v>
      </c>
      <c r="AI62" s="459"/>
      <c r="AJ62" s="460"/>
      <c r="AK62" s="462">
        <v>0</v>
      </c>
      <c r="AL62" s="459"/>
      <c r="AM62" s="460"/>
      <c r="AN62" s="462">
        <v>0</v>
      </c>
      <c r="AO62" s="459"/>
      <c r="AP62" s="460"/>
      <c r="AQ62" s="462">
        <v>0</v>
      </c>
      <c r="AR62" s="459"/>
      <c r="AS62" s="460"/>
      <c r="AT62" s="462">
        <v>0</v>
      </c>
      <c r="AU62" s="459"/>
      <c r="AV62" s="460"/>
      <c r="AW62" s="464">
        <f t="shared" si="31"/>
        <v>0</v>
      </c>
      <c r="AX62" s="452"/>
      <c r="AY62" s="452"/>
    </row>
    <row r="63" spans="1:51" s="14" customFormat="1">
      <c r="A63" s="133">
        <v>53</v>
      </c>
      <c r="C63" s="452"/>
      <c r="E63" s="452"/>
      <c r="F63" s="452"/>
      <c r="G63" s="452"/>
      <c r="H63" s="452"/>
      <c r="I63" s="452"/>
      <c r="J63" s="458">
        <f>SUM(J55:J62)</f>
        <v>50465071.159999996</v>
      </c>
      <c r="K63" s="459"/>
      <c r="L63" s="459"/>
      <c r="M63" s="465">
        <f>SUM(M55:M62)</f>
        <v>50245092.949999996</v>
      </c>
      <c r="N63" s="459"/>
      <c r="O63" s="459"/>
      <c r="P63" s="459">
        <f>SUM(P55:P62)</f>
        <v>50047281.82</v>
      </c>
      <c r="Q63" s="459"/>
      <c r="R63" s="459"/>
      <c r="S63" s="459">
        <f>SUM(S55:S62)</f>
        <v>49893721.799999997</v>
      </c>
      <c r="T63" s="459"/>
      <c r="U63" s="459"/>
      <c r="V63" s="459">
        <f>SUM(V55:V62)</f>
        <v>49699999.030000001</v>
      </c>
      <c r="W63" s="459"/>
      <c r="X63" s="459"/>
      <c r="Y63" s="459">
        <f>SUM(Y55:Y62)</f>
        <v>49495263.790000007</v>
      </c>
      <c r="Z63" s="459"/>
      <c r="AA63" s="459"/>
      <c r="AB63" s="459">
        <f>SUM(AB55:AB62)</f>
        <v>49290014.890000001</v>
      </c>
      <c r="AC63" s="459"/>
      <c r="AD63" s="459"/>
      <c r="AE63" s="459">
        <f>SUM(AE55:AE62)</f>
        <v>49086084.770000003</v>
      </c>
      <c r="AF63" s="459"/>
      <c r="AG63" s="459"/>
      <c r="AH63" s="459">
        <f>SUM(AH55:AH62)</f>
        <v>48949495.460000001</v>
      </c>
      <c r="AI63" s="459"/>
      <c r="AJ63" s="459"/>
      <c r="AK63" s="459">
        <f>SUM(AK55:AK62)</f>
        <v>48771721.369999997</v>
      </c>
      <c r="AL63" s="459"/>
      <c r="AM63" s="459"/>
      <c r="AN63" s="459">
        <f>SUM(AN55:AN62)</f>
        <v>48577433.059999995</v>
      </c>
      <c r="AO63" s="459"/>
      <c r="AP63" s="459"/>
      <c r="AQ63" s="459">
        <f>SUM(AQ55:AQ62)</f>
        <v>47447225.32</v>
      </c>
      <c r="AR63" s="459"/>
      <c r="AS63" s="459"/>
      <c r="AT63" s="459">
        <f>SUM(AT55:AT62)</f>
        <v>48106078.740000002</v>
      </c>
      <c r="AU63" s="459"/>
      <c r="AV63" s="459"/>
      <c r="AW63" s="461">
        <f>SUM(AW55:AW62)</f>
        <v>49232409.100833334</v>
      </c>
      <c r="AX63" s="452"/>
      <c r="AY63" s="452"/>
    </row>
    <row r="64" spans="1:51" s="14" customFormat="1">
      <c r="A64" s="133">
        <v>54</v>
      </c>
      <c r="C64" s="452"/>
      <c r="E64" s="452"/>
      <c r="F64" s="452"/>
      <c r="G64" s="452"/>
      <c r="H64" s="452"/>
      <c r="I64" s="452"/>
      <c r="J64" s="458"/>
      <c r="K64" s="459"/>
      <c r="L64" s="460"/>
      <c r="M64" s="459"/>
      <c r="N64" s="459"/>
      <c r="O64" s="460"/>
      <c r="P64" s="459"/>
      <c r="Q64" s="459"/>
      <c r="R64" s="460"/>
      <c r="S64" s="459"/>
      <c r="T64" s="459"/>
      <c r="U64" s="460"/>
      <c r="V64" s="459"/>
      <c r="W64" s="459"/>
      <c r="X64" s="460"/>
      <c r="Y64" s="459"/>
      <c r="Z64" s="459"/>
      <c r="AA64" s="460"/>
      <c r="AB64" s="459"/>
      <c r="AC64" s="459"/>
      <c r="AD64" s="460"/>
      <c r="AE64" s="459"/>
      <c r="AF64" s="459"/>
      <c r="AG64" s="460"/>
      <c r="AH64" s="459"/>
      <c r="AI64" s="459"/>
      <c r="AJ64" s="460"/>
      <c r="AK64" s="459"/>
      <c r="AL64" s="459"/>
      <c r="AM64" s="460"/>
      <c r="AN64" s="459"/>
      <c r="AO64" s="459"/>
      <c r="AP64" s="460"/>
      <c r="AQ64" s="459"/>
      <c r="AR64" s="459"/>
      <c r="AS64" s="460"/>
      <c r="AT64" s="459"/>
      <c r="AU64" s="459"/>
      <c r="AV64" s="460"/>
      <c r="AW64" s="461"/>
      <c r="AX64" s="452"/>
      <c r="AY64" s="452"/>
    </row>
    <row r="65" spans="1:51" s="14" customFormat="1">
      <c r="A65" s="133">
        <v>55</v>
      </c>
      <c r="B65" s="14" t="s">
        <v>1364</v>
      </c>
      <c r="C65" s="452" t="s">
        <v>741</v>
      </c>
      <c r="E65" s="452"/>
      <c r="F65" s="452" t="s">
        <v>629</v>
      </c>
      <c r="G65" s="452" t="s">
        <v>985</v>
      </c>
      <c r="H65" s="452"/>
      <c r="I65" s="459"/>
      <c r="J65" s="458">
        <v>167522.1</v>
      </c>
      <c r="K65" s="459"/>
      <c r="L65" s="460"/>
      <c r="M65" s="459">
        <v>165691.44</v>
      </c>
      <c r="N65" s="459"/>
      <c r="O65" s="460"/>
      <c r="P65" s="459">
        <v>163860.78</v>
      </c>
      <c r="Q65" s="459"/>
      <c r="R65" s="460"/>
      <c r="S65" s="459">
        <v>162030.10999999999</v>
      </c>
      <c r="T65" s="459"/>
      <c r="U65" s="460"/>
      <c r="V65" s="459">
        <v>160199.45000000001</v>
      </c>
      <c r="W65" s="459"/>
      <c r="X65" s="460"/>
      <c r="Y65" s="459">
        <v>158368.76999999999</v>
      </c>
      <c r="Z65" s="459"/>
      <c r="AA65" s="460"/>
      <c r="AB65" s="459">
        <v>156538.10999999999</v>
      </c>
      <c r="AC65" s="459"/>
      <c r="AD65" s="460"/>
      <c r="AE65" s="459">
        <v>154707.46</v>
      </c>
      <c r="AF65" s="459"/>
      <c r="AG65" s="460"/>
      <c r="AH65" s="459">
        <v>152876.79</v>
      </c>
      <c r="AI65" s="459"/>
      <c r="AJ65" s="460"/>
      <c r="AK65" s="459">
        <v>151046.13</v>
      </c>
      <c r="AL65" s="459"/>
      <c r="AM65" s="460"/>
      <c r="AN65" s="459">
        <v>149215.47</v>
      </c>
      <c r="AO65" s="459"/>
      <c r="AP65" s="460"/>
      <c r="AQ65" s="459">
        <v>147384.79999999999</v>
      </c>
      <c r="AR65" s="459"/>
      <c r="AS65" s="460"/>
      <c r="AT65" s="459">
        <v>145554.14000000001</v>
      </c>
      <c r="AU65" s="459"/>
      <c r="AV65" s="460"/>
      <c r="AW65" s="461">
        <f t="shared" si="31"/>
        <v>156538.11916666667</v>
      </c>
      <c r="AX65" s="452"/>
      <c r="AY65" s="452"/>
    </row>
    <row r="66" spans="1:51" s="14" customFormat="1">
      <c r="A66" s="133">
        <v>56</v>
      </c>
      <c r="B66" s="14" t="s">
        <v>1365</v>
      </c>
      <c r="C66" s="452" t="s">
        <v>741</v>
      </c>
      <c r="E66" s="452"/>
      <c r="F66" s="452" t="s">
        <v>629</v>
      </c>
      <c r="G66" s="452" t="s">
        <v>986</v>
      </c>
      <c r="H66" s="452"/>
      <c r="I66" s="459"/>
      <c r="J66" s="458">
        <v>-94506.66</v>
      </c>
      <c r="K66" s="459"/>
      <c r="L66" s="460"/>
      <c r="M66" s="459">
        <v>-92537.75</v>
      </c>
      <c r="N66" s="459"/>
      <c r="O66" s="460"/>
      <c r="P66" s="459">
        <v>-90568.86</v>
      </c>
      <c r="Q66" s="459"/>
      <c r="R66" s="460"/>
      <c r="S66" s="459">
        <v>-88599.98</v>
      </c>
      <c r="T66" s="459"/>
      <c r="U66" s="460"/>
      <c r="V66" s="459">
        <v>-86631.06</v>
      </c>
      <c r="W66" s="459"/>
      <c r="X66" s="460"/>
      <c r="Y66" s="459">
        <v>-84662.19</v>
      </c>
      <c r="Z66" s="459"/>
      <c r="AA66" s="460"/>
      <c r="AB66" s="459">
        <v>-82693.31</v>
      </c>
      <c r="AC66" s="459"/>
      <c r="AD66" s="460"/>
      <c r="AE66" s="459">
        <v>-80724.41</v>
      </c>
      <c r="AF66" s="459"/>
      <c r="AG66" s="460"/>
      <c r="AH66" s="459">
        <v>-78755.520000000004</v>
      </c>
      <c r="AI66" s="459"/>
      <c r="AJ66" s="460"/>
      <c r="AK66" s="459">
        <v>-76786.63</v>
      </c>
      <c r="AL66" s="459"/>
      <c r="AM66" s="460"/>
      <c r="AN66" s="459">
        <v>-74817.77</v>
      </c>
      <c r="AO66" s="459"/>
      <c r="AP66" s="460"/>
      <c r="AQ66" s="459">
        <v>-72848.850000000006</v>
      </c>
      <c r="AR66" s="459"/>
      <c r="AS66" s="460"/>
      <c r="AT66" s="459">
        <v>-70879.97</v>
      </c>
      <c r="AU66" s="459"/>
      <c r="AV66" s="460"/>
      <c r="AW66" s="461">
        <f t="shared" si="31"/>
        <v>-82693.303750000006</v>
      </c>
      <c r="AX66" s="452"/>
      <c r="AY66" s="452"/>
    </row>
    <row r="67" spans="1:51" s="14" customFormat="1">
      <c r="A67" s="133">
        <v>58</v>
      </c>
      <c r="B67" s="14" t="s">
        <v>1366</v>
      </c>
      <c r="C67" s="452" t="s">
        <v>741</v>
      </c>
      <c r="E67" s="452"/>
      <c r="F67" s="452" t="s">
        <v>629</v>
      </c>
      <c r="G67" s="452" t="s">
        <v>987</v>
      </c>
      <c r="H67" s="452"/>
      <c r="I67" s="459"/>
      <c r="J67" s="458">
        <v>-3065780.91</v>
      </c>
      <c r="K67" s="459"/>
      <c r="L67" s="460"/>
      <c r="M67" s="459">
        <v>-3181548.37</v>
      </c>
      <c r="N67" s="459"/>
      <c r="O67" s="460"/>
      <c r="P67" s="459">
        <v>-3564694.16</v>
      </c>
      <c r="Q67" s="459"/>
      <c r="R67" s="460"/>
      <c r="S67" s="459">
        <v>-3952969.04</v>
      </c>
      <c r="T67" s="459"/>
      <c r="U67" s="460"/>
      <c r="V67" s="459">
        <v>-3937409.17</v>
      </c>
      <c r="W67" s="459"/>
      <c r="X67" s="460"/>
      <c r="Y67" s="459">
        <v>-3324360.74</v>
      </c>
      <c r="Z67" s="459"/>
      <c r="AA67" s="460"/>
      <c r="AB67" s="459">
        <v>-3364355.18</v>
      </c>
      <c r="AC67" s="459"/>
      <c r="AD67" s="460"/>
      <c r="AE67" s="459">
        <v>-3430173.01</v>
      </c>
      <c r="AF67" s="459"/>
      <c r="AG67" s="460"/>
      <c r="AH67" s="459">
        <v>-3503736.18</v>
      </c>
      <c r="AI67" s="459"/>
      <c r="AJ67" s="460"/>
      <c r="AK67" s="459">
        <v>-3380958.09</v>
      </c>
      <c r="AL67" s="459"/>
      <c r="AM67" s="460"/>
      <c r="AN67" s="459">
        <v>-3390779.09</v>
      </c>
      <c r="AO67" s="459"/>
      <c r="AP67" s="460"/>
      <c r="AQ67" s="459">
        <v>-3320611.22</v>
      </c>
      <c r="AR67" s="459"/>
      <c r="AS67" s="460"/>
      <c r="AT67" s="459">
        <v>-3272468.91</v>
      </c>
      <c r="AU67" s="459"/>
      <c r="AV67" s="460"/>
      <c r="AW67" s="461">
        <f t="shared" si="31"/>
        <v>-3460059.9299999997</v>
      </c>
      <c r="AX67" s="452"/>
      <c r="AY67" s="452"/>
    </row>
    <row r="68" spans="1:51" s="14" customFormat="1">
      <c r="A68" s="133">
        <v>59</v>
      </c>
      <c r="B68" s="14" t="s">
        <v>1367</v>
      </c>
      <c r="C68" s="452" t="s">
        <v>741</v>
      </c>
      <c r="E68" s="452"/>
      <c r="F68" s="452" t="s">
        <v>629</v>
      </c>
      <c r="G68" s="452" t="s">
        <v>187</v>
      </c>
      <c r="H68" s="452"/>
      <c r="I68" s="459"/>
      <c r="J68" s="458">
        <v>0</v>
      </c>
      <c r="K68" s="459"/>
      <c r="L68" s="460"/>
      <c r="M68" s="459">
        <v>0</v>
      </c>
      <c r="N68" s="459"/>
      <c r="O68" s="460"/>
      <c r="P68" s="459">
        <v>0</v>
      </c>
      <c r="Q68" s="459"/>
      <c r="R68" s="460"/>
      <c r="S68" s="459">
        <v>0</v>
      </c>
      <c r="T68" s="459"/>
      <c r="U68" s="460"/>
      <c r="V68" s="459">
        <v>0</v>
      </c>
      <c r="W68" s="459"/>
      <c r="X68" s="460"/>
      <c r="Y68" s="459">
        <v>0</v>
      </c>
      <c r="Z68" s="459"/>
      <c r="AA68" s="460"/>
      <c r="AB68" s="459">
        <v>0</v>
      </c>
      <c r="AC68" s="459"/>
      <c r="AD68" s="460"/>
      <c r="AE68" s="459">
        <v>0</v>
      </c>
      <c r="AF68" s="459"/>
      <c r="AG68" s="460"/>
      <c r="AH68" s="459">
        <v>0</v>
      </c>
      <c r="AI68" s="459"/>
      <c r="AJ68" s="460"/>
      <c r="AK68" s="459">
        <v>0</v>
      </c>
      <c r="AL68" s="459"/>
      <c r="AM68" s="460"/>
      <c r="AN68" s="459">
        <v>0</v>
      </c>
      <c r="AO68" s="459"/>
      <c r="AP68" s="460"/>
      <c r="AQ68" s="459">
        <v>0</v>
      </c>
      <c r="AR68" s="459"/>
      <c r="AS68" s="460"/>
      <c r="AT68" s="459">
        <v>0</v>
      </c>
      <c r="AU68" s="459"/>
      <c r="AV68" s="460"/>
      <c r="AW68" s="461">
        <f t="shared" si="31"/>
        <v>0</v>
      </c>
      <c r="AX68" s="452"/>
      <c r="AY68" s="452"/>
    </row>
    <row r="69" spans="1:51" s="14" customFormat="1">
      <c r="A69" s="133">
        <v>60</v>
      </c>
      <c r="B69" s="14" t="s">
        <v>1368</v>
      </c>
      <c r="C69" s="452" t="s">
        <v>741</v>
      </c>
      <c r="E69" s="452"/>
      <c r="F69" s="452" t="s">
        <v>629</v>
      </c>
      <c r="G69" s="452" t="s">
        <v>988</v>
      </c>
      <c r="H69" s="452"/>
      <c r="I69" s="459"/>
      <c r="J69" s="458">
        <v>1913970.3</v>
      </c>
      <c r="K69" s="459"/>
      <c r="L69" s="460"/>
      <c r="M69" s="459">
        <v>1893054.62</v>
      </c>
      <c r="N69" s="459"/>
      <c r="O69" s="459"/>
      <c r="P69" s="458">
        <v>1872138.94</v>
      </c>
      <c r="Q69" s="459"/>
      <c r="R69" s="460"/>
      <c r="S69" s="459">
        <v>1851223.29</v>
      </c>
      <c r="T69" s="459"/>
      <c r="U69" s="460"/>
      <c r="V69" s="459">
        <v>1830307.64</v>
      </c>
      <c r="W69" s="459"/>
      <c r="X69" s="460"/>
      <c r="Y69" s="459">
        <v>1809391.99</v>
      </c>
      <c r="Z69" s="459"/>
      <c r="AA69" s="460"/>
      <c r="AB69" s="459">
        <v>1788476.31</v>
      </c>
      <c r="AC69" s="459"/>
      <c r="AD69" s="460"/>
      <c r="AE69" s="459">
        <v>1767560.66</v>
      </c>
      <c r="AF69" s="459"/>
      <c r="AG69" s="460"/>
      <c r="AH69" s="459">
        <v>1746645</v>
      </c>
      <c r="AI69" s="459"/>
      <c r="AJ69" s="460"/>
      <c r="AK69" s="459">
        <v>1725729.32</v>
      </c>
      <c r="AL69" s="459"/>
      <c r="AM69" s="460"/>
      <c r="AN69" s="459">
        <v>1704813.64</v>
      </c>
      <c r="AO69" s="459"/>
      <c r="AP69" s="460"/>
      <c r="AQ69" s="459">
        <v>1683897.97</v>
      </c>
      <c r="AR69" s="459"/>
      <c r="AS69" s="459"/>
      <c r="AT69" s="458">
        <v>1662982.3</v>
      </c>
      <c r="AU69" s="459"/>
      <c r="AV69" s="460"/>
      <c r="AW69" s="461">
        <f t="shared" si="31"/>
        <v>1788476.3066666666</v>
      </c>
      <c r="AX69" s="452"/>
      <c r="AY69" s="452"/>
    </row>
    <row r="70" spans="1:51" s="14" customFormat="1">
      <c r="A70" s="133">
        <v>61</v>
      </c>
      <c r="B70" s="14" t="s">
        <v>1369</v>
      </c>
      <c r="C70" s="452" t="s">
        <v>741</v>
      </c>
      <c r="E70" s="452"/>
      <c r="F70" s="452" t="s">
        <v>629</v>
      </c>
      <c r="G70" s="452" t="s">
        <v>989</v>
      </c>
      <c r="H70" s="452"/>
      <c r="I70" s="459"/>
      <c r="J70" s="458">
        <v>7294680.6500000004</v>
      </c>
      <c r="K70" s="459"/>
      <c r="L70" s="460"/>
      <c r="M70" s="459">
        <v>7214029.0300000003</v>
      </c>
      <c r="N70" s="459"/>
      <c r="O70" s="459"/>
      <c r="P70" s="458">
        <v>7133377.3700000001</v>
      </c>
      <c r="Q70" s="459"/>
      <c r="R70" s="460"/>
      <c r="S70" s="459">
        <v>7052725.7300000004</v>
      </c>
      <c r="T70" s="459"/>
      <c r="U70" s="460"/>
      <c r="V70" s="459">
        <v>6972074.0999999996</v>
      </c>
      <c r="W70" s="459"/>
      <c r="X70" s="460"/>
      <c r="Y70" s="459">
        <v>6891422.5099999998</v>
      </c>
      <c r="Z70" s="459"/>
      <c r="AA70" s="460"/>
      <c r="AB70" s="459">
        <v>6810770.9199999999</v>
      </c>
      <c r="AC70" s="459"/>
      <c r="AD70" s="460"/>
      <c r="AE70" s="459">
        <v>6730119.3099999996</v>
      </c>
      <c r="AF70" s="459"/>
      <c r="AG70" s="460"/>
      <c r="AH70" s="459">
        <v>6649467.6600000001</v>
      </c>
      <c r="AI70" s="459"/>
      <c r="AJ70" s="460"/>
      <c r="AK70" s="459">
        <v>6568816.04</v>
      </c>
      <c r="AL70" s="459"/>
      <c r="AM70" s="460"/>
      <c r="AN70" s="459">
        <v>6488164.3399999999</v>
      </c>
      <c r="AO70" s="459"/>
      <c r="AP70" s="460"/>
      <c r="AQ70" s="459">
        <v>6407512.7000000002</v>
      </c>
      <c r="AR70" s="459"/>
      <c r="AS70" s="459"/>
      <c r="AT70" s="458">
        <v>6326861.0300000003</v>
      </c>
      <c r="AU70" s="459"/>
      <c r="AV70" s="460"/>
      <c r="AW70" s="461">
        <f t="shared" si="31"/>
        <v>6810770.8791666673</v>
      </c>
      <c r="AX70" s="452"/>
      <c r="AY70" s="452"/>
    </row>
    <row r="71" spans="1:51" s="14" customFormat="1">
      <c r="A71" s="133">
        <v>63</v>
      </c>
      <c r="B71" s="14" t="s">
        <v>1370</v>
      </c>
      <c r="C71" s="452" t="s">
        <v>741</v>
      </c>
      <c r="E71" s="452"/>
      <c r="F71" s="452" t="s">
        <v>629</v>
      </c>
      <c r="G71" s="452" t="s">
        <v>990</v>
      </c>
      <c r="H71" s="452"/>
      <c r="I71" s="459"/>
      <c r="J71" s="458">
        <v>-40255923.640000001</v>
      </c>
      <c r="K71" s="459"/>
      <c r="L71" s="460"/>
      <c r="M71" s="459">
        <v>-41475441.259999998</v>
      </c>
      <c r="N71" s="459"/>
      <c r="O71" s="460"/>
      <c r="P71" s="459">
        <v>-45749804.460000001</v>
      </c>
      <c r="Q71" s="459"/>
      <c r="R71" s="460"/>
      <c r="S71" s="459">
        <v>-50082768.520000003</v>
      </c>
      <c r="T71" s="459"/>
      <c r="U71" s="460"/>
      <c r="V71" s="459">
        <v>-49801847.409999996</v>
      </c>
      <c r="W71" s="459"/>
      <c r="X71" s="460"/>
      <c r="Y71" s="459">
        <v>-42694512.810000002</v>
      </c>
      <c r="Z71" s="459"/>
      <c r="AA71" s="460"/>
      <c r="AB71" s="459">
        <v>-43048310.259999998</v>
      </c>
      <c r="AC71" s="459"/>
      <c r="AD71" s="460"/>
      <c r="AE71" s="459">
        <v>-43697144.140000001</v>
      </c>
      <c r="AF71" s="459"/>
      <c r="AG71" s="460"/>
      <c r="AH71" s="459">
        <v>-44434469.880000003</v>
      </c>
      <c r="AI71" s="459"/>
      <c r="AJ71" s="460"/>
      <c r="AK71" s="459">
        <v>-42928561.740000002</v>
      </c>
      <c r="AL71" s="459"/>
      <c r="AM71" s="460"/>
      <c r="AN71" s="459">
        <v>-42937621.810000002</v>
      </c>
      <c r="AO71" s="459"/>
      <c r="AP71" s="460"/>
      <c r="AQ71" s="459">
        <v>-42032794.729999997</v>
      </c>
      <c r="AR71" s="459"/>
      <c r="AS71" s="459"/>
      <c r="AT71" s="458">
        <v>-41379613.530000001</v>
      </c>
      <c r="AU71" s="459"/>
      <c r="AV71" s="460"/>
      <c r="AW71" s="461">
        <f t="shared" si="31"/>
        <v>-44141753.800416671</v>
      </c>
      <c r="AX71" s="452"/>
      <c r="AY71" s="452"/>
    </row>
    <row r="72" spans="1:51" s="14" customFormat="1" ht="16.2" thickBot="1">
      <c r="A72" s="133">
        <v>64</v>
      </c>
      <c r="B72" s="14" t="s">
        <v>1371</v>
      </c>
      <c r="C72" s="452" t="s">
        <v>741</v>
      </c>
      <c r="E72" s="452"/>
      <c r="F72" s="452" t="s">
        <v>629</v>
      </c>
      <c r="G72" s="452" t="s">
        <v>1137</v>
      </c>
      <c r="H72" s="452"/>
      <c r="I72" s="459"/>
      <c r="J72" s="458">
        <v>0</v>
      </c>
      <c r="K72" s="459"/>
      <c r="L72" s="460"/>
      <c r="M72" s="458">
        <v>0</v>
      </c>
      <c r="N72" s="459"/>
      <c r="O72" s="460"/>
      <c r="P72" s="458">
        <v>0</v>
      </c>
      <c r="Q72" s="459"/>
      <c r="R72" s="460"/>
      <c r="S72" s="458">
        <v>0</v>
      </c>
      <c r="T72" s="459"/>
      <c r="U72" s="460"/>
      <c r="V72" s="458">
        <v>0</v>
      </c>
      <c r="W72" s="459"/>
      <c r="X72" s="460"/>
      <c r="Y72" s="458">
        <v>0</v>
      </c>
      <c r="Z72" s="459"/>
      <c r="AA72" s="460"/>
      <c r="AB72" s="458">
        <v>0</v>
      </c>
      <c r="AC72" s="459"/>
      <c r="AD72" s="460"/>
      <c r="AE72" s="458">
        <v>0</v>
      </c>
      <c r="AF72" s="459"/>
      <c r="AG72" s="460"/>
      <c r="AH72" s="458">
        <v>0</v>
      </c>
      <c r="AI72" s="459"/>
      <c r="AJ72" s="460"/>
      <c r="AK72" s="458">
        <v>0</v>
      </c>
      <c r="AL72" s="459"/>
      <c r="AM72" s="460"/>
      <c r="AN72" s="458">
        <v>0</v>
      </c>
      <c r="AO72" s="459"/>
      <c r="AP72" s="460"/>
      <c r="AQ72" s="458">
        <v>0</v>
      </c>
      <c r="AR72" s="459"/>
      <c r="AS72" s="460"/>
      <c r="AT72" s="458">
        <v>0</v>
      </c>
      <c r="AU72" s="459"/>
      <c r="AV72" s="460"/>
      <c r="AW72" s="461">
        <f t="shared" si="31"/>
        <v>0</v>
      </c>
      <c r="AX72" s="452"/>
      <c r="AY72" s="452"/>
    </row>
    <row r="73" spans="1:51" s="14" customFormat="1">
      <c r="A73" s="133">
        <v>65</v>
      </c>
      <c r="C73" s="452"/>
      <c r="E73" s="452"/>
      <c r="F73" s="452"/>
      <c r="G73" s="452"/>
      <c r="H73" s="452"/>
      <c r="I73" s="452"/>
      <c r="J73" s="466">
        <f>SUM(J65:J72)</f>
        <v>-34040038.159999996</v>
      </c>
      <c r="K73" s="459"/>
      <c r="L73" s="459"/>
      <c r="M73" s="466">
        <f>SUM(M65:M72)</f>
        <v>-35476752.289999999</v>
      </c>
      <c r="N73" s="459"/>
      <c r="O73" s="459"/>
      <c r="P73" s="466">
        <f>SUM(P65:P72)</f>
        <v>-40235690.390000001</v>
      </c>
      <c r="Q73" s="459"/>
      <c r="R73" s="459"/>
      <c r="S73" s="466">
        <f>SUM(S65:S72)</f>
        <v>-45058358.410000004</v>
      </c>
      <c r="T73" s="459"/>
      <c r="U73" s="459"/>
      <c r="V73" s="466">
        <f>SUM(V65:V72)</f>
        <v>-44863306.449999996</v>
      </c>
      <c r="W73" s="459"/>
      <c r="X73" s="459"/>
      <c r="Y73" s="466">
        <f>SUM(Y65:Y72)</f>
        <v>-37244352.469999999</v>
      </c>
      <c r="Z73" s="459"/>
      <c r="AA73" s="459"/>
      <c r="AB73" s="466">
        <f>SUM(AB65:AB72)</f>
        <v>-37739573.409999996</v>
      </c>
      <c r="AC73" s="459"/>
      <c r="AD73" s="459"/>
      <c r="AE73" s="466">
        <f>SUM(AE65:AE72)</f>
        <v>-38555654.130000003</v>
      </c>
      <c r="AF73" s="459"/>
      <c r="AG73" s="459"/>
      <c r="AH73" s="466">
        <v>-2162554.64</v>
      </c>
      <c r="AI73" s="459"/>
      <c r="AJ73" s="459"/>
      <c r="AK73" s="466">
        <v>-2157345.3199999998</v>
      </c>
      <c r="AL73" s="459"/>
      <c r="AM73" s="459"/>
      <c r="AN73" s="466">
        <v>-2157203.5499999998</v>
      </c>
      <c r="AO73" s="459"/>
      <c r="AP73" s="459"/>
      <c r="AQ73" s="466">
        <v>-2157061.7999999998</v>
      </c>
      <c r="AR73" s="459"/>
      <c r="AS73" s="459"/>
      <c r="AT73" s="466">
        <f>SUM(AT65:AT72)</f>
        <v>-36587564.939999998</v>
      </c>
      <c r="AU73" s="459"/>
      <c r="AV73" s="459"/>
      <c r="AW73" s="467">
        <f>SUM(AW65:AW72)</f>
        <v>-38928721.729166672</v>
      </c>
      <c r="AX73" s="452"/>
      <c r="AY73" s="452"/>
    </row>
    <row r="74" spans="1:51" s="14" customFormat="1">
      <c r="A74" s="133">
        <v>66</v>
      </c>
      <c r="B74" s="452"/>
      <c r="C74" s="452"/>
      <c r="D74" s="452"/>
      <c r="E74" s="452"/>
      <c r="F74" s="452"/>
      <c r="G74" s="452"/>
      <c r="H74" s="452"/>
      <c r="I74" s="452"/>
      <c r="J74" s="468"/>
      <c r="K74" s="459"/>
      <c r="L74" s="459"/>
      <c r="M74" s="468"/>
      <c r="N74" s="459"/>
      <c r="O74" s="459"/>
      <c r="P74" s="468"/>
      <c r="Q74" s="459"/>
      <c r="R74" s="459"/>
      <c r="S74" s="468"/>
      <c r="T74" s="459"/>
      <c r="U74" s="459"/>
      <c r="V74" s="468"/>
      <c r="W74" s="459"/>
      <c r="X74" s="459"/>
      <c r="Y74" s="468"/>
      <c r="Z74" s="459"/>
      <c r="AA74" s="459"/>
      <c r="AB74" s="468"/>
      <c r="AC74" s="459"/>
      <c r="AD74" s="459"/>
      <c r="AE74" s="468"/>
      <c r="AF74" s="459"/>
      <c r="AG74" s="459"/>
      <c r="AH74" s="468"/>
      <c r="AI74" s="459"/>
      <c r="AJ74" s="459"/>
      <c r="AK74" s="468"/>
      <c r="AL74" s="459"/>
      <c r="AM74" s="459"/>
      <c r="AN74" s="468"/>
      <c r="AO74" s="459"/>
      <c r="AP74" s="459"/>
      <c r="AQ74" s="468"/>
      <c r="AR74" s="459"/>
      <c r="AS74" s="459"/>
      <c r="AT74" s="468"/>
      <c r="AU74" s="459"/>
      <c r="AV74" s="459"/>
      <c r="AW74" s="468"/>
      <c r="AX74" s="452"/>
      <c r="AY74" s="452"/>
    </row>
    <row r="75" spans="1:51" s="14" customFormat="1">
      <c r="A75" s="133">
        <v>67</v>
      </c>
      <c r="B75" s="452"/>
      <c r="C75" s="452"/>
      <c r="D75" s="452"/>
      <c r="E75" s="452"/>
      <c r="F75" s="452"/>
      <c r="G75" s="452"/>
      <c r="H75" s="452"/>
      <c r="I75" s="452"/>
      <c r="J75" s="469">
        <f>+J43+J53+J63+J73</f>
        <v>-72826780.520000026</v>
      </c>
      <c r="K75" s="470"/>
      <c r="L75" s="470"/>
      <c r="M75" s="469">
        <f>+M43+M53+M63+M73</f>
        <v>-74383811.920000002</v>
      </c>
      <c r="N75" s="470"/>
      <c r="O75" s="470"/>
      <c r="P75" s="469">
        <f>+P43+P53+P63+P73</f>
        <v>-79533267.270000011</v>
      </c>
      <c r="Q75" s="470"/>
      <c r="R75" s="470"/>
      <c r="S75" s="469">
        <f>+S43+S53+S63+S73</f>
        <v>-84468074.310000002</v>
      </c>
      <c r="T75" s="470"/>
      <c r="U75" s="470"/>
      <c r="V75" s="469">
        <f>+V43+V53+V63+V73</f>
        <v>-84649568.929999977</v>
      </c>
      <c r="W75" s="470"/>
      <c r="X75" s="470"/>
      <c r="Y75" s="469">
        <f>+Y43+Y53+Y63+Y73</f>
        <v>-84382001.220000014</v>
      </c>
      <c r="Z75" s="470"/>
      <c r="AA75" s="470"/>
      <c r="AB75" s="469">
        <f>+AB43+AB53+AB63+AB73</f>
        <v>-85115980.460000023</v>
      </c>
      <c r="AC75" s="470"/>
      <c r="AD75" s="470"/>
      <c r="AE75" s="469">
        <f>+AE43+AE53+AE63+AE73</f>
        <v>-86058775.50000003</v>
      </c>
      <c r="AF75" s="470"/>
      <c r="AG75" s="470"/>
      <c r="AH75" s="469">
        <f>+AH43+AH53+AH63+AH73</f>
        <v>-49732165.330000006</v>
      </c>
      <c r="AI75" s="470"/>
      <c r="AJ75" s="470"/>
      <c r="AK75" s="469">
        <f>+AK43+AK53+AK63+AK73</f>
        <v>-49874128.260000005</v>
      </c>
      <c r="AL75" s="470"/>
      <c r="AM75" s="470"/>
      <c r="AN75" s="469">
        <f>+AN43+AN53+AN63+AN73</f>
        <v>-50051084.750000022</v>
      </c>
      <c r="AO75" s="470"/>
      <c r="AP75" s="470"/>
      <c r="AQ75" s="469">
        <f>+AQ43+AQ53+AQ63+AQ73</f>
        <v>-52405450.120000012</v>
      </c>
      <c r="AR75" s="470"/>
      <c r="AS75" s="470"/>
      <c r="AT75" s="469">
        <f>+AT43+AT53+AT63+AT73</f>
        <v>-87984639.210000008</v>
      </c>
      <c r="AU75" s="470"/>
      <c r="AV75" s="470"/>
      <c r="AW75" s="469">
        <f>+AW43+AW53+AW63+AW73</f>
        <v>-83756918.689583331</v>
      </c>
      <c r="AX75" s="452"/>
      <c r="AY75" s="452"/>
    </row>
    <row r="76" spans="1:51" s="14" customFormat="1" ht="16.2" thickBot="1">
      <c r="A76" s="133">
        <v>68</v>
      </c>
      <c r="B76" s="452"/>
      <c r="C76" s="452"/>
      <c r="D76" s="452"/>
      <c r="E76" s="452"/>
      <c r="F76" s="452"/>
      <c r="G76" s="452"/>
      <c r="H76" s="452"/>
      <c r="I76" s="452"/>
      <c r="J76" s="468"/>
      <c r="K76" s="459"/>
      <c r="L76" s="459"/>
      <c r="M76" s="468"/>
      <c r="N76" s="459"/>
      <c r="O76" s="459"/>
      <c r="P76" s="468"/>
      <c r="Q76" s="459"/>
      <c r="R76" s="459"/>
      <c r="S76" s="468"/>
      <c r="T76" s="459"/>
      <c r="U76" s="459"/>
      <c r="V76" s="468"/>
      <c r="W76" s="459"/>
      <c r="X76" s="459"/>
      <c r="Y76" s="468"/>
      <c r="Z76" s="459"/>
      <c r="AA76" s="459"/>
      <c r="AB76" s="468"/>
      <c r="AC76" s="459"/>
      <c r="AD76" s="459"/>
      <c r="AE76" s="468"/>
      <c r="AF76" s="459"/>
      <c r="AG76" s="459"/>
      <c r="AH76" s="468"/>
      <c r="AI76" s="459"/>
      <c r="AJ76" s="459"/>
      <c r="AK76" s="468"/>
      <c r="AL76" s="459"/>
      <c r="AM76" s="459"/>
      <c r="AN76" s="468"/>
      <c r="AO76" s="459"/>
      <c r="AP76" s="460"/>
      <c r="AQ76" s="460"/>
      <c r="AR76" s="459"/>
      <c r="AS76" s="459"/>
      <c r="AT76" s="468"/>
      <c r="AU76" s="459"/>
      <c r="AV76" s="459"/>
      <c r="AW76" s="468"/>
      <c r="AX76" s="452"/>
      <c r="AY76" s="452"/>
    </row>
    <row r="77" spans="1:51" s="14" customFormat="1">
      <c r="A77" s="133">
        <v>69</v>
      </c>
      <c r="B77" s="1931" t="s">
        <v>1070</v>
      </c>
      <c r="C77" s="1932"/>
      <c r="D77" s="1932"/>
      <c r="E77" s="1933"/>
      <c r="F77" s="452"/>
      <c r="G77" s="452" t="s">
        <v>1374</v>
      </c>
      <c r="H77" s="452"/>
      <c r="I77" s="452"/>
      <c r="J77" s="468">
        <f>+J36+J53+J32+J37+J41+J42</f>
        <v>14974511.890000002</v>
      </c>
      <c r="K77" s="458"/>
      <c r="L77" s="459"/>
      <c r="M77" s="458">
        <f>+M36+M53+M32+M37+M41+M42</f>
        <v>15010304.319999998</v>
      </c>
      <c r="N77" s="459"/>
      <c r="O77" s="459"/>
      <c r="P77" s="468">
        <f t="shared" ref="P77:V77" si="32">+P36+P53+P32+P37+P41+P42</f>
        <v>14753729.689999999</v>
      </c>
      <c r="Q77" s="459"/>
      <c r="R77" s="460"/>
      <c r="S77" s="468">
        <f t="shared" si="32"/>
        <v>14731282.199999999</v>
      </c>
      <c r="T77" s="459"/>
      <c r="U77" s="460"/>
      <c r="V77" s="468">
        <f t="shared" si="32"/>
        <v>14484589.879999999</v>
      </c>
      <c r="W77" s="459"/>
      <c r="X77" s="460"/>
      <c r="Y77" s="468">
        <f>+Y36+Y53+Y32+Y37+Y41+Y42+Y33+Y34</f>
        <v>7274070.3499999996</v>
      </c>
      <c r="Z77" s="459"/>
      <c r="AA77" s="460"/>
      <c r="AB77" s="468">
        <f>+AB36+AB53+AB32+AB37+AB41+AB42+AB33+AB34</f>
        <v>7176692.4299999997</v>
      </c>
      <c r="AC77" s="459"/>
      <c r="AD77" s="460"/>
      <c r="AE77" s="468">
        <f>+AE36+AE53+AE32+AE37+AE41+AE42+AE33+AE34</f>
        <v>7190039.7200000007</v>
      </c>
      <c r="AF77" s="459"/>
      <c r="AG77" s="460"/>
      <c r="AH77" s="468">
        <f>+AH36+AH53+AH32+AH37+AH41+AH42+AH33+AH34</f>
        <v>7196271.21</v>
      </c>
      <c r="AI77" s="468"/>
      <c r="AJ77" s="468"/>
      <c r="AK77" s="468">
        <f>+AK36+AK53+AK32+AK37+AK41+AK42+AK33+AK34</f>
        <v>7163004.5599999987</v>
      </c>
      <c r="AL77" s="458"/>
      <c r="AM77" s="460"/>
      <c r="AN77" s="460">
        <f>+AN36+AN53+AN32+AN37+AN41+AN42+AN33+AN34</f>
        <v>7116326.0999999996</v>
      </c>
      <c r="AO77" s="458"/>
      <c r="AP77" s="460"/>
      <c r="AQ77" s="460">
        <f>+AQ36+AQ53+AQ32+AQ37+AQ41+AQ42+AQ33+AQ34</f>
        <v>6858201.0999999996</v>
      </c>
      <c r="AR77" s="468"/>
      <c r="AS77" s="468"/>
      <c r="AT77" s="468">
        <f>+AT36+AT53+AT32+AT37+AT41+AT42+AT33+AT34</f>
        <v>6628103.3699999992</v>
      </c>
      <c r="AU77" s="458"/>
      <c r="AV77" s="460"/>
      <c r="AW77" s="460">
        <f>+AW36+AW53+AW32+AW37+AW41+AW42+AW33+AW34</f>
        <v>9979651.5991666634</v>
      </c>
      <c r="AX77" s="452"/>
      <c r="AY77" s="452"/>
    </row>
    <row r="78" spans="1:51" s="14" customFormat="1">
      <c r="A78" s="133">
        <v>70</v>
      </c>
      <c r="B78" s="1934"/>
      <c r="C78" s="1935"/>
      <c r="D78" s="1935"/>
      <c r="E78" s="1936"/>
      <c r="F78" s="452"/>
      <c r="G78" s="452" t="s">
        <v>991</v>
      </c>
      <c r="H78" s="452"/>
      <c r="I78" s="452"/>
      <c r="J78" s="468">
        <f>+J26+J63+J39</f>
        <v>-53594338.570000008</v>
      </c>
      <c r="K78" s="458"/>
      <c r="L78" s="459"/>
      <c r="M78" s="458">
        <f>+M26+M63+M39</f>
        <v>-53751213.93</v>
      </c>
      <c r="N78" s="459"/>
      <c r="O78" s="460"/>
      <c r="P78" s="468">
        <f t="shared" ref="P78:V78" si="33">+P26+P63+P39</f>
        <v>-53885922.209999993</v>
      </c>
      <c r="Q78" s="459"/>
      <c r="R78" s="460"/>
      <c r="S78" s="468">
        <f t="shared" si="33"/>
        <v>-53976379.390000001</v>
      </c>
      <c r="T78" s="459"/>
      <c r="U78" s="460"/>
      <c r="V78" s="468">
        <f t="shared" si="33"/>
        <v>-54106999.309999987</v>
      </c>
      <c r="W78" s="459"/>
      <c r="X78" s="460"/>
      <c r="Y78" s="468">
        <f>+Y26+Y63+Y39+Y27+Y28</f>
        <v>-54248631.710000016</v>
      </c>
      <c r="Z78" s="459"/>
      <c r="AA78" s="460"/>
      <c r="AB78" s="468">
        <f>+AB26+AB63+AB39+AB27+AB28</f>
        <v>-54390777.750000022</v>
      </c>
      <c r="AC78" s="459"/>
      <c r="AD78" s="460"/>
      <c r="AE78" s="468">
        <f>+AE26+AE63+AE39+AE27+AE28</f>
        <v>-54531605.020000018</v>
      </c>
      <c r="AF78" s="459"/>
      <c r="AG78" s="460"/>
      <c r="AH78" s="468">
        <f>+AH26+AH63+AH39+AH27+AH28</f>
        <v>-54605091.49000001</v>
      </c>
      <c r="AI78" s="468"/>
      <c r="AJ78" s="468"/>
      <c r="AK78" s="468">
        <f>+AK26+AK63+AK39+AK27+AK28</f>
        <v>-54719762.740000024</v>
      </c>
      <c r="AL78" s="458"/>
      <c r="AM78" s="460"/>
      <c r="AN78" s="460">
        <f>+AN26+AN63+AN39+AN27+AN28</f>
        <v>-54850948.200000025</v>
      </c>
      <c r="AO78" s="458"/>
      <c r="AP78" s="460"/>
      <c r="AQ78" s="460">
        <f>+AQ26+AQ63+AQ39+AQ27+AQ28</f>
        <v>-56948095.980000019</v>
      </c>
      <c r="AR78" s="468"/>
      <c r="AS78" s="468"/>
      <c r="AT78" s="468">
        <f>+AT26+AT63+AT39+AT27+AT28</f>
        <v>-57867449.850000009</v>
      </c>
      <c r="AU78" s="458"/>
      <c r="AV78" s="460"/>
      <c r="AW78" s="460">
        <f>+AW26+AW63+AW39+AW27+AW28</f>
        <v>-54645526.828333333</v>
      </c>
      <c r="AX78" s="452"/>
      <c r="AY78" s="452"/>
    </row>
    <row r="79" spans="1:51" s="14" customFormat="1">
      <c r="A79" s="133">
        <v>71</v>
      </c>
      <c r="B79" s="1934"/>
      <c r="C79" s="1935"/>
      <c r="D79" s="1935"/>
      <c r="E79" s="1936"/>
      <c r="F79" s="452"/>
      <c r="G79" s="452" t="s">
        <v>992</v>
      </c>
      <c r="H79" s="452"/>
      <c r="I79" s="452"/>
      <c r="J79" s="686">
        <f>+J73+J29+J40</f>
        <v>-34206953.839999996</v>
      </c>
      <c r="K79" s="686"/>
      <c r="L79" s="687"/>
      <c r="M79" s="686">
        <f>+M73+M29+M40</f>
        <v>-35642902.309999995</v>
      </c>
      <c r="N79" s="471"/>
      <c r="O79" s="460"/>
      <c r="P79" s="685">
        <f t="shared" ref="P79:V79" si="34">+P73+P29+P40</f>
        <v>-40401074.75</v>
      </c>
      <c r="Q79" s="686"/>
      <c r="R79" s="687"/>
      <c r="S79" s="685">
        <f t="shared" si="34"/>
        <v>-45222977.120000005</v>
      </c>
      <c r="T79" s="459"/>
      <c r="U79" s="687"/>
      <c r="V79" s="685">
        <f t="shared" si="34"/>
        <v>-45027159.499999993</v>
      </c>
      <c r="W79" s="686"/>
      <c r="X79" s="460"/>
      <c r="Y79" s="685">
        <f>+Y73+Y29+Y40+Y31+Y30</f>
        <v>-37407439.859999999</v>
      </c>
      <c r="Z79" s="686"/>
      <c r="AA79" s="460"/>
      <c r="AB79" s="685">
        <f>+AB73+AB29+AB40+AB30+AB31</f>
        <v>-37901895.140000001</v>
      </c>
      <c r="AC79" s="686"/>
      <c r="AD79" s="687"/>
      <c r="AE79" s="685">
        <f>+AE73+AE29+AE40+AE30+AE31</f>
        <v>-38717210.199999996</v>
      </c>
      <c r="AF79" s="686"/>
      <c r="AG79" s="460"/>
      <c r="AH79" s="685">
        <f>+AH73+AH29+AH40+AH30+AH31</f>
        <v>-2323345.0500000003</v>
      </c>
      <c r="AI79" s="685"/>
      <c r="AJ79" s="685"/>
      <c r="AK79" s="685">
        <f>+AK73+AK29+AK40+AK30+AK31</f>
        <v>-2317370.0799999996</v>
      </c>
      <c r="AL79" s="686"/>
      <c r="AM79" s="687"/>
      <c r="AN79" s="687">
        <f>+AN73+AN29+AN40+AN30+AN31</f>
        <v>-2316462.65</v>
      </c>
      <c r="AO79" s="686"/>
      <c r="AP79" s="460"/>
      <c r="AQ79" s="687">
        <f>+AQ73+AQ29+AQ40+AQ30+AQ31</f>
        <v>-2315555.2399999998</v>
      </c>
      <c r="AR79" s="685"/>
      <c r="AS79" s="685"/>
      <c r="AT79" s="685">
        <f>+AT73+AT29+AT40+AT30+AT31</f>
        <v>-36745292.729999997</v>
      </c>
      <c r="AU79" s="686"/>
      <c r="AV79" s="460"/>
      <c r="AW79" s="687">
        <f>+AW73+AW29+AW40+AW31+AW30</f>
        <v>-39091043.460416675</v>
      </c>
      <c r="AX79" s="452"/>
      <c r="AY79" s="452"/>
    </row>
    <row r="80" spans="1:51" s="14" customFormat="1" ht="16.2" thickBot="1">
      <c r="A80" s="133">
        <v>72</v>
      </c>
      <c r="B80" s="1934"/>
      <c r="C80" s="1935"/>
      <c r="D80" s="1935"/>
      <c r="E80" s="1936"/>
      <c r="F80" s="452"/>
      <c r="G80" s="452"/>
      <c r="H80" s="452"/>
      <c r="I80" s="452"/>
      <c r="J80" s="684">
        <f>+J77+J78+J79</f>
        <v>-72826780.520000011</v>
      </c>
      <c r="K80" s="473"/>
      <c r="L80" s="473"/>
      <c r="M80" s="472">
        <f>+M77+M78+M79</f>
        <v>-74383811.919999987</v>
      </c>
      <c r="N80" s="473"/>
      <c r="O80" s="689"/>
      <c r="P80" s="688">
        <f>+P77+P78+P79</f>
        <v>-79533267.269999996</v>
      </c>
      <c r="Q80" s="473"/>
      <c r="R80" s="473"/>
      <c r="S80" s="472">
        <f>+S77+S78+S79</f>
        <v>-84468074.310000002</v>
      </c>
      <c r="T80" s="690"/>
      <c r="U80" s="473"/>
      <c r="V80" s="472">
        <f>+V77+V78+V79</f>
        <v>-84649568.929999977</v>
      </c>
      <c r="W80" s="473"/>
      <c r="X80" s="689"/>
      <c r="Y80" s="472">
        <f>+Y77+Y78+Y79</f>
        <v>-84382001.220000014</v>
      </c>
      <c r="Z80" s="473"/>
      <c r="AA80" s="689"/>
      <c r="AB80" s="472">
        <f>+AB77+AB78+AB79</f>
        <v>-85115980.460000023</v>
      </c>
      <c r="AC80" s="473"/>
      <c r="AD80" s="473"/>
      <c r="AE80" s="472">
        <f>+AE77+AE78+AE79</f>
        <v>-86058775.500000015</v>
      </c>
      <c r="AF80" s="473"/>
      <c r="AG80" s="689"/>
      <c r="AH80" s="472">
        <f>+AH77+AH78+AH79</f>
        <v>-49732165.330000006</v>
      </c>
      <c r="AI80" s="473"/>
      <c r="AJ80" s="473"/>
      <c r="AK80" s="472">
        <f>+AK77+AK78+AK79</f>
        <v>-49874128.26000002</v>
      </c>
      <c r="AL80" s="473"/>
      <c r="AM80" s="473"/>
      <c r="AN80" s="472">
        <f>+AN77+AN78+AN79</f>
        <v>-50051084.750000022</v>
      </c>
      <c r="AO80" s="473"/>
      <c r="AP80" s="689"/>
      <c r="AQ80" s="472">
        <f>+AQ77+AQ78+AQ79</f>
        <v>-52405450.12000002</v>
      </c>
      <c r="AR80" s="473"/>
      <c r="AS80" s="473"/>
      <c r="AT80" s="472">
        <f>+AT77+AT78+AT79</f>
        <v>-87984639.210000008</v>
      </c>
      <c r="AU80" s="473"/>
      <c r="AV80" s="689"/>
      <c r="AW80" s="688">
        <f>+AW78+AW79+AW77</f>
        <v>-83756918.689583346</v>
      </c>
      <c r="AX80" s="452"/>
      <c r="AY80" s="452"/>
    </row>
    <row r="81" spans="2:51">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row>
    <row r="82" spans="2:51">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row>
    <row r="83" spans="2:51">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row>
    <row r="84" spans="2:51">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row>
    <row r="85" spans="2:51">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row>
    <row r="86" spans="2:51">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row>
    <row r="87" spans="2:51">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row>
    <row r="88" spans="2:51">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row>
  </sheetData>
  <mergeCells count="35">
    <mergeCell ref="AP1:AY1"/>
    <mergeCell ref="AP2:AY2"/>
    <mergeCell ref="AP3:AY3"/>
    <mergeCell ref="AP4:AY4"/>
    <mergeCell ref="AP5:AY5"/>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B77:E80"/>
    <mergeCell ref="B16:I16"/>
    <mergeCell ref="B25:I25"/>
    <mergeCell ref="B9:E13"/>
    <mergeCell ref="F9:I9"/>
    <mergeCell ref="F10:I10"/>
    <mergeCell ref="F11:I11"/>
    <mergeCell ref="F12:I12"/>
    <mergeCell ref="F3:J3"/>
    <mergeCell ref="E4:K4"/>
    <mergeCell ref="F5:J5"/>
    <mergeCell ref="F13:I13"/>
    <mergeCell ref="E1:K1"/>
    <mergeCell ref="F2:J2"/>
  </mergeCells>
  <phoneticPr fontId="141"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7" tint="0.79998168889431442"/>
  </sheetPr>
  <dimension ref="B1:R17"/>
  <sheetViews>
    <sheetView view="pageBreakPreview" zoomScale="80" zoomScaleNormal="100" zoomScaleSheetLayoutView="80" workbookViewId="0">
      <selection activeCell="R13" sqref="R13"/>
    </sheetView>
  </sheetViews>
  <sheetFormatPr defaultColWidth="9.109375" defaultRowHeight="15.6"/>
  <cols>
    <col min="1" max="1" width="1.44140625" style="3" customWidth="1"/>
    <col min="2" max="2" width="2.5546875" style="3" customWidth="1"/>
    <col min="3" max="3" width="10.5546875" style="5" bestFit="1" customWidth="1"/>
    <col min="4" max="4" width="43" style="3" bestFit="1" customWidth="1"/>
    <col min="5" max="5" width="4.109375" style="3" customWidth="1"/>
    <col min="6" max="6" width="17.5546875" style="3" bestFit="1" customWidth="1"/>
    <col min="7" max="7" width="6" style="3" customWidth="1"/>
    <col min="8" max="8" width="10.109375" style="3" bestFit="1" customWidth="1"/>
    <col min="9" max="9" width="5.109375" style="3" customWidth="1"/>
    <col min="10" max="10" width="13.6640625" style="3" bestFit="1" customWidth="1"/>
    <col min="11" max="12" width="9.109375" style="3"/>
    <col min="13" max="13" width="9" style="3" bestFit="1" customWidth="1"/>
    <col min="14" max="14" width="16.5546875" style="3" bestFit="1" customWidth="1"/>
    <col min="15" max="17" width="9.109375" style="3"/>
    <col min="18" max="18" width="12.33203125" style="3" bestFit="1" customWidth="1"/>
    <col min="19" max="16384" width="9.109375" style="3"/>
  </cols>
  <sheetData>
    <row r="1" spans="2:18">
      <c r="B1" s="186"/>
      <c r="C1" s="1926" t="s">
        <v>52</v>
      </c>
      <c r="D1" s="1926"/>
      <c r="E1" s="1926"/>
      <c r="F1" s="1926"/>
      <c r="G1" s="1926"/>
      <c r="H1" s="1926"/>
      <c r="I1" s="1926"/>
      <c r="J1" s="1926"/>
      <c r="K1" s="187"/>
      <c r="L1" s="188"/>
      <c r="M1" s="187"/>
    </row>
    <row r="2" spans="2:18">
      <c r="B2" s="186"/>
      <c r="C2" s="1926" t="s">
        <v>1824</v>
      </c>
      <c r="D2" s="1926"/>
      <c r="E2" s="1926"/>
      <c r="F2" s="1926"/>
      <c r="G2" s="1926"/>
      <c r="H2" s="1926"/>
      <c r="I2" s="1926"/>
      <c r="J2" s="1926"/>
      <c r="K2" s="189"/>
      <c r="L2" s="189"/>
      <c r="M2" s="189"/>
    </row>
    <row r="3" spans="2:18">
      <c r="B3" s="186"/>
      <c r="C3" s="1926" t="s">
        <v>1356</v>
      </c>
      <c r="D3" s="1926"/>
      <c r="E3" s="1926"/>
      <c r="F3" s="1926"/>
      <c r="G3" s="1926"/>
      <c r="H3" s="1926"/>
      <c r="I3" s="1926"/>
      <c r="J3" s="1926"/>
      <c r="K3" s="189"/>
      <c r="L3" s="189"/>
      <c r="M3" s="189"/>
    </row>
    <row r="4" spans="2:18">
      <c r="B4" s="186"/>
      <c r="C4" s="1926" t="s">
        <v>709</v>
      </c>
      <c r="D4" s="1926"/>
      <c r="E4" s="1926"/>
      <c r="F4" s="1926"/>
      <c r="G4" s="1926"/>
      <c r="H4" s="1926"/>
      <c r="I4" s="1926"/>
      <c r="J4" s="1926"/>
      <c r="K4" s="190"/>
      <c r="L4" s="190"/>
      <c r="M4" s="190"/>
    </row>
    <row r="5" spans="2:18">
      <c r="B5" s="186"/>
      <c r="C5" s="1926" t="s">
        <v>1823</v>
      </c>
      <c r="D5" s="1926"/>
      <c r="E5" s="1926"/>
      <c r="F5" s="1926"/>
      <c r="G5" s="1926"/>
      <c r="H5" s="1926"/>
      <c r="I5" s="1926"/>
      <c r="J5" s="1926"/>
      <c r="K5" s="191"/>
      <c r="L5" s="191"/>
      <c r="M5" s="191"/>
    </row>
    <row r="6" spans="2:18">
      <c r="E6" s="1952"/>
      <c r="F6" s="1952"/>
      <c r="G6" s="1952"/>
      <c r="H6" s="1952"/>
      <c r="I6" s="1952"/>
      <c r="J6" s="1952"/>
    </row>
    <row r="7" spans="2:18">
      <c r="B7" s="192"/>
      <c r="C7" s="193"/>
      <c r="D7" s="192"/>
      <c r="E7" s="187"/>
      <c r="F7" s="187"/>
      <c r="G7" s="187"/>
      <c r="H7" s="187"/>
      <c r="I7" s="187"/>
      <c r="J7" s="187"/>
      <c r="K7" s="192"/>
      <c r="L7" s="192"/>
      <c r="M7" s="186"/>
    </row>
    <row r="8" spans="2:18" s="5" customFormat="1">
      <c r="B8" s="194"/>
      <c r="C8" s="195" t="s">
        <v>40</v>
      </c>
      <c r="D8" s="195" t="s">
        <v>778</v>
      </c>
      <c r="E8" s="195"/>
      <c r="F8" s="195" t="s">
        <v>776</v>
      </c>
      <c r="G8" s="195"/>
      <c r="H8" s="195" t="s">
        <v>779</v>
      </c>
      <c r="I8" s="195"/>
      <c r="J8" s="195" t="s">
        <v>780</v>
      </c>
      <c r="K8" s="194"/>
      <c r="L8" s="196"/>
      <c r="M8" s="195"/>
    </row>
    <row r="9" spans="2:18">
      <c r="B9" s="192"/>
      <c r="C9" s="197" t="s">
        <v>775</v>
      </c>
      <c r="D9" s="198" t="s">
        <v>41</v>
      </c>
      <c r="E9" s="199"/>
      <c r="F9" s="199" t="s">
        <v>42</v>
      </c>
      <c r="G9" s="199"/>
      <c r="H9" s="200" t="s">
        <v>43</v>
      </c>
      <c r="I9" s="200"/>
      <c r="J9" s="201" t="s">
        <v>44</v>
      </c>
      <c r="K9" s="192"/>
      <c r="L9" s="192"/>
      <c r="M9" s="186"/>
    </row>
    <row r="10" spans="2:18">
      <c r="B10" s="192"/>
      <c r="C10" s="185"/>
      <c r="D10" s="202"/>
      <c r="E10" s="202"/>
      <c r="F10" s="202"/>
      <c r="G10" s="202"/>
      <c r="H10" s="202"/>
      <c r="I10" s="202"/>
      <c r="J10" s="203" t="s">
        <v>43</v>
      </c>
      <c r="K10" s="192"/>
      <c r="L10" s="1672" t="s">
        <v>2433</v>
      </c>
      <c r="M10" s="1673"/>
      <c r="O10" s="1672" t="s">
        <v>3267</v>
      </c>
      <c r="P10" s="1673"/>
    </row>
    <row r="11" spans="2:18">
      <c r="C11" s="185">
        <v>1</v>
      </c>
      <c r="D11" s="204" t="s">
        <v>45</v>
      </c>
      <c r="E11" s="202"/>
      <c r="F11" s="1705">
        <v>0.50900000000000001</v>
      </c>
      <c r="G11" s="206"/>
      <c r="H11" s="818">
        <f>'Long-Term Debt'!M21</f>
        <v>4.589E-2</v>
      </c>
      <c r="I11" s="208"/>
      <c r="J11" s="1792">
        <f>ROUND(+F11*H11,5)</f>
        <v>2.3359999999999999E-2</v>
      </c>
      <c r="K11" s="192"/>
      <c r="L11" s="1624">
        <f>1-L13</f>
        <v>0.496</v>
      </c>
      <c r="M11" s="1671">
        <v>4.7446000000000002E-2</v>
      </c>
      <c r="N11" s="210"/>
      <c r="O11" s="1624">
        <f>1-O13</f>
        <v>0.496</v>
      </c>
      <c r="P11" s="1671">
        <v>4.589E-2</v>
      </c>
      <c r="R11" s="1820">
        <f>J11</f>
        <v>2.3359999999999999E-2</v>
      </c>
    </row>
    <row r="12" spans="2:18">
      <c r="C12" s="185">
        <v>2</v>
      </c>
      <c r="D12" s="204" t="s">
        <v>46</v>
      </c>
      <c r="E12" s="202"/>
      <c r="F12" s="205">
        <v>0</v>
      </c>
      <c r="G12" s="206"/>
      <c r="H12" s="207">
        <v>0</v>
      </c>
      <c r="I12" s="208"/>
      <c r="J12" s="1792">
        <f>ROUND(+F12*H12,5)</f>
        <v>0</v>
      </c>
      <c r="K12" s="192"/>
      <c r="L12" s="209"/>
      <c r="M12" s="186"/>
      <c r="O12" s="209"/>
      <c r="P12" s="186"/>
    </row>
    <row r="13" spans="2:18">
      <c r="C13" s="185">
        <v>3</v>
      </c>
      <c r="D13" s="204" t="s">
        <v>47</v>
      </c>
      <c r="E13" s="202"/>
      <c r="F13" s="1705">
        <f>1-F11</f>
        <v>0.49099999999999999</v>
      </c>
      <c r="G13" s="206"/>
      <c r="H13" s="818">
        <v>9.4E-2</v>
      </c>
      <c r="I13" s="208"/>
      <c r="J13" s="1792">
        <f>ROUND(+F13*H13,5)</f>
        <v>4.6149999999999997E-2</v>
      </c>
      <c r="K13" s="192"/>
      <c r="L13" s="1624">
        <v>0.504</v>
      </c>
      <c r="M13" s="1671">
        <v>0.10299999999999999</v>
      </c>
      <c r="O13" s="1624">
        <v>0.504</v>
      </c>
      <c r="P13" s="1671">
        <v>9.8000000000000004E-2</v>
      </c>
    </row>
    <row r="14" spans="2:18" ht="16.2" thickBot="1">
      <c r="B14" s="192"/>
      <c r="C14" s="185">
        <v>4</v>
      </c>
      <c r="D14" s="204" t="s">
        <v>48</v>
      </c>
      <c r="E14" s="202"/>
      <c r="F14" s="211">
        <f>SUM(F11:F13)</f>
        <v>1</v>
      </c>
      <c r="G14" s="206"/>
      <c r="H14" s="206"/>
      <c r="I14" s="208"/>
      <c r="J14" s="1793">
        <f>SUM(J11:J13)</f>
        <v>6.9509999999999988E-2</v>
      </c>
      <c r="K14" s="192"/>
      <c r="L14" s="192"/>
      <c r="M14" s="186"/>
    </row>
    <row r="15" spans="2:18" ht="16.2" thickTop="1">
      <c r="B15" s="192"/>
      <c r="C15" s="212"/>
      <c r="D15" s="213"/>
      <c r="E15" s="213"/>
      <c r="F15" s="213"/>
      <c r="G15" s="213"/>
      <c r="H15" s="213"/>
      <c r="I15" s="213"/>
      <c r="J15" s="214"/>
      <c r="K15" s="192"/>
      <c r="L15" s="192"/>
      <c r="M15" s="186"/>
    </row>
    <row r="16" spans="2:18">
      <c r="B16" s="192"/>
      <c r="C16" s="194"/>
      <c r="D16" s="192"/>
      <c r="E16" s="192"/>
      <c r="F16" s="192"/>
      <c r="G16" s="192"/>
      <c r="H16" s="192"/>
      <c r="I16" s="192"/>
      <c r="J16" s="192"/>
      <c r="K16" s="192"/>
      <c r="L16" s="192"/>
      <c r="M16" s="1671"/>
      <c r="N16" s="1789"/>
    </row>
    <row r="17" spans="2:12">
      <c r="B17" s="186"/>
      <c r="C17" s="195"/>
      <c r="D17" s="192" t="s">
        <v>1072</v>
      </c>
      <c r="E17" s="192"/>
      <c r="F17" s="192"/>
      <c r="G17" s="192"/>
      <c r="H17" s="192"/>
      <c r="I17" s="192"/>
      <c r="J17" s="186"/>
      <c r="K17" s="186"/>
      <c r="L17" s="186"/>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7924-EA95-43F2-9CE1-24CEA77391B1}">
  <sheetPr codeName="Sheet63">
    <tabColor theme="7" tint="0.79998168889431442"/>
    <pageSetUpPr fitToPage="1"/>
  </sheetPr>
  <dimension ref="A1:W41"/>
  <sheetViews>
    <sheetView view="pageBreakPreview" topLeftCell="D3" zoomScale="80" zoomScaleNormal="70" zoomScaleSheetLayoutView="80" zoomScalePageLayoutView="80" workbookViewId="0">
      <selection activeCell="F27" sqref="F27"/>
    </sheetView>
  </sheetViews>
  <sheetFormatPr defaultColWidth="8.88671875" defaultRowHeight="15.6"/>
  <cols>
    <col min="1" max="1" width="6.33203125" style="1628" customWidth="1"/>
    <col min="2" max="2" width="10.33203125" style="1659" customWidth="1"/>
    <col min="3" max="4" width="14.33203125" style="1662" customWidth="1"/>
    <col min="5" max="5" width="11.44140625" style="1659" customWidth="1"/>
    <col min="6" max="6" width="17.44140625" style="1659" customWidth="1"/>
    <col min="7" max="11" width="15.5546875" style="1659" customWidth="1"/>
    <col min="12" max="12" width="13.5546875" style="1659" customWidth="1"/>
    <col min="13" max="13" width="11.5546875" style="1659" customWidth="1"/>
    <col min="14" max="14" width="18.33203125" style="1659" customWidth="1"/>
    <col min="15" max="15" width="15.5546875" style="1659" customWidth="1"/>
    <col min="16" max="16" width="16.6640625" style="1659" bestFit="1" customWidth="1"/>
    <col min="17" max="17" width="6" style="1628" customWidth="1"/>
    <col min="18" max="22" width="8.88671875" style="613"/>
    <col min="23" max="23" width="5.33203125" style="613" customWidth="1"/>
    <col min="24" max="16384" width="8.88671875" style="613"/>
  </cols>
  <sheetData>
    <row r="1" spans="1:23" ht="83.7" customHeight="1">
      <c r="A1" s="1625" t="s">
        <v>2502</v>
      </c>
      <c r="B1" s="1626" t="s">
        <v>3215</v>
      </c>
      <c r="C1" s="1627" t="s">
        <v>3216</v>
      </c>
      <c r="D1" s="1627" t="s">
        <v>3217</v>
      </c>
      <c r="E1" s="1626" t="s">
        <v>3218</v>
      </c>
      <c r="F1" s="1626" t="s">
        <v>3219</v>
      </c>
      <c r="G1" s="1626" t="s">
        <v>3220</v>
      </c>
      <c r="H1" s="1626" t="s">
        <v>3221</v>
      </c>
      <c r="I1" s="1626" t="s">
        <v>3222</v>
      </c>
      <c r="J1" s="1626" t="s">
        <v>3223</v>
      </c>
      <c r="K1" s="1626" t="s">
        <v>3224</v>
      </c>
      <c r="L1" s="1626" t="s">
        <v>3225</v>
      </c>
      <c r="M1" s="1626" t="s">
        <v>3226</v>
      </c>
      <c r="N1" s="1626" t="s">
        <v>3227</v>
      </c>
      <c r="O1" s="1626" t="s">
        <v>3228</v>
      </c>
      <c r="P1" s="1626" t="s">
        <v>3229</v>
      </c>
      <c r="R1" s="1628"/>
      <c r="S1" s="1628"/>
      <c r="T1" s="1628"/>
      <c r="U1" s="1628"/>
      <c r="V1" s="1628"/>
      <c r="W1" s="1628"/>
    </row>
    <row r="2" spans="1:23" ht="30">
      <c r="A2" s="1629" t="s">
        <v>1798</v>
      </c>
      <c r="B2" s="1629" t="s">
        <v>1799</v>
      </c>
      <c r="C2" s="1629" t="s">
        <v>1800</v>
      </c>
      <c r="D2" s="1629" t="s">
        <v>1801</v>
      </c>
      <c r="E2" s="1629" t="s">
        <v>3230</v>
      </c>
      <c r="F2" s="1629" t="s">
        <v>2626</v>
      </c>
      <c r="G2" s="1629" t="s">
        <v>1804</v>
      </c>
      <c r="H2" s="1629" t="s">
        <v>1805</v>
      </c>
      <c r="I2" s="1629" t="s">
        <v>1806</v>
      </c>
      <c r="J2" s="1629" t="s">
        <v>3231</v>
      </c>
      <c r="K2" s="1630" t="s">
        <v>3232</v>
      </c>
      <c r="L2" s="1630" t="s">
        <v>3233</v>
      </c>
      <c r="M2" s="1629" t="s">
        <v>3234</v>
      </c>
      <c r="N2" s="1629" t="s">
        <v>2632</v>
      </c>
      <c r="O2" s="1630" t="s">
        <v>3235</v>
      </c>
      <c r="P2" s="1629" t="s">
        <v>3236</v>
      </c>
      <c r="R2" s="1628"/>
      <c r="S2" s="1628"/>
      <c r="T2" s="1628"/>
      <c r="U2" s="1628"/>
      <c r="V2" s="1628"/>
      <c r="W2" s="1628"/>
    </row>
    <row r="3" spans="1:23" ht="16.8">
      <c r="A3" s="1631"/>
      <c r="B3" s="1953" t="s">
        <v>3237</v>
      </c>
      <c r="C3" s="1953"/>
      <c r="D3" s="1953"/>
      <c r="E3" s="1953"/>
      <c r="F3" s="1631"/>
      <c r="G3" s="1631"/>
      <c r="H3" s="1631"/>
      <c r="I3" s="1631"/>
      <c r="J3" s="1631"/>
      <c r="K3" s="1631"/>
      <c r="L3" s="1631"/>
      <c r="M3" s="1631"/>
      <c r="N3" s="1631"/>
      <c r="O3" s="1631"/>
      <c r="P3" s="1631"/>
      <c r="R3" s="1628"/>
      <c r="S3" s="1628"/>
      <c r="T3" s="1628"/>
      <c r="U3" s="1628"/>
      <c r="V3" s="1628"/>
      <c r="W3" s="1628"/>
    </row>
    <row r="4" spans="1:23">
      <c r="A4" s="1628">
        <v>1</v>
      </c>
      <c r="B4" s="1632">
        <v>4.1099999999999994</v>
      </c>
      <c r="C4" s="1633">
        <v>45892</v>
      </c>
      <c r="D4" s="1633">
        <v>41509</v>
      </c>
      <c r="E4" s="1634">
        <v>12</v>
      </c>
      <c r="F4" s="1635">
        <v>25000</v>
      </c>
      <c r="G4" s="1636">
        <v>151.00800000000001</v>
      </c>
      <c r="H4" s="1636">
        <v>0</v>
      </c>
      <c r="I4" s="1636">
        <v>0</v>
      </c>
      <c r="J4" s="1636">
        <v>0</v>
      </c>
      <c r="K4" s="1636">
        <f t="shared" ref="K4:K18" si="0">F4-SUM(G4:J4)</f>
        <v>24848.991999999998</v>
      </c>
      <c r="L4" s="1632">
        <f t="shared" ref="L4:L18" si="1">(K4/F4)*100</f>
        <v>99.395967999999996</v>
      </c>
      <c r="M4" s="1637">
        <f>YIELD(D4,C4,B4/100,L4,100,2,0)</f>
        <v>4.1745047210538587E-2</v>
      </c>
      <c r="N4" s="1635">
        <v>25000</v>
      </c>
      <c r="O4" s="1636">
        <f t="shared" ref="O4:O18" si="2">M4*N4</f>
        <v>1043.6261802634647</v>
      </c>
      <c r="P4" s="1634">
        <f t="shared" ref="P4:P18" si="3">ROUND((C4-44196)/365,0)</f>
        <v>5</v>
      </c>
      <c r="R4" s="1628"/>
      <c r="S4" s="1628"/>
      <c r="T4" s="1628"/>
      <c r="U4" s="1628"/>
      <c r="V4" s="1628"/>
      <c r="W4" s="1628"/>
    </row>
    <row r="5" spans="1:23">
      <c r="A5" s="1628">
        <f>A4+1</f>
        <v>2</v>
      </c>
      <c r="B5" s="1632">
        <v>7.48</v>
      </c>
      <c r="C5" s="1633">
        <v>46645</v>
      </c>
      <c r="D5" s="1633">
        <v>35688</v>
      </c>
      <c r="E5" s="1634">
        <v>30</v>
      </c>
      <c r="F5" s="1635">
        <v>20000</v>
      </c>
      <c r="G5" s="1636">
        <v>201.40600000000001</v>
      </c>
      <c r="H5" s="1636">
        <v>0</v>
      </c>
      <c r="I5" s="1636">
        <v>0</v>
      </c>
      <c r="J5" s="1636">
        <v>0</v>
      </c>
      <c r="K5" s="1636">
        <f t="shared" si="0"/>
        <v>19798.594000000001</v>
      </c>
      <c r="L5" s="1632">
        <f t="shared" si="1"/>
        <v>98.99297</v>
      </c>
      <c r="M5" s="1637">
        <f t="shared" ref="M5:M18" si="4">YIELD(D5,C5,B5/100,L5,100,2,0)</f>
        <v>7.5653881273777368E-2</v>
      </c>
      <c r="N5" s="1635">
        <v>20000</v>
      </c>
      <c r="O5" s="1636">
        <f t="shared" si="2"/>
        <v>1513.0776254755474</v>
      </c>
      <c r="P5" s="1634">
        <f t="shared" si="3"/>
        <v>7</v>
      </c>
      <c r="R5" s="1628"/>
      <c r="S5" s="1628"/>
      <c r="T5" s="1628"/>
      <c r="U5" s="1628"/>
      <c r="V5" s="1628"/>
      <c r="W5" s="1628"/>
    </row>
    <row r="6" spans="1:23">
      <c r="A6" s="1628">
        <f t="shared" ref="A6:A19" si="5">A5+1</f>
        <v>3</v>
      </c>
      <c r="B6" s="1632">
        <v>4.3600000000000003</v>
      </c>
      <c r="C6" s="1633">
        <v>46988</v>
      </c>
      <c r="D6" s="1633">
        <v>41509</v>
      </c>
      <c r="E6" s="1634">
        <v>15</v>
      </c>
      <c r="F6" s="1635">
        <v>25000</v>
      </c>
      <c r="G6" s="1636">
        <v>151.00800000000001</v>
      </c>
      <c r="H6" s="1636">
        <v>0</v>
      </c>
      <c r="I6" s="1636">
        <v>0</v>
      </c>
      <c r="J6" s="1636">
        <v>0</v>
      </c>
      <c r="K6" s="1636">
        <f t="shared" si="0"/>
        <v>24848.991999999998</v>
      </c>
      <c r="L6" s="1632">
        <f t="shared" si="1"/>
        <v>99.395967999999996</v>
      </c>
      <c r="M6" s="1637">
        <f t="shared" si="4"/>
        <v>4.4154929390743093E-2</v>
      </c>
      <c r="N6" s="1635">
        <v>25000</v>
      </c>
      <c r="O6" s="1636">
        <f t="shared" si="2"/>
        <v>1103.8732347685773</v>
      </c>
      <c r="P6" s="1634">
        <f t="shared" si="3"/>
        <v>8</v>
      </c>
      <c r="R6" s="1628"/>
      <c r="S6" s="1628"/>
      <c r="T6" s="1628"/>
      <c r="U6" s="1628"/>
      <c r="V6" s="1628"/>
      <c r="W6" s="1628"/>
    </row>
    <row r="7" spans="1:23">
      <c r="A7" s="1628">
        <f t="shared" si="5"/>
        <v>4</v>
      </c>
      <c r="B7" s="1632">
        <v>3.62</v>
      </c>
      <c r="C7" s="1633">
        <v>47282</v>
      </c>
      <c r="D7" s="1633">
        <v>43629</v>
      </c>
      <c r="E7" s="1634">
        <v>10</v>
      </c>
      <c r="F7" s="1635">
        <v>25000</v>
      </c>
      <c r="G7" s="1636">
        <v>128.459</v>
      </c>
      <c r="H7" s="1636">
        <v>0</v>
      </c>
      <c r="I7" s="1636">
        <v>0</v>
      </c>
      <c r="J7" s="1636">
        <v>0</v>
      </c>
      <c r="K7" s="1636">
        <f t="shared" si="0"/>
        <v>24871.541000000001</v>
      </c>
      <c r="L7" s="1632">
        <f t="shared" si="1"/>
        <v>99.486164000000002</v>
      </c>
      <c r="M7" s="1637">
        <f t="shared" si="4"/>
        <v>3.6818884939046552E-2</v>
      </c>
      <c r="N7" s="1635">
        <v>25000</v>
      </c>
      <c r="O7" s="1636">
        <f t="shared" si="2"/>
        <v>920.4721234761638</v>
      </c>
      <c r="P7" s="1634">
        <f t="shared" si="3"/>
        <v>8</v>
      </c>
      <c r="R7" s="1628"/>
      <c r="S7" s="1628"/>
      <c r="T7" s="1628"/>
      <c r="U7" s="1628"/>
      <c r="V7" s="1628"/>
      <c r="W7" s="1628"/>
    </row>
    <row r="8" spans="1:23">
      <c r="A8" s="1628">
        <f t="shared" si="5"/>
        <v>5</v>
      </c>
      <c r="B8" s="1638">
        <v>7.0979999999999999</v>
      </c>
      <c r="C8" s="1633">
        <v>47193</v>
      </c>
      <c r="D8" s="1633">
        <v>36235</v>
      </c>
      <c r="E8" s="1634">
        <v>30</v>
      </c>
      <c r="F8" s="1635">
        <v>15000</v>
      </c>
      <c r="G8" s="1636">
        <v>151.05600000000001</v>
      </c>
      <c r="H8" s="1636">
        <v>0</v>
      </c>
      <c r="I8" s="1636">
        <v>0</v>
      </c>
      <c r="J8" s="1636">
        <v>0</v>
      </c>
      <c r="K8" s="1636">
        <f t="shared" si="0"/>
        <v>14848.944</v>
      </c>
      <c r="L8" s="1632">
        <f t="shared" si="1"/>
        <v>98.992959999999997</v>
      </c>
      <c r="M8" s="1637">
        <f t="shared" si="4"/>
        <v>7.1802122796605916E-2</v>
      </c>
      <c r="N8" s="1635">
        <v>15000</v>
      </c>
      <c r="O8" s="1636">
        <f t="shared" si="2"/>
        <v>1077.0318419490886</v>
      </c>
      <c r="P8" s="1634">
        <f t="shared" si="3"/>
        <v>8</v>
      </c>
      <c r="R8" s="1628"/>
      <c r="S8" s="1628"/>
      <c r="T8" s="1628"/>
      <c r="U8" s="1628"/>
      <c r="V8" s="1628"/>
      <c r="W8" s="1628"/>
    </row>
    <row r="9" spans="1:23">
      <c r="A9" s="1628">
        <f t="shared" si="5"/>
        <v>6</v>
      </c>
      <c r="B9" s="1632">
        <v>3.82</v>
      </c>
      <c r="C9" s="1633">
        <v>49108</v>
      </c>
      <c r="D9" s="1633">
        <v>43629</v>
      </c>
      <c r="E9" s="1634">
        <v>15</v>
      </c>
      <c r="F9" s="1635">
        <v>20000</v>
      </c>
      <c r="G9" s="1636">
        <v>102.768</v>
      </c>
      <c r="H9" s="1636">
        <v>0</v>
      </c>
      <c r="I9" s="1636">
        <v>0</v>
      </c>
      <c r="J9" s="1636">
        <v>0</v>
      </c>
      <c r="K9" s="1636">
        <f t="shared" si="0"/>
        <v>19897.232</v>
      </c>
      <c r="L9" s="1632">
        <f t="shared" si="1"/>
        <v>99.486159999999998</v>
      </c>
      <c r="M9" s="1637">
        <f t="shared" si="4"/>
        <v>3.8654624993118565E-2</v>
      </c>
      <c r="N9" s="1635">
        <v>20000</v>
      </c>
      <c r="O9" s="1636">
        <f t="shared" si="2"/>
        <v>773.09249986237126</v>
      </c>
      <c r="P9" s="1634">
        <f t="shared" si="3"/>
        <v>13</v>
      </c>
      <c r="R9" s="1628"/>
      <c r="S9" s="1628"/>
      <c r="T9" s="1628"/>
      <c r="U9" s="1628"/>
      <c r="V9" s="1628"/>
      <c r="W9" s="1628"/>
    </row>
    <row r="10" spans="1:23">
      <c r="A10" s="1639">
        <f t="shared" si="5"/>
        <v>7</v>
      </c>
      <c r="B10" s="1640">
        <v>3.34</v>
      </c>
      <c r="C10" s="1641">
        <f>EOMONTH(D10,E10*12)</f>
        <v>58745</v>
      </c>
      <c r="D10" s="1641">
        <v>44129</v>
      </c>
      <c r="E10" s="1642">
        <v>40</v>
      </c>
      <c r="F10" s="1643">
        <v>25000</v>
      </c>
      <c r="G10" s="1644">
        <f>122636/1000</f>
        <v>122.636</v>
      </c>
      <c r="H10" s="1644">
        <v>0</v>
      </c>
      <c r="I10" s="1644">
        <v>0</v>
      </c>
      <c r="J10" s="1644">
        <v>0</v>
      </c>
      <c r="K10" s="1644">
        <f>F10-SUM(G10:J10)</f>
        <v>24877.364000000001</v>
      </c>
      <c r="L10" s="1640">
        <f>(K10/F10)*100</f>
        <v>99.509456</v>
      </c>
      <c r="M10" s="1645">
        <f t="shared" si="4"/>
        <v>3.3623735539316822E-2</v>
      </c>
      <c r="N10" s="1643">
        <v>25000</v>
      </c>
      <c r="O10" s="1644">
        <f>M10*N10</f>
        <v>840.59338848292055</v>
      </c>
      <c r="P10" s="1642">
        <f t="shared" si="3"/>
        <v>40</v>
      </c>
      <c r="R10" s="1628"/>
      <c r="S10" s="1628"/>
      <c r="T10" s="1628"/>
      <c r="U10" s="1628"/>
      <c r="V10" s="1628"/>
      <c r="W10" s="1628"/>
    </row>
    <row r="11" spans="1:23" s="825" customFormat="1">
      <c r="A11" s="1628">
        <f t="shared" si="5"/>
        <v>8</v>
      </c>
      <c r="B11" s="1632">
        <v>5.79</v>
      </c>
      <c r="C11" s="1633">
        <v>50107</v>
      </c>
      <c r="D11" s="1633">
        <v>39149</v>
      </c>
      <c r="E11" s="1634">
        <v>30</v>
      </c>
      <c r="F11" s="1635">
        <v>40000</v>
      </c>
      <c r="G11" s="1636">
        <v>232.78100000000001</v>
      </c>
      <c r="H11" s="1636">
        <v>0</v>
      </c>
      <c r="I11" s="1636">
        <v>0</v>
      </c>
      <c r="J11" s="1636">
        <v>0</v>
      </c>
      <c r="K11" s="1636">
        <f t="shared" si="0"/>
        <v>39767.218999999997</v>
      </c>
      <c r="L11" s="1632">
        <f t="shared" si="1"/>
        <v>99.4180475</v>
      </c>
      <c r="M11" s="1637">
        <f t="shared" si="4"/>
        <v>5.8312982460403305E-2</v>
      </c>
      <c r="N11" s="1635">
        <v>40000</v>
      </c>
      <c r="O11" s="1636">
        <f t="shared" si="2"/>
        <v>2332.5192984161322</v>
      </c>
      <c r="P11" s="1634">
        <f t="shared" si="3"/>
        <v>16</v>
      </c>
      <c r="Q11" s="1628"/>
      <c r="R11" s="1628"/>
      <c r="S11" s="1628"/>
      <c r="T11" s="1628"/>
      <c r="U11" s="1628"/>
      <c r="V11" s="1628"/>
      <c r="W11" s="1628"/>
    </row>
    <row r="12" spans="1:23" s="825" customFormat="1">
      <c r="A12" s="1628">
        <f t="shared" si="5"/>
        <v>9</v>
      </c>
      <c r="B12" s="1632">
        <v>4.09</v>
      </c>
      <c r="C12" s="1633">
        <v>52925</v>
      </c>
      <c r="D12" s="1633">
        <v>41967</v>
      </c>
      <c r="E12" s="1634">
        <v>30</v>
      </c>
      <c r="F12" s="1635">
        <v>12500</v>
      </c>
      <c r="G12" s="1636">
        <v>62.454999999999998</v>
      </c>
      <c r="H12" s="1636">
        <v>0</v>
      </c>
      <c r="I12" s="1636">
        <v>0</v>
      </c>
      <c r="J12" s="1636">
        <v>0</v>
      </c>
      <c r="K12" s="1636">
        <f t="shared" si="0"/>
        <v>12437.545</v>
      </c>
      <c r="L12" s="1632">
        <f t="shared" si="1"/>
        <v>99.500360000000001</v>
      </c>
      <c r="M12" s="1637">
        <f t="shared" si="4"/>
        <v>4.1191634493380411E-2</v>
      </c>
      <c r="N12" s="1635">
        <v>12500</v>
      </c>
      <c r="O12" s="1636">
        <f t="shared" si="2"/>
        <v>514.89543116725508</v>
      </c>
      <c r="P12" s="1634">
        <f t="shared" si="3"/>
        <v>24</v>
      </c>
      <c r="Q12" s="1628"/>
      <c r="R12" s="1628"/>
      <c r="S12" s="1628"/>
      <c r="T12" s="1628"/>
      <c r="U12" s="1628"/>
      <c r="V12" s="1628"/>
      <c r="W12" s="1628"/>
    </row>
    <row r="13" spans="1:23" s="825" customFormat="1">
      <c r="A13" s="1628">
        <f t="shared" si="5"/>
        <v>10</v>
      </c>
      <c r="B13" s="1632">
        <v>4.09</v>
      </c>
      <c r="C13" s="1633">
        <v>52977</v>
      </c>
      <c r="D13" s="1633">
        <v>42019</v>
      </c>
      <c r="E13" s="1634">
        <v>30</v>
      </c>
      <c r="F13" s="1635">
        <v>12500</v>
      </c>
      <c r="G13" s="1636">
        <v>62.454999999999998</v>
      </c>
      <c r="H13" s="1636">
        <v>0</v>
      </c>
      <c r="I13" s="1636">
        <v>0</v>
      </c>
      <c r="J13" s="1636">
        <v>0</v>
      </c>
      <c r="K13" s="1636">
        <f t="shared" si="0"/>
        <v>12437.545</v>
      </c>
      <c r="L13" s="1632">
        <f t="shared" si="1"/>
        <v>99.500360000000001</v>
      </c>
      <c r="M13" s="1637">
        <f t="shared" si="4"/>
        <v>4.1191634493380411E-2</v>
      </c>
      <c r="N13" s="1635">
        <v>12500</v>
      </c>
      <c r="O13" s="1636">
        <f t="shared" si="2"/>
        <v>514.89543116725508</v>
      </c>
      <c r="P13" s="1634">
        <f t="shared" si="3"/>
        <v>24</v>
      </c>
      <c r="Q13" s="1628"/>
      <c r="R13" s="1628"/>
      <c r="S13" s="1628"/>
      <c r="T13" s="1628"/>
      <c r="U13" s="1628"/>
      <c r="V13" s="1628"/>
      <c r="W13" s="1628"/>
    </row>
    <row r="14" spans="1:23">
      <c r="A14" s="1628">
        <f t="shared" si="5"/>
        <v>11</v>
      </c>
      <c r="B14" s="1632">
        <v>4.26</v>
      </c>
      <c r="C14" s="1633">
        <v>54587</v>
      </c>
      <c r="D14" s="1633">
        <v>43629</v>
      </c>
      <c r="E14" s="1634">
        <v>30</v>
      </c>
      <c r="F14" s="1635">
        <v>30000</v>
      </c>
      <c r="G14" s="1636">
        <v>154.15100000000001</v>
      </c>
      <c r="H14" s="1636">
        <v>0</v>
      </c>
      <c r="I14" s="1636">
        <v>0</v>
      </c>
      <c r="J14" s="1636">
        <v>0</v>
      </c>
      <c r="K14" s="1636">
        <f t="shared" si="0"/>
        <v>29845.848999999998</v>
      </c>
      <c r="L14" s="1632">
        <f t="shared" si="1"/>
        <v>99.486163333333337</v>
      </c>
      <c r="M14" s="1637">
        <f t="shared" si="4"/>
        <v>4.2906132701430066E-2</v>
      </c>
      <c r="N14" s="1635">
        <v>30000</v>
      </c>
      <c r="O14" s="1636">
        <f t="shared" si="2"/>
        <v>1287.1839810429019</v>
      </c>
      <c r="P14" s="1634">
        <f t="shared" si="3"/>
        <v>28</v>
      </c>
      <c r="R14" s="1628"/>
      <c r="S14" s="1628"/>
      <c r="T14" s="1628"/>
      <c r="U14" s="1628"/>
      <c r="V14" s="1628"/>
      <c r="W14" s="1628"/>
    </row>
    <row r="15" spans="1:23">
      <c r="A15" s="1628">
        <f t="shared" si="5"/>
        <v>12</v>
      </c>
      <c r="B15" s="1632">
        <v>3.58</v>
      </c>
      <c r="C15" s="1633">
        <v>54954</v>
      </c>
      <c r="D15" s="1633">
        <v>43971</v>
      </c>
      <c r="E15" s="1634">
        <v>30</v>
      </c>
      <c r="F15" s="1635">
        <v>30000</v>
      </c>
      <c r="G15" s="1636">
        <f>F15*0.005</f>
        <v>150</v>
      </c>
      <c r="H15" s="1636">
        <v>0</v>
      </c>
      <c r="I15" s="1636">
        <v>0</v>
      </c>
      <c r="J15" s="1636">
        <v>0</v>
      </c>
      <c r="K15" s="1636">
        <f t="shared" si="0"/>
        <v>29850</v>
      </c>
      <c r="L15" s="1632">
        <f t="shared" si="1"/>
        <v>99.5</v>
      </c>
      <c r="M15" s="1637">
        <f t="shared" si="4"/>
        <v>3.607276368735203E-2</v>
      </c>
      <c r="N15" s="1635">
        <v>30000</v>
      </c>
      <c r="O15" s="1636">
        <f t="shared" si="2"/>
        <v>1082.182910620561</v>
      </c>
      <c r="P15" s="1634">
        <f t="shared" si="3"/>
        <v>29</v>
      </c>
      <c r="R15" s="1628"/>
      <c r="S15" s="1628"/>
      <c r="T15" s="1628"/>
      <c r="U15" s="1628"/>
      <c r="V15" s="1628"/>
      <c r="W15" s="1628"/>
    </row>
    <row r="16" spans="1:23">
      <c r="A16" s="1628">
        <f t="shared" si="5"/>
        <v>13</v>
      </c>
      <c r="B16" s="1632">
        <v>4.24</v>
      </c>
      <c r="C16" s="1633">
        <v>56577</v>
      </c>
      <c r="D16" s="1633">
        <v>41967</v>
      </c>
      <c r="E16" s="1634">
        <v>40</v>
      </c>
      <c r="F16" s="1635">
        <v>12500</v>
      </c>
      <c r="G16" s="1636">
        <v>61.104999999999997</v>
      </c>
      <c r="H16" s="1636">
        <v>0</v>
      </c>
      <c r="I16" s="1636">
        <v>0</v>
      </c>
      <c r="J16" s="1636">
        <v>0</v>
      </c>
      <c r="K16" s="1636">
        <f t="shared" si="0"/>
        <v>12438.895</v>
      </c>
      <c r="L16" s="1632">
        <f t="shared" si="1"/>
        <v>99.511160000000004</v>
      </c>
      <c r="M16" s="1637">
        <f t="shared" si="4"/>
        <v>4.2655799284283862E-2</v>
      </c>
      <c r="N16" s="1635">
        <v>12500</v>
      </c>
      <c r="O16" s="1636">
        <f t="shared" si="2"/>
        <v>533.19749105354822</v>
      </c>
      <c r="P16" s="1634">
        <f t="shared" si="3"/>
        <v>34</v>
      </c>
      <c r="R16" s="1628"/>
      <c r="S16" s="1628"/>
      <c r="T16" s="1628"/>
      <c r="U16" s="1628"/>
      <c r="V16" s="1628"/>
      <c r="W16" s="1628"/>
    </row>
    <row r="17" spans="1:23">
      <c r="A17" s="1628">
        <f t="shared" si="5"/>
        <v>14</v>
      </c>
      <c r="B17" s="1632">
        <v>4.24</v>
      </c>
      <c r="C17" s="1633">
        <v>56629</v>
      </c>
      <c r="D17" s="1633">
        <v>42019</v>
      </c>
      <c r="E17" s="1634">
        <v>40</v>
      </c>
      <c r="F17" s="1635">
        <v>12500</v>
      </c>
      <c r="G17" s="1636">
        <v>61.104999999999997</v>
      </c>
      <c r="H17" s="1636">
        <v>0</v>
      </c>
      <c r="I17" s="1636">
        <v>0</v>
      </c>
      <c r="J17" s="1636">
        <v>0</v>
      </c>
      <c r="K17" s="1636">
        <f t="shared" si="0"/>
        <v>12438.895</v>
      </c>
      <c r="L17" s="1632">
        <f t="shared" si="1"/>
        <v>99.511160000000004</v>
      </c>
      <c r="M17" s="1637">
        <f t="shared" si="4"/>
        <v>4.2655799284283862E-2</v>
      </c>
      <c r="N17" s="1635">
        <v>12500</v>
      </c>
      <c r="O17" s="1636">
        <f t="shared" si="2"/>
        <v>533.19749105354822</v>
      </c>
      <c r="P17" s="1634">
        <f t="shared" si="3"/>
        <v>34</v>
      </c>
      <c r="R17" s="1628"/>
      <c r="S17" s="1628"/>
      <c r="T17" s="1628"/>
      <c r="U17" s="1628"/>
      <c r="V17" s="1628"/>
      <c r="W17" s="1628"/>
    </row>
    <row r="18" spans="1:23">
      <c r="A18" s="1646">
        <f t="shared" si="5"/>
        <v>15</v>
      </c>
      <c r="B18" s="1647">
        <v>3.78</v>
      </c>
      <c r="C18" s="1648">
        <v>58607</v>
      </c>
      <c r="D18" s="1648">
        <v>43971</v>
      </c>
      <c r="E18" s="1649">
        <v>40</v>
      </c>
      <c r="F18" s="1650">
        <v>20000</v>
      </c>
      <c r="G18" s="1651">
        <f>86376/1000</f>
        <v>86.376000000000005</v>
      </c>
      <c r="H18" s="1651">
        <v>0</v>
      </c>
      <c r="I18" s="1651">
        <v>0</v>
      </c>
      <c r="J18" s="1651">
        <v>0</v>
      </c>
      <c r="K18" s="1651">
        <f t="shared" si="0"/>
        <v>19913.624</v>
      </c>
      <c r="L18" s="1647">
        <f t="shared" si="1"/>
        <v>99.568120000000008</v>
      </c>
      <c r="M18" s="1652">
        <f t="shared" si="4"/>
        <v>3.8009737502309383E-2</v>
      </c>
      <c r="N18" s="1650">
        <v>20000</v>
      </c>
      <c r="O18" s="1651">
        <f t="shared" si="2"/>
        <v>760.19475004618766</v>
      </c>
      <c r="P18" s="1649">
        <f t="shared" si="3"/>
        <v>39</v>
      </c>
      <c r="R18" s="1628"/>
      <c r="S18" s="1628"/>
      <c r="T18" s="1628"/>
      <c r="U18" s="1628"/>
      <c r="V18" s="1628"/>
      <c r="W18" s="1628"/>
    </row>
    <row r="19" spans="1:23" ht="27.75" customHeight="1" thickBot="1">
      <c r="A19" s="1653">
        <f t="shared" si="5"/>
        <v>16</v>
      </c>
      <c r="B19" s="1654"/>
      <c r="C19" s="1655"/>
      <c r="D19" s="1655"/>
      <c r="E19" s="1653"/>
      <c r="F19" s="1656">
        <f>SUM(F4:F18)</f>
        <v>325000</v>
      </c>
      <c r="G19" s="1657"/>
      <c r="H19" s="1657"/>
      <c r="I19" s="1657"/>
      <c r="J19" s="1657"/>
      <c r="K19" s="1657"/>
      <c r="L19" s="1657"/>
      <c r="M19" s="1658">
        <f>O19/N19</f>
        <v>4.563087285798622E-2</v>
      </c>
      <c r="N19" s="1656">
        <f>SUM(N4:N18)</f>
        <v>325000</v>
      </c>
      <c r="O19" s="1656">
        <f>SUM(O4:O18)</f>
        <v>14830.033678845521</v>
      </c>
      <c r="P19" s="1653"/>
      <c r="R19" s="1628"/>
      <c r="S19" s="1628"/>
      <c r="T19" s="1628"/>
      <c r="U19" s="1628"/>
      <c r="V19" s="1628"/>
      <c r="W19" s="1628"/>
    </row>
    <row r="20" spans="1:23">
      <c r="C20" s="1659"/>
      <c r="D20" s="1659"/>
      <c r="G20" s="1660"/>
      <c r="O20" s="1678">
        <f>O21-O19</f>
        <v>84.216321154479374</v>
      </c>
      <c r="P20" s="1659" t="s">
        <v>3251</v>
      </c>
      <c r="R20" s="1628"/>
      <c r="S20" s="1628"/>
      <c r="T20" s="1628"/>
      <c r="U20" s="1628"/>
      <c r="V20" s="1628"/>
      <c r="W20" s="1628"/>
    </row>
    <row r="21" spans="1:23" ht="15.45" customHeight="1" thickBot="1">
      <c r="B21" s="1661" t="s">
        <v>764</v>
      </c>
      <c r="I21" s="1663"/>
      <c r="J21" s="1663"/>
      <c r="K21" s="1663"/>
      <c r="L21" s="1663"/>
      <c r="M21" s="1658">
        <f>O21/N21</f>
        <v>4.589E-2</v>
      </c>
      <c r="N21" s="1656">
        <f>N19</f>
        <v>325000</v>
      </c>
      <c r="O21" s="1656">
        <f>14914250/1000</f>
        <v>14914.25</v>
      </c>
    </row>
    <row r="22" spans="1:23" ht="15.45" customHeight="1">
      <c r="A22" s="1659"/>
      <c r="B22" s="1662" t="s">
        <v>3238</v>
      </c>
      <c r="I22" s="1663"/>
      <c r="J22" s="1663"/>
      <c r="K22" s="1663"/>
      <c r="L22" s="1663"/>
      <c r="M22" s="1663"/>
      <c r="N22" s="1664"/>
      <c r="O22" s="1664"/>
      <c r="Q22" s="1659"/>
    </row>
    <row r="23" spans="1:23" ht="15.45" customHeight="1">
      <c r="A23" s="1659"/>
      <c r="B23" s="1659" t="s">
        <v>3239</v>
      </c>
      <c r="E23" s="1665"/>
      <c r="F23" s="1665"/>
      <c r="G23" s="1665"/>
      <c r="H23" s="1665"/>
      <c r="I23" s="1663"/>
      <c r="J23" s="1663"/>
      <c r="K23" s="1663"/>
      <c r="L23" s="1663"/>
      <c r="M23" s="1663"/>
      <c r="N23" s="1664"/>
      <c r="O23" s="1664"/>
      <c r="Q23" s="1659"/>
    </row>
    <row r="24" spans="1:23" ht="15.45" customHeight="1">
      <c r="A24" s="1659"/>
      <c r="B24" s="1659" t="s">
        <v>3240</v>
      </c>
      <c r="I24" s="1663"/>
      <c r="J24" s="1663"/>
      <c r="K24" s="1663"/>
      <c r="L24" s="1663"/>
      <c r="M24" s="1663"/>
      <c r="N24" s="1663"/>
      <c r="O24" s="1664"/>
      <c r="Q24" s="1659"/>
    </row>
    <row r="25" spans="1:23" ht="15.6" customHeight="1">
      <c r="A25" s="1659"/>
      <c r="I25" s="1663"/>
      <c r="J25" s="1663"/>
      <c r="K25" s="1663"/>
      <c r="L25" s="1663"/>
      <c r="M25" s="1663"/>
      <c r="N25" s="1663"/>
      <c r="O25" s="1664"/>
    </row>
    <row r="26" spans="1:23">
      <c r="B26" s="1628"/>
      <c r="C26" s="1628"/>
      <c r="D26" s="1628"/>
      <c r="E26" s="1628"/>
      <c r="F26" s="1628"/>
      <c r="G26" s="1628"/>
      <c r="H26" s="1628"/>
      <c r="I26" s="1628"/>
      <c r="J26" s="1628"/>
      <c r="K26" s="1628"/>
      <c r="L26" s="1628"/>
      <c r="M26" s="1628"/>
      <c r="N26" s="1664"/>
      <c r="O26" s="1664"/>
      <c r="P26" s="1628"/>
    </row>
    <row r="27" spans="1:23">
      <c r="B27" s="1666"/>
      <c r="C27" s="1667"/>
      <c r="D27" s="1667"/>
      <c r="E27" s="1628"/>
      <c r="F27" s="1628"/>
      <c r="G27" s="1636"/>
      <c r="H27" s="1628"/>
      <c r="I27" s="1628"/>
      <c r="J27" s="1628"/>
      <c r="K27" s="1668"/>
      <c r="L27" s="1628"/>
      <c r="M27" s="1628"/>
      <c r="N27" s="1664"/>
      <c r="O27" s="1664"/>
      <c r="P27" s="1628"/>
    </row>
    <row r="28" spans="1:23">
      <c r="B28" s="1666"/>
      <c r="C28" s="1628"/>
      <c r="D28" s="1628"/>
      <c r="E28" s="1628"/>
      <c r="F28" s="1628"/>
      <c r="G28" s="1628"/>
      <c r="H28" s="1628"/>
      <c r="I28" s="1628"/>
      <c r="J28" s="1628"/>
      <c r="K28" s="1668"/>
      <c r="L28" s="1628"/>
      <c r="M28" s="1628"/>
      <c r="N28" s="1664"/>
      <c r="O28" s="1664"/>
      <c r="P28" s="1628"/>
    </row>
    <row r="29" spans="1:23">
      <c r="B29" s="1628"/>
      <c r="C29" s="1628"/>
      <c r="D29" s="1628"/>
      <c r="E29" s="1628"/>
      <c r="F29" s="1628"/>
      <c r="G29" s="1628"/>
      <c r="K29" s="1668"/>
      <c r="M29" s="1628"/>
      <c r="N29" s="1664"/>
      <c r="O29" s="1664"/>
      <c r="P29" s="1628"/>
    </row>
    <row r="30" spans="1:23">
      <c r="B30" s="1628"/>
      <c r="C30" s="1628"/>
      <c r="D30" s="1628"/>
      <c r="E30" s="1628"/>
      <c r="F30" s="1628"/>
      <c r="G30" s="1628"/>
      <c r="M30" s="1628"/>
      <c r="N30" s="1664"/>
      <c r="O30" s="1664"/>
      <c r="P30" s="1628"/>
    </row>
    <row r="31" spans="1:23">
      <c r="B31" s="1628"/>
      <c r="C31" s="1628"/>
      <c r="D31" s="1628"/>
      <c r="E31" s="1628"/>
      <c r="F31" s="1628"/>
      <c r="G31" s="1628"/>
      <c r="M31" s="1628"/>
      <c r="N31" s="1664"/>
      <c r="O31" s="1664"/>
      <c r="P31" s="1628"/>
    </row>
    <row r="32" spans="1:23">
      <c r="B32" s="1628"/>
      <c r="C32" s="1628"/>
      <c r="D32" s="1628"/>
      <c r="E32" s="1628"/>
      <c r="F32" s="1628"/>
      <c r="G32" s="1628"/>
      <c r="M32" s="1628"/>
      <c r="N32" s="1664"/>
      <c r="O32" s="1664"/>
      <c r="P32" s="1628"/>
    </row>
    <row r="33" spans="1:16">
      <c r="B33" s="1628"/>
      <c r="C33" s="1628"/>
      <c r="D33" s="1628"/>
      <c r="E33" s="1628"/>
      <c r="F33" s="1628"/>
      <c r="G33" s="1628"/>
      <c r="H33" s="1628"/>
      <c r="I33" s="1628"/>
      <c r="J33" s="1628"/>
      <c r="K33" s="1628"/>
      <c r="L33" s="1628"/>
      <c r="M33" s="1628"/>
      <c r="N33" s="1664"/>
      <c r="O33" s="1664"/>
      <c r="P33" s="1628"/>
    </row>
    <row r="34" spans="1:16">
      <c r="A34" s="1669"/>
      <c r="E34" s="1634"/>
      <c r="F34" s="1635"/>
      <c r="L34" s="1632"/>
      <c r="M34" s="1637"/>
      <c r="N34" s="1664"/>
      <c r="O34" s="1664"/>
      <c r="P34" s="1628"/>
    </row>
    <row r="35" spans="1:16">
      <c r="D35" s="1659"/>
      <c r="N35" s="1664"/>
      <c r="O35" s="1664"/>
    </row>
    <row r="36" spans="1:16">
      <c r="D36" s="1659"/>
      <c r="K36" s="1670"/>
      <c r="N36" s="1664"/>
      <c r="O36" s="1664"/>
    </row>
    <row r="37" spans="1:16">
      <c r="C37" s="1659"/>
      <c r="D37" s="1659"/>
      <c r="N37" s="1664"/>
      <c r="O37" s="1664"/>
    </row>
    <row r="38" spans="1:16">
      <c r="C38" s="1659"/>
      <c r="D38" s="1659"/>
      <c r="N38" s="1664"/>
      <c r="O38" s="1664"/>
    </row>
    <row r="39" spans="1:16">
      <c r="C39" s="1659"/>
      <c r="D39" s="1659"/>
    </row>
    <row r="40" spans="1:16">
      <c r="C40" s="1659"/>
      <c r="D40" s="1659"/>
    </row>
    <row r="41" spans="1:16">
      <c r="C41" s="1659"/>
      <c r="D41" s="1659"/>
    </row>
  </sheetData>
  <mergeCells count="1">
    <mergeCell ref="B3:E3"/>
  </mergeCells>
  <pageMargins left="0.7" right="0.7" top="1.0340909090909092" bottom="0.75" header="0.3" footer="0.3"/>
  <pageSetup paperSize="17" scale="87" orientation="landscape" r:id="rId1"/>
  <headerFooter>
    <oddHeader>&amp;L&amp;16&amp;K000000UG 390 CNG GRC 2020&amp;C&amp;"-,Bold"&amp;16&amp;KFF0000For Settlement Purposes Only&amp;"-,Regular"&amp;K01+000
Outstanding Long-Term Debt table
(OPUC Compiled)&amp;R&amp;16Staff/XXXX
Muldoon-Enright/&amp;P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79998168889431442"/>
    <pageSetUpPr fitToPage="1"/>
  </sheetPr>
  <dimension ref="A1:U71"/>
  <sheetViews>
    <sheetView view="pageBreakPreview" topLeftCell="A6" zoomScale="80" zoomScaleNormal="75" zoomScaleSheetLayoutView="80" workbookViewId="0">
      <selection activeCell="C21" sqref="C21:D21"/>
    </sheetView>
  </sheetViews>
  <sheetFormatPr defaultColWidth="17.88671875" defaultRowHeight="13.2"/>
  <cols>
    <col min="1" max="1" width="7.88671875" style="286" bestFit="1" customWidth="1"/>
    <col min="2" max="2" width="17.6640625" style="242" customWidth="1"/>
    <col min="3" max="3" width="11.33203125" style="242" bestFit="1" customWidth="1"/>
    <col min="4" max="4" width="8.6640625" style="242" customWidth="1"/>
    <col min="5" max="5" width="10.44140625" style="242" customWidth="1"/>
    <col min="6" max="6" width="22.44140625" style="242" customWidth="1"/>
    <col min="7" max="7" width="15.109375" style="242" customWidth="1"/>
    <col min="8" max="9" width="15.44140625" style="242" bestFit="1" customWidth="1"/>
    <col min="10" max="10" width="8.33203125" style="242" bestFit="1" customWidth="1"/>
    <col min="11" max="11" width="15.5546875" style="242" bestFit="1" customWidth="1"/>
    <col min="12" max="13" width="11.6640625" style="242" bestFit="1" customWidth="1"/>
    <col min="14" max="14" width="14" style="242" bestFit="1" customWidth="1"/>
    <col min="15" max="15" width="10.88671875" style="242" bestFit="1" customWidth="1"/>
    <col min="16" max="16" width="12" style="242" bestFit="1" customWidth="1"/>
    <col min="17" max="17" width="10.44140625" style="242" bestFit="1" customWidth="1"/>
    <col min="18" max="18" width="13.44140625" style="242" customWidth="1"/>
    <col min="19" max="19" width="15.109375" style="242" customWidth="1"/>
    <col min="20" max="20" width="26.5546875" style="242" customWidth="1"/>
    <col min="21" max="16384" width="17.88671875" style="242"/>
  </cols>
  <sheetData>
    <row r="1" spans="1:20" s="243" customFormat="1" ht="15.6">
      <c r="A1" s="405"/>
      <c r="H1" s="1926" t="s">
        <v>52</v>
      </c>
      <c r="I1" s="1926"/>
      <c r="J1" s="1926"/>
      <c r="K1" s="1926"/>
      <c r="L1" s="1926"/>
      <c r="M1" s="1926"/>
      <c r="N1" s="1926"/>
      <c r="O1" s="1926"/>
      <c r="P1" s="1926"/>
    </row>
    <row r="2" spans="1:20" s="243" customFormat="1" ht="15.6">
      <c r="A2" s="405"/>
      <c r="H2" s="1926" t="s">
        <v>1824</v>
      </c>
      <c r="I2" s="1926"/>
      <c r="J2" s="1926"/>
      <c r="K2" s="1926"/>
      <c r="L2" s="1926"/>
      <c r="M2" s="1926"/>
      <c r="N2" s="1926"/>
      <c r="O2" s="1926"/>
      <c r="P2" s="1926"/>
    </row>
    <row r="3" spans="1:20" s="243" customFormat="1" ht="15.6">
      <c r="A3" s="405"/>
      <c r="B3" s="406"/>
      <c r="H3" s="1926" t="s">
        <v>1357</v>
      </c>
      <c r="I3" s="1926"/>
      <c r="J3" s="1926"/>
      <c r="K3" s="1926"/>
      <c r="L3" s="1926"/>
      <c r="M3" s="1926"/>
      <c r="N3" s="1926"/>
      <c r="O3" s="1926"/>
      <c r="P3" s="1926"/>
    </row>
    <row r="4" spans="1:20" s="243" customFormat="1" ht="15.6">
      <c r="A4" s="405"/>
      <c r="H4" s="1926" t="s">
        <v>1079</v>
      </c>
      <c r="I4" s="1926"/>
      <c r="J4" s="1926"/>
      <c r="K4" s="1926"/>
      <c r="L4" s="1926"/>
      <c r="M4" s="1926"/>
      <c r="N4" s="1926"/>
      <c r="O4" s="1926"/>
      <c r="P4" s="1926"/>
    </row>
    <row r="5" spans="1:20" s="243" customFormat="1" ht="15.6">
      <c r="A5" s="405"/>
      <c r="B5" s="407"/>
      <c r="H5" s="1926" t="s">
        <v>1823</v>
      </c>
      <c r="I5" s="1926"/>
      <c r="J5" s="1926"/>
      <c r="K5" s="1926"/>
      <c r="L5" s="1926"/>
      <c r="M5" s="1926"/>
      <c r="N5" s="1926"/>
      <c r="O5" s="1926"/>
      <c r="P5" s="1926"/>
    </row>
    <row r="6" spans="1:20" s="405" customFormat="1" ht="15.6">
      <c r="B6" s="408" t="s">
        <v>778</v>
      </c>
      <c r="C6" s="405" t="s">
        <v>776</v>
      </c>
      <c r="D6" s="405" t="s">
        <v>777</v>
      </c>
      <c r="E6" s="405" t="s">
        <v>780</v>
      </c>
      <c r="F6" s="405" t="s">
        <v>781</v>
      </c>
      <c r="G6" s="405" t="s">
        <v>782</v>
      </c>
      <c r="H6" s="287" t="s">
        <v>783</v>
      </c>
      <c r="I6" s="287" t="s">
        <v>784</v>
      </c>
      <c r="J6" s="287" t="s">
        <v>785</v>
      </c>
      <c r="K6" s="287" t="s">
        <v>786</v>
      </c>
      <c r="L6" s="287" t="s">
        <v>787</v>
      </c>
      <c r="M6" s="287" t="s">
        <v>788</v>
      </c>
      <c r="N6" s="287" t="s">
        <v>789</v>
      </c>
      <c r="O6" s="287" t="s">
        <v>790</v>
      </c>
      <c r="P6" s="287" t="s">
        <v>791</v>
      </c>
      <c r="Q6" s="405" t="s">
        <v>995</v>
      </c>
      <c r="R6" s="405" t="s">
        <v>996</v>
      </c>
      <c r="S6" s="405" t="s">
        <v>997</v>
      </c>
      <c r="T6" s="405" t="s">
        <v>998</v>
      </c>
    </row>
    <row r="7" spans="1:20" s="243" customFormat="1" ht="14.4" thickBot="1">
      <c r="A7" s="405"/>
      <c r="B7" s="407" t="s">
        <v>1941</v>
      </c>
    </row>
    <row r="8" spans="1:20" s="243" customFormat="1">
      <c r="A8" s="405" t="s">
        <v>649</v>
      </c>
      <c r="B8" s="279"/>
      <c r="C8" s="278"/>
      <c r="D8" s="278"/>
      <c r="E8" s="277"/>
      <c r="F8" s="278"/>
      <c r="G8" s="278"/>
      <c r="H8" s="281"/>
      <c r="I8" s="281"/>
      <c r="J8" s="280"/>
      <c r="K8" s="279"/>
      <c r="L8" s="278"/>
      <c r="M8" s="278"/>
      <c r="N8" s="277"/>
      <c r="O8" s="279"/>
      <c r="P8" s="278"/>
      <c r="Q8" s="277"/>
      <c r="R8" s="279"/>
      <c r="S8" s="278"/>
      <c r="T8" s="277"/>
    </row>
    <row r="9" spans="1:20" s="243" customFormat="1">
      <c r="A9" s="405">
        <v>1</v>
      </c>
      <c r="B9" s="275" t="s">
        <v>52</v>
      </c>
      <c r="C9" s="272"/>
      <c r="D9" s="272"/>
      <c r="E9" s="271"/>
      <c r="F9" s="276" t="s">
        <v>52</v>
      </c>
      <c r="G9" s="272"/>
      <c r="H9" s="274"/>
      <c r="I9" s="274"/>
      <c r="J9" s="273"/>
      <c r="K9" s="275" t="s">
        <v>52</v>
      </c>
      <c r="L9" s="272"/>
      <c r="M9" s="272"/>
      <c r="N9" s="271"/>
      <c r="O9" s="275" t="s">
        <v>52</v>
      </c>
      <c r="P9" s="272"/>
      <c r="Q9" s="271"/>
      <c r="R9" s="275" t="s">
        <v>52</v>
      </c>
      <c r="S9" s="272"/>
      <c r="T9" s="271"/>
    </row>
    <row r="10" spans="1:20" s="243" customFormat="1" ht="15.6">
      <c r="A10" s="405">
        <v>2</v>
      </c>
      <c r="B10" s="275" t="s">
        <v>1067</v>
      </c>
      <c r="C10" s="272"/>
      <c r="D10" s="272"/>
      <c r="E10" s="271"/>
      <c r="F10" s="276" t="s">
        <v>1066</v>
      </c>
      <c r="G10" s="272"/>
      <c r="H10" s="274"/>
      <c r="I10" s="274"/>
      <c r="J10" s="273"/>
      <c r="K10" s="275" t="s">
        <v>1065</v>
      </c>
      <c r="L10" s="272"/>
      <c r="M10" s="272"/>
      <c r="N10" s="271"/>
      <c r="O10" s="275" t="s">
        <v>1064</v>
      </c>
      <c r="P10" s="272"/>
      <c r="Q10" s="271"/>
      <c r="R10" s="275" t="s">
        <v>104</v>
      </c>
      <c r="S10" s="272"/>
      <c r="T10" s="271"/>
    </row>
    <row r="11" spans="1:20" s="243" customFormat="1">
      <c r="A11" s="405">
        <v>3</v>
      </c>
      <c r="B11" s="409">
        <v>2018</v>
      </c>
      <c r="C11" s="272"/>
      <c r="D11" s="272"/>
      <c r="E11" s="271"/>
      <c r="F11" s="410">
        <f>+B11</f>
        <v>2018</v>
      </c>
      <c r="G11" s="272"/>
      <c r="H11" s="274"/>
      <c r="I11" s="274"/>
      <c r="J11" s="273"/>
      <c r="K11" s="411">
        <f>+B11</f>
        <v>2018</v>
      </c>
      <c r="L11" s="272"/>
      <c r="M11" s="272"/>
      <c r="N11" s="271"/>
      <c r="O11" s="411">
        <f>B11</f>
        <v>2018</v>
      </c>
      <c r="P11" s="272"/>
      <c r="Q11" s="271"/>
      <c r="R11" s="411">
        <f>B11</f>
        <v>2018</v>
      </c>
      <c r="S11" s="272"/>
      <c r="T11" s="271"/>
    </row>
    <row r="12" spans="1:20" s="243" customFormat="1">
      <c r="A12" s="405"/>
      <c r="B12" s="252"/>
      <c r="C12" s="251"/>
      <c r="D12" s="251"/>
      <c r="E12" s="250"/>
      <c r="F12" s="251"/>
      <c r="G12" s="251"/>
      <c r="H12" s="257"/>
      <c r="I12" s="257"/>
      <c r="J12" s="256"/>
      <c r="K12" s="252"/>
      <c r="L12" s="251"/>
      <c r="M12" s="251"/>
      <c r="N12" s="250"/>
      <c r="O12" s="252"/>
      <c r="P12" s="251"/>
      <c r="Q12" s="250"/>
      <c r="R12" s="252"/>
      <c r="S12" s="251"/>
      <c r="T12" s="250"/>
    </row>
    <row r="13" spans="1:20" s="243" customFormat="1">
      <c r="A13" s="405">
        <v>4</v>
      </c>
      <c r="B13" s="252"/>
      <c r="C13" s="251"/>
      <c r="D13" s="251"/>
      <c r="E13" s="250"/>
      <c r="F13" s="253" t="s">
        <v>1063</v>
      </c>
      <c r="G13" s="251"/>
      <c r="H13" s="269" t="s">
        <v>359</v>
      </c>
      <c r="I13" s="269" t="s">
        <v>721</v>
      </c>
      <c r="J13" s="256"/>
      <c r="K13" s="252"/>
      <c r="L13" s="251"/>
      <c r="M13" s="251"/>
      <c r="N13" s="250"/>
      <c r="O13" s="252"/>
      <c r="P13" s="251"/>
      <c r="Q13" s="250"/>
      <c r="R13" s="252"/>
      <c r="S13" s="251"/>
      <c r="T13" s="250"/>
    </row>
    <row r="14" spans="1:20" s="243" customFormat="1">
      <c r="A14" s="405">
        <v>5</v>
      </c>
      <c r="B14" s="252"/>
      <c r="C14" s="263" t="s">
        <v>359</v>
      </c>
      <c r="D14" s="263" t="s">
        <v>721</v>
      </c>
      <c r="E14" s="262" t="s">
        <v>51</v>
      </c>
      <c r="F14" s="251"/>
      <c r="G14" s="270"/>
      <c r="H14" s="269" t="s">
        <v>742</v>
      </c>
      <c r="I14" s="269" t="s">
        <v>742</v>
      </c>
      <c r="J14" s="256"/>
      <c r="K14" s="252"/>
      <c r="L14" s="251"/>
      <c r="M14" s="251"/>
      <c r="N14" s="250"/>
      <c r="O14" s="252"/>
      <c r="P14" s="265" t="s">
        <v>1062</v>
      </c>
      <c r="Q14" s="266"/>
      <c r="R14" s="259" t="s">
        <v>1061</v>
      </c>
      <c r="S14" s="251"/>
      <c r="T14" s="250"/>
    </row>
    <row r="15" spans="1:20" s="243" customFormat="1">
      <c r="A15" s="405">
        <v>6</v>
      </c>
      <c r="B15" s="252"/>
      <c r="C15" s="255"/>
      <c r="D15" s="255"/>
      <c r="E15" s="254"/>
      <c r="F15" s="251"/>
      <c r="G15" s="263" t="s">
        <v>1060</v>
      </c>
      <c r="H15" s="268" t="s">
        <v>1059</v>
      </c>
      <c r="I15" s="268" t="s">
        <v>1059</v>
      </c>
      <c r="J15" s="256"/>
      <c r="K15" s="252"/>
      <c r="L15" s="265" t="s">
        <v>359</v>
      </c>
      <c r="M15" s="265" t="s">
        <v>721</v>
      </c>
      <c r="N15" s="266"/>
      <c r="O15" s="252"/>
      <c r="P15" s="263" t="s">
        <v>1058</v>
      </c>
      <c r="Q15" s="262" t="s">
        <v>1051</v>
      </c>
      <c r="R15" s="252"/>
      <c r="S15" s="251"/>
      <c r="T15" s="250"/>
    </row>
    <row r="16" spans="1:20" s="243" customFormat="1">
      <c r="A16" s="405">
        <v>7</v>
      </c>
      <c r="B16" s="259" t="s">
        <v>1057</v>
      </c>
      <c r="C16" s="412">
        <f>Q17</f>
        <v>0.74299999999999999</v>
      </c>
      <c r="D16" s="412">
        <f>E16-C16</f>
        <v>0.25700000000000001</v>
      </c>
      <c r="E16" s="413">
        <v>1</v>
      </c>
      <c r="F16" s="251"/>
      <c r="G16" s="255"/>
      <c r="H16" s="258"/>
      <c r="I16" s="258"/>
      <c r="J16" s="256"/>
      <c r="K16" s="252"/>
      <c r="L16" s="263" t="s">
        <v>1056</v>
      </c>
      <c r="M16" s="263" t="s">
        <v>1056</v>
      </c>
      <c r="N16" s="262" t="s">
        <v>51</v>
      </c>
      <c r="O16" s="252"/>
      <c r="P16" s="255"/>
      <c r="Q16" s="254"/>
      <c r="R16" s="252"/>
      <c r="S16" s="251"/>
      <c r="T16" s="250"/>
    </row>
    <row r="17" spans="1:21" s="243" customFormat="1">
      <c r="A17" s="405">
        <v>8</v>
      </c>
      <c r="B17" s="259" t="s">
        <v>1055</v>
      </c>
      <c r="C17" s="412">
        <f>H39</f>
        <v>0.73719999999999997</v>
      </c>
      <c r="D17" s="412">
        <f>E17-C17</f>
        <v>0.26280000000000003</v>
      </c>
      <c r="E17" s="413">
        <v>1</v>
      </c>
      <c r="F17" s="251"/>
      <c r="G17" s="414">
        <v>43100</v>
      </c>
      <c r="H17" s="415">
        <v>172</v>
      </c>
      <c r="I17" s="415">
        <v>62</v>
      </c>
      <c r="J17" s="256"/>
      <c r="K17" s="252"/>
      <c r="L17" s="255"/>
      <c r="M17" s="255"/>
      <c r="N17" s="254"/>
      <c r="O17" s="259" t="s">
        <v>359</v>
      </c>
      <c r="P17" s="415">
        <f>+P62</f>
        <v>214995.91666666666</v>
      </c>
      <c r="Q17" s="413">
        <f>ROUND(P17/P21,4)</f>
        <v>0.74299999999999999</v>
      </c>
      <c r="R17" s="252"/>
      <c r="S17" s="267">
        <f>R11</f>
        <v>2018</v>
      </c>
      <c r="T17" s="266"/>
    </row>
    <row r="18" spans="1:21" s="243" customFormat="1">
      <c r="A18" s="405">
        <v>9</v>
      </c>
      <c r="B18" s="259" t="s">
        <v>1054</v>
      </c>
      <c r="C18" s="416">
        <f>L25</f>
        <v>0.77490000000000003</v>
      </c>
      <c r="D18" s="416">
        <f>E18-C18</f>
        <v>0.22509999999999997</v>
      </c>
      <c r="E18" s="417">
        <v>1</v>
      </c>
      <c r="F18" s="251"/>
      <c r="G18" s="414">
        <v>43130</v>
      </c>
      <c r="H18" s="415">
        <v>173</v>
      </c>
      <c r="I18" s="415">
        <v>62</v>
      </c>
      <c r="J18" s="256"/>
      <c r="K18" s="259" t="s">
        <v>1053</v>
      </c>
      <c r="L18" s="243">
        <v>780275999</v>
      </c>
      <c r="M18" s="243">
        <v>226716210</v>
      </c>
      <c r="N18" s="418">
        <f>SUM(L18:M18)</f>
        <v>1006992209</v>
      </c>
      <c r="O18" s="259" t="s">
        <v>721</v>
      </c>
      <c r="P18" s="419">
        <f>+Q62</f>
        <v>74376.666666666672</v>
      </c>
      <c r="Q18" s="417">
        <f>Q21-Q17</f>
        <v>0.25700000000000001</v>
      </c>
      <c r="R18" s="252"/>
      <c r="S18" s="265" t="s">
        <v>1030</v>
      </c>
      <c r="T18" s="264" t="s">
        <v>708</v>
      </c>
    </row>
    <row r="19" spans="1:21" s="243" customFormat="1">
      <c r="A19" s="405">
        <v>10</v>
      </c>
      <c r="B19" s="252"/>
      <c r="C19" s="255"/>
      <c r="D19" s="255"/>
      <c r="E19" s="254"/>
      <c r="F19" s="251"/>
      <c r="G19" s="414">
        <v>43158</v>
      </c>
      <c r="H19" s="415">
        <v>173</v>
      </c>
      <c r="I19" s="415">
        <v>60</v>
      </c>
      <c r="J19" s="256"/>
      <c r="K19" s="252"/>
      <c r="L19" s="257"/>
      <c r="M19" s="257"/>
      <c r="N19" s="256"/>
      <c r="O19" s="252"/>
      <c r="P19" s="258"/>
      <c r="Q19" s="254"/>
      <c r="R19" s="252"/>
      <c r="S19" s="263" t="s">
        <v>34</v>
      </c>
      <c r="T19" s="262" t="s">
        <v>1052</v>
      </c>
    </row>
    <row r="20" spans="1:21">
      <c r="A20" s="286">
        <v>11</v>
      </c>
      <c r="B20" s="252"/>
      <c r="C20" s="251"/>
      <c r="D20" s="251"/>
      <c r="E20" s="250"/>
      <c r="F20" s="251"/>
      <c r="G20" s="414">
        <v>43188</v>
      </c>
      <c r="H20" s="415">
        <v>173</v>
      </c>
      <c r="I20" s="415">
        <v>60</v>
      </c>
      <c r="J20" s="256"/>
      <c r="K20" s="252"/>
      <c r="L20" s="258"/>
      <c r="M20" s="258"/>
      <c r="N20" s="420"/>
      <c r="O20" s="252"/>
      <c r="P20" s="257"/>
      <c r="Q20" s="250"/>
      <c r="R20" s="252"/>
      <c r="S20" s="258"/>
      <c r="T20" s="264"/>
    </row>
    <row r="21" spans="1:21">
      <c r="A21" s="286">
        <v>12</v>
      </c>
      <c r="B21" s="259" t="s">
        <v>102</v>
      </c>
      <c r="C21" s="416">
        <f>ROUND(AVERAGE(C16:C18),4)</f>
        <v>0.75170000000000003</v>
      </c>
      <c r="D21" s="416">
        <f>AVERAGE(D16:D18)</f>
        <v>0.24829999999999999</v>
      </c>
      <c r="E21" s="417">
        <f>AVERAGE(E16:E18)</f>
        <v>1</v>
      </c>
      <c r="F21" s="251"/>
      <c r="G21" s="414">
        <v>43218</v>
      </c>
      <c r="H21" s="415">
        <v>172</v>
      </c>
      <c r="I21" s="415">
        <v>60</v>
      </c>
      <c r="J21" s="256"/>
      <c r="K21" s="252"/>
      <c r="L21" s="257"/>
      <c r="M21" s="257"/>
      <c r="N21" s="256"/>
      <c r="O21" s="259" t="s">
        <v>51</v>
      </c>
      <c r="P21" s="421">
        <f>SUM(P16:P19)</f>
        <v>289372.58333333331</v>
      </c>
      <c r="Q21" s="417">
        <v>1</v>
      </c>
      <c r="R21" s="259" t="s">
        <v>359</v>
      </c>
      <c r="S21" s="415">
        <v>302980258</v>
      </c>
      <c r="T21" s="264">
        <f>ROUND(S21/S25,4)</f>
        <v>0.75539999999999996</v>
      </c>
      <c r="U21" s="261"/>
    </row>
    <row r="22" spans="1:21">
      <c r="A22" s="286">
        <v>13</v>
      </c>
      <c r="B22" s="252"/>
      <c r="C22" s="255"/>
      <c r="D22" s="255"/>
      <c r="E22" s="254"/>
      <c r="F22" s="251"/>
      <c r="G22" s="414">
        <v>43248</v>
      </c>
      <c r="H22" s="415">
        <v>172</v>
      </c>
      <c r="I22" s="415">
        <v>59</v>
      </c>
      <c r="J22" s="256"/>
      <c r="K22" s="252"/>
      <c r="L22" s="255"/>
      <c r="M22" s="255"/>
      <c r="N22" s="254"/>
      <c r="O22" s="252"/>
      <c r="P22" s="258"/>
      <c r="Q22" s="254"/>
      <c r="R22" s="259" t="s">
        <v>721</v>
      </c>
      <c r="S22" s="415">
        <v>98079245</v>
      </c>
      <c r="T22" s="262">
        <f>T25-T21</f>
        <v>0.24460000000000004</v>
      </c>
      <c r="U22" s="261"/>
    </row>
    <row r="23" spans="1:21">
      <c r="A23" s="286">
        <v>14</v>
      </c>
      <c r="B23" s="252"/>
      <c r="C23" s="422"/>
      <c r="D23" s="251"/>
      <c r="E23" s="250"/>
      <c r="F23" s="251"/>
      <c r="G23" s="414">
        <v>43278</v>
      </c>
      <c r="H23" s="415">
        <v>179</v>
      </c>
      <c r="I23" s="415">
        <v>62</v>
      </c>
      <c r="J23" s="256"/>
      <c r="K23" s="252"/>
      <c r="L23" s="251"/>
      <c r="M23" s="251"/>
      <c r="N23" s="250"/>
      <c r="O23" s="252"/>
      <c r="P23" s="251"/>
      <c r="Q23" s="250"/>
      <c r="R23" s="252"/>
      <c r="S23" s="258"/>
      <c r="T23" s="264"/>
    </row>
    <row r="24" spans="1:21">
      <c r="A24" s="286">
        <v>15</v>
      </c>
      <c r="B24" s="252"/>
      <c r="C24" s="251"/>
      <c r="D24" s="251"/>
      <c r="E24" s="250"/>
      <c r="F24" s="251"/>
      <c r="G24" s="414">
        <v>43308</v>
      </c>
      <c r="H24" s="415">
        <v>179</v>
      </c>
      <c r="I24" s="415">
        <v>63</v>
      </c>
      <c r="J24" s="256"/>
      <c r="K24" s="252"/>
      <c r="L24" s="251"/>
      <c r="M24" s="251"/>
      <c r="N24" s="250"/>
      <c r="O24" s="252"/>
      <c r="P24" s="251"/>
      <c r="Q24" s="250"/>
      <c r="R24" s="252"/>
      <c r="S24" s="257"/>
      <c r="T24" s="266"/>
    </row>
    <row r="25" spans="1:21">
      <c r="A25" s="286">
        <v>16</v>
      </c>
      <c r="B25" s="252"/>
      <c r="C25" s="251"/>
      <c r="D25" s="251"/>
      <c r="E25" s="250"/>
      <c r="F25" s="251"/>
      <c r="G25" s="414">
        <v>43338</v>
      </c>
      <c r="H25" s="415">
        <v>177</v>
      </c>
      <c r="I25" s="415">
        <v>63</v>
      </c>
      <c r="J25" s="256"/>
      <c r="K25" s="259" t="s">
        <v>1051</v>
      </c>
      <c r="L25" s="416">
        <f>ROUND(L18/N18,4)</f>
        <v>0.77490000000000003</v>
      </c>
      <c r="M25" s="416">
        <f>N25-L25</f>
        <v>0.22509999999999997</v>
      </c>
      <c r="N25" s="417">
        <v>1</v>
      </c>
      <c r="O25" s="252"/>
      <c r="P25" s="251"/>
      <c r="Q25" s="250"/>
      <c r="R25" s="252"/>
      <c r="S25" s="421">
        <f>SUM(S20:S23)</f>
        <v>401059503</v>
      </c>
      <c r="T25" s="262">
        <v>1</v>
      </c>
    </row>
    <row r="26" spans="1:21">
      <c r="A26" s="286">
        <v>17</v>
      </c>
      <c r="B26" s="252"/>
      <c r="C26" s="251"/>
      <c r="D26" s="251"/>
      <c r="E26" s="250"/>
      <c r="F26" s="251"/>
      <c r="G26" s="414">
        <v>43368</v>
      </c>
      <c r="H26" s="415">
        <v>169</v>
      </c>
      <c r="I26" s="415">
        <v>63</v>
      </c>
      <c r="J26" s="256"/>
      <c r="K26" s="252"/>
      <c r="L26" s="255"/>
      <c r="M26" s="255"/>
      <c r="N26" s="254"/>
      <c r="O26" s="252"/>
      <c r="P26" s="251"/>
      <c r="Q26" s="250"/>
      <c r="R26" s="252"/>
      <c r="S26" s="258"/>
      <c r="T26" s="254"/>
    </row>
    <row r="27" spans="1:21">
      <c r="A27" s="286">
        <v>18</v>
      </c>
      <c r="B27" s="252"/>
      <c r="C27" s="251"/>
      <c r="D27" s="251"/>
      <c r="E27" s="250"/>
      <c r="F27" s="251"/>
      <c r="G27" s="414">
        <v>43398</v>
      </c>
      <c r="H27" s="415">
        <v>170</v>
      </c>
      <c r="I27" s="415">
        <v>63</v>
      </c>
      <c r="J27" s="256"/>
      <c r="K27" s="252"/>
      <c r="L27" s="251"/>
      <c r="M27" s="251"/>
      <c r="N27" s="250"/>
      <c r="O27" s="252"/>
      <c r="P27" s="251"/>
      <c r="Q27" s="250"/>
      <c r="R27" s="252"/>
      <c r="S27" s="257"/>
      <c r="T27" s="250"/>
    </row>
    <row r="28" spans="1:21">
      <c r="A28" s="286">
        <v>19</v>
      </c>
      <c r="B28" s="252"/>
      <c r="C28" s="251"/>
      <c r="D28" s="251"/>
      <c r="E28" s="250"/>
      <c r="F28" s="251"/>
      <c r="G28" s="414">
        <v>43428</v>
      </c>
      <c r="H28" s="415">
        <v>176</v>
      </c>
      <c r="I28" s="415">
        <v>65</v>
      </c>
      <c r="J28" s="256"/>
      <c r="K28" s="252"/>
      <c r="L28" s="260"/>
      <c r="M28" s="260"/>
      <c r="N28" s="250"/>
      <c r="O28" s="252"/>
      <c r="P28" s="251"/>
      <c r="Q28" s="250"/>
      <c r="R28" s="252"/>
      <c r="S28" s="251"/>
      <c r="T28" s="250"/>
    </row>
    <row r="29" spans="1:21">
      <c r="A29" s="286">
        <v>20</v>
      </c>
      <c r="B29" s="259" t="s">
        <v>104</v>
      </c>
      <c r="C29" s="416">
        <f>T21</f>
        <v>0.75539999999999996</v>
      </c>
      <c r="D29" s="416">
        <f>E29-C29</f>
        <v>0.24460000000000004</v>
      </c>
      <c r="E29" s="417">
        <v>1</v>
      </c>
      <c r="F29" s="251"/>
      <c r="G29" s="414">
        <v>43458</v>
      </c>
      <c r="H29" s="419">
        <v>174</v>
      </c>
      <c r="I29" s="419">
        <v>65</v>
      </c>
      <c r="J29" s="256"/>
      <c r="K29" s="259"/>
      <c r="L29" s="251"/>
      <c r="M29" s="251"/>
      <c r="N29" s="250"/>
      <c r="O29" s="252"/>
      <c r="P29" s="251"/>
      <c r="Q29" s="250"/>
      <c r="R29" s="252"/>
      <c r="S29" s="251"/>
      <c r="T29" s="250"/>
    </row>
    <row r="30" spans="1:21">
      <c r="A30" s="286">
        <v>21</v>
      </c>
      <c r="B30" s="252"/>
      <c r="C30" s="255"/>
      <c r="D30" s="255"/>
      <c r="E30" s="254"/>
      <c r="F30" s="251"/>
      <c r="G30" s="251"/>
      <c r="H30" s="258"/>
      <c r="I30" s="258" t="s">
        <v>49</v>
      </c>
      <c r="J30" s="256"/>
      <c r="K30" s="252"/>
      <c r="L30" s="251"/>
      <c r="M30" s="251"/>
      <c r="N30" s="250"/>
      <c r="O30" s="252"/>
      <c r="P30" s="251"/>
      <c r="Q30" s="250"/>
      <c r="R30" s="252"/>
      <c r="S30" s="251"/>
      <c r="T30" s="250"/>
    </row>
    <row r="31" spans="1:21">
      <c r="A31" s="286">
        <v>22</v>
      </c>
      <c r="B31" s="252"/>
      <c r="C31" s="251"/>
      <c r="D31" s="251"/>
      <c r="E31" s="250"/>
      <c r="F31" s="251"/>
      <c r="G31" s="251"/>
      <c r="H31" s="257"/>
      <c r="I31" s="257"/>
      <c r="J31" s="256"/>
      <c r="K31" s="252"/>
      <c r="L31" s="251"/>
      <c r="M31" s="251"/>
      <c r="N31" s="250"/>
      <c r="O31" s="252"/>
      <c r="P31" s="251"/>
      <c r="Q31" s="250"/>
      <c r="R31" s="252"/>
      <c r="S31" s="251"/>
      <c r="T31" s="250"/>
    </row>
    <row r="32" spans="1:21">
      <c r="A32" s="286">
        <v>23</v>
      </c>
      <c r="B32" s="252"/>
      <c r="C32" s="251"/>
      <c r="D32" s="251"/>
      <c r="E32" s="250"/>
      <c r="F32" s="251"/>
      <c r="G32" s="251"/>
      <c r="H32" s="423">
        <f>SUM(H16:H30)</f>
        <v>2259</v>
      </c>
      <c r="I32" s="423">
        <f>SUM(I16:I30)</f>
        <v>807</v>
      </c>
      <c r="J32" s="256"/>
      <c r="K32" s="252"/>
      <c r="L32" s="251"/>
      <c r="M32" s="251"/>
      <c r="N32" s="250"/>
      <c r="O32" s="252"/>
      <c r="P32" s="251"/>
      <c r="Q32" s="250"/>
      <c r="R32" s="252"/>
      <c r="S32" s="251"/>
      <c r="T32" s="250"/>
    </row>
    <row r="33" spans="1:20">
      <c r="A33" s="286">
        <v>24</v>
      </c>
      <c r="B33" s="252"/>
      <c r="C33" s="251"/>
      <c r="D33" s="251"/>
      <c r="E33" s="250"/>
      <c r="F33" s="251"/>
      <c r="G33" s="251"/>
      <c r="H33" s="257" t="s">
        <v>49</v>
      </c>
      <c r="I33" s="257" t="s">
        <v>49</v>
      </c>
      <c r="J33" s="256"/>
      <c r="K33" s="252"/>
      <c r="L33" s="251"/>
      <c r="M33" s="251"/>
      <c r="N33" s="250"/>
      <c r="O33" s="252"/>
      <c r="P33" s="251"/>
      <c r="Q33" s="250"/>
      <c r="R33" s="252"/>
      <c r="S33" s="251"/>
      <c r="T33" s="250"/>
    </row>
    <row r="34" spans="1:20">
      <c r="A34" s="286">
        <v>25</v>
      </c>
      <c r="B34" s="259"/>
      <c r="C34" s="424"/>
      <c r="D34" s="412"/>
      <c r="E34" s="413"/>
      <c r="F34" s="251"/>
      <c r="G34" s="251"/>
      <c r="H34" s="257"/>
      <c r="I34" s="257" t="s">
        <v>49</v>
      </c>
      <c r="J34" s="256"/>
      <c r="K34" s="252"/>
      <c r="L34" s="243"/>
      <c r="M34" s="251"/>
      <c r="N34" s="250"/>
      <c r="O34" s="252"/>
      <c r="P34" s="251"/>
      <c r="Q34" s="250"/>
      <c r="R34" s="252"/>
      <c r="S34" s="251"/>
      <c r="T34" s="250"/>
    </row>
    <row r="35" spans="1:20">
      <c r="A35" s="286">
        <v>26</v>
      </c>
      <c r="B35" s="252"/>
      <c r="C35" s="255"/>
      <c r="D35" s="255"/>
      <c r="E35" s="254"/>
      <c r="F35" s="253" t="s">
        <v>1050</v>
      </c>
      <c r="G35" s="251"/>
      <c r="H35" s="421">
        <f>ROUND((SUM(H18:H28)*2+H17+H29)/24,2)</f>
        <v>173.83</v>
      </c>
      <c r="I35" s="421">
        <f>ROUND((SUM(I18:I28)*2+I17+I29)/24,2)</f>
        <v>61.96</v>
      </c>
      <c r="J35" s="425">
        <f>H35+I35</f>
        <v>235.79000000000002</v>
      </c>
      <c r="K35" s="252"/>
      <c r="L35" s="251"/>
      <c r="M35" s="251"/>
      <c r="N35" s="250"/>
      <c r="O35" s="252"/>
      <c r="P35" s="251"/>
      <c r="Q35" s="250"/>
      <c r="R35" s="252"/>
      <c r="S35" s="251"/>
      <c r="T35" s="250"/>
    </row>
    <row r="36" spans="1:20">
      <c r="A36" s="286">
        <v>27</v>
      </c>
      <c r="B36" s="252"/>
      <c r="C36" s="251"/>
      <c r="D36" s="251"/>
      <c r="E36" s="250"/>
      <c r="F36" s="251"/>
      <c r="G36" s="251"/>
      <c r="H36" s="255"/>
      <c r="I36" s="255" t="s">
        <v>49</v>
      </c>
      <c r="J36" s="254"/>
      <c r="K36" s="252"/>
      <c r="L36" s="251"/>
      <c r="M36" s="251"/>
      <c r="N36" s="250"/>
      <c r="O36" s="252"/>
      <c r="P36" s="251"/>
      <c r="Q36" s="250"/>
      <c r="R36" s="252"/>
      <c r="S36" s="251"/>
      <c r="T36" s="250"/>
    </row>
    <row r="37" spans="1:20">
      <c r="A37" s="286">
        <v>28</v>
      </c>
      <c r="B37" s="252"/>
      <c r="C37" s="251"/>
      <c r="D37" s="251"/>
      <c r="E37" s="250"/>
      <c r="F37" s="251"/>
      <c r="G37" s="251"/>
      <c r="H37" s="251"/>
      <c r="I37" s="251"/>
      <c r="J37" s="250"/>
      <c r="K37" s="252"/>
      <c r="L37" s="251"/>
      <c r="M37" s="251"/>
      <c r="N37" s="250"/>
      <c r="O37" s="252"/>
      <c r="P37" s="251"/>
      <c r="Q37" s="250"/>
      <c r="R37" s="252"/>
      <c r="S37" s="251"/>
      <c r="T37" s="250"/>
    </row>
    <row r="38" spans="1:20">
      <c r="A38" s="286">
        <v>29</v>
      </c>
      <c r="B38" s="252"/>
      <c r="C38" s="251"/>
      <c r="D38" s="251"/>
      <c r="E38" s="250"/>
      <c r="F38" s="251"/>
      <c r="G38" s="251"/>
      <c r="H38" s="251"/>
      <c r="I38" s="251"/>
      <c r="J38" s="250"/>
      <c r="K38" s="252"/>
      <c r="L38" s="251"/>
      <c r="M38" s="251"/>
      <c r="N38" s="250"/>
      <c r="O38" s="252"/>
      <c r="P38" s="251"/>
      <c r="Q38" s="250"/>
      <c r="R38" s="252"/>
      <c r="S38" s="251"/>
      <c r="T38" s="250"/>
    </row>
    <row r="39" spans="1:20">
      <c r="A39" s="286">
        <v>30</v>
      </c>
      <c r="B39" s="252"/>
      <c r="C39" s="251"/>
      <c r="D39" s="251"/>
      <c r="E39" s="250"/>
      <c r="F39" s="251"/>
      <c r="G39" s="253" t="s">
        <v>1049</v>
      </c>
      <c r="H39" s="416">
        <f>ROUND(H35/J35,4)</f>
        <v>0.73719999999999997</v>
      </c>
      <c r="I39" s="416">
        <f>J39-H39</f>
        <v>0.26280000000000003</v>
      </c>
      <c r="J39" s="417">
        <v>1</v>
      </c>
      <c r="K39" s="252"/>
      <c r="L39" s="251"/>
      <c r="M39" s="251"/>
      <c r="N39" s="250"/>
      <c r="O39" s="252"/>
      <c r="P39" s="251"/>
      <c r="Q39" s="250"/>
      <c r="R39" s="252"/>
      <c r="S39" s="251"/>
      <c r="T39" s="250"/>
    </row>
    <row r="40" spans="1:20">
      <c r="A40" s="286">
        <v>31</v>
      </c>
      <c r="B40" s="252"/>
      <c r="C40" s="251"/>
      <c r="D40" s="251"/>
      <c r="E40" s="250"/>
      <c r="F40" s="251"/>
      <c r="G40" s="251"/>
      <c r="H40" s="255"/>
      <c r="I40" s="255"/>
      <c r="J40" s="254"/>
      <c r="K40" s="252"/>
      <c r="L40" s="251"/>
      <c r="M40" s="251"/>
      <c r="N40" s="250"/>
      <c r="O40" s="252"/>
      <c r="P40" s="251"/>
      <c r="Q40" s="250"/>
      <c r="R40" s="252"/>
      <c r="S40" s="251"/>
      <c r="T40" s="250"/>
    </row>
    <row r="41" spans="1:20">
      <c r="A41" s="286">
        <v>32</v>
      </c>
      <c r="B41" s="252"/>
      <c r="C41" s="251"/>
      <c r="D41" s="251"/>
      <c r="E41" s="250"/>
      <c r="F41" s="251"/>
      <c r="G41" s="251"/>
      <c r="H41" s="251"/>
      <c r="I41" s="251"/>
      <c r="J41" s="250"/>
      <c r="K41" s="252"/>
      <c r="L41" s="251"/>
      <c r="M41" s="251"/>
      <c r="N41" s="250"/>
      <c r="O41" s="252"/>
      <c r="P41" s="251"/>
      <c r="Q41" s="250"/>
      <c r="R41" s="252"/>
      <c r="S41" s="251"/>
      <c r="T41" s="250"/>
    </row>
    <row r="42" spans="1:20">
      <c r="A42" s="286">
        <v>33</v>
      </c>
      <c r="B42" s="252"/>
      <c r="C42" s="251"/>
      <c r="D42" s="251"/>
      <c r="E42" s="250"/>
      <c r="F42" s="251"/>
      <c r="G42" s="251"/>
      <c r="H42" s="251"/>
      <c r="I42" s="251"/>
      <c r="J42" s="250"/>
      <c r="K42" s="252"/>
      <c r="L42" s="251"/>
      <c r="M42" s="251"/>
      <c r="N42" s="250"/>
      <c r="O42" s="252"/>
      <c r="P42" s="251"/>
      <c r="Q42" s="250"/>
      <c r="R42" s="252"/>
      <c r="S42" s="251"/>
      <c r="T42" s="250"/>
    </row>
    <row r="43" spans="1:20">
      <c r="A43" s="286">
        <v>34</v>
      </c>
      <c r="B43" s="252"/>
      <c r="C43" s="251"/>
      <c r="D43" s="251"/>
      <c r="E43" s="250"/>
      <c r="F43" s="253" t="s">
        <v>1048</v>
      </c>
      <c r="G43" s="251"/>
      <c r="H43" s="251"/>
      <c r="I43" s="251"/>
      <c r="J43" s="250"/>
      <c r="K43" s="252"/>
      <c r="L43" s="251"/>
      <c r="M43" s="251"/>
      <c r="N43" s="250"/>
      <c r="O43" s="252"/>
      <c r="P43" s="251"/>
      <c r="Q43" s="250"/>
      <c r="R43" s="252"/>
      <c r="S43" s="251"/>
      <c r="T43" s="250"/>
    </row>
    <row r="44" spans="1:20">
      <c r="A44" s="286">
        <v>35</v>
      </c>
      <c r="B44" s="252"/>
      <c r="C44" s="251"/>
      <c r="D44" s="251"/>
      <c r="E44" s="250"/>
      <c r="F44" s="253"/>
      <c r="G44" s="251"/>
      <c r="H44" s="251"/>
      <c r="I44" s="251"/>
      <c r="J44" s="250"/>
      <c r="K44" s="252"/>
      <c r="L44" s="251"/>
      <c r="M44" s="251"/>
      <c r="N44" s="250"/>
      <c r="O44" s="252"/>
      <c r="P44" s="251"/>
      <c r="Q44" s="250"/>
      <c r="R44" s="252"/>
      <c r="S44" s="251"/>
      <c r="T44" s="250"/>
    </row>
    <row r="45" spans="1:20" ht="13.8" thickBot="1">
      <c r="A45" s="286">
        <v>36</v>
      </c>
      <c r="B45" s="248"/>
      <c r="C45" s="247"/>
      <c r="D45" s="247"/>
      <c r="E45" s="246"/>
      <c r="F45" s="249"/>
      <c r="G45" s="247"/>
      <c r="H45" s="247"/>
      <c r="I45" s="247"/>
      <c r="J45" s="246"/>
      <c r="K45" s="248"/>
      <c r="L45" s="247"/>
      <c r="M45" s="247"/>
      <c r="N45" s="246"/>
      <c r="O45" s="248"/>
      <c r="P45" s="247"/>
      <c r="Q45" s="246"/>
      <c r="R45" s="248"/>
      <c r="S45" s="247"/>
      <c r="T45" s="246"/>
    </row>
    <row r="46" spans="1:20">
      <c r="A46" s="286">
        <v>37</v>
      </c>
      <c r="B46" s="243"/>
      <c r="C46" s="243"/>
      <c r="D46" s="243"/>
      <c r="E46" s="243"/>
      <c r="F46" s="243"/>
      <c r="G46" s="243"/>
      <c r="H46" s="243"/>
      <c r="I46" s="243"/>
      <c r="J46" s="243"/>
      <c r="K46" s="243"/>
      <c r="L46" s="243"/>
      <c r="M46" s="243"/>
      <c r="N46" s="243"/>
      <c r="O46" s="243"/>
      <c r="P46" s="243"/>
      <c r="Q46" s="243"/>
      <c r="R46" s="243"/>
      <c r="S46" s="243"/>
      <c r="T46" s="243"/>
    </row>
    <row r="47" spans="1:20">
      <c r="A47" s="286">
        <v>38</v>
      </c>
      <c r="B47" s="243"/>
      <c r="C47" s="243"/>
      <c r="D47" s="243"/>
      <c r="E47" s="243"/>
      <c r="F47" s="243"/>
      <c r="G47" s="243"/>
      <c r="H47" s="243"/>
      <c r="I47" s="243"/>
      <c r="J47" s="243"/>
      <c r="K47" s="243"/>
      <c r="L47" s="243"/>
      <c r="M47" s="243"/>
      <c r="N47" s="243"/>
      <c r="O47" s="243"/>
      <c r="P47" s="243"/>
      <c r="Q47" s="243"/>
      <c r="R47" s="243"/>
      <c r="S47" s="243"/>
      <c r="T47" s="243"/>
    </row>
    <row r="48" spans="1:20" ht="15.6">
      <c r="A48" s="286">
        <v>39</v>
      </c>
      <c r="B48" s="243" t="s">
        <v>1047</v>
      </c>
      <c r="C48" s="243"/>
      <c r="D48" s="243"/>
      <c r="E48" s="243"/>
      <c r="F48" s="243"/>
      <c r="G48" s="243"/>
      <c r="H48" s="243"/>
      <c r="I48" s="243"/>
      <c r="J48" s="243"/>
      <c r="K48" s="243"/>
      <c r="L48" s="243"/>
      <c r="M48" s="243"/>
      <c r="N48" s="243"/>
      <c r="O48" s="243"/>
      <c r="P48" s="243"/>
      <c r="Q48" s="243"/>
      <c r="R48" s="243"/>
      <c r="S48" s="243"/>
      <c r="T48" s="243"/>
    </row>
    <row r="49" spans="1:20" ht="15.6">
      <c r="A49" s="286">
        <v>40</v>
      </c>
      <c r="B49" s="243" t="s">
        <v>1046</v>
      </c>
      <c r="C49" s="243"/>
      <c r="D49" s="243"/>
      <c r="E49" s="243"/>
      <c r="F49" s="243"/>
      <c r="G49" s="243"/>
      <c r="H49" s="243"/>
      <c r="I49" s="243"/>
      <c r="J49" s="243"/>
      <c r="K49" s="243"/>
      <c r="L49" s="243"/>
      <c r="M49" s="243"/>
      <c r="N49" s="243"/>
      <c r="O49" s="426">
        <v>2018</v>
      </c>
      <c r="P49" s="427" t="s">
        <v>1045</v>
      </c>
      <c r="Q49" s="427" t="s">
        <v>1044</v>
      </c>
      <c r="R49" s="427" t="s">
        <v>51</v>
      </c>
      <c r="S49" s="243"/>
      <c r="T49" s="243"/>
    </row>
    <row r="50" spans="1:20" ht="15.6">
      <c r="A50" s="286">
        <v>41</v>
      </c>
      <c r="B50" s="243" t="s">
        <v>1043</v>
      </c>
      <c r="C50" s="243"/>
      <c r="D50" s="243"/>
      <c r="E50" s="243"/>
      <c r="F50" s="243"/>
      <c r="G50" s="243"/>
      <c r="H50" s="243"/>
      <c r="I50" s="243"/>
      <c r="J50" s="243"/>
      <c r="K50" s="243"/>
      <c r="L50" s="243"/>
      <c r="M50" s="245"/>
      <c r="N50" s="245"/>
      <c r="O50" s="243" t="s">
        <v>1042</v>
      </c>
      <c r="P50" s="243">
        <v>214279</v>
      </c>
      <c r="Q50" s="243">
        <v>73776</v>
      </c>
      <c r="R50" s="243">
        <f t="shared" ref="R50:R61" si="0">SUM(P50:Q50)</f>
        <v>288055</v>
      </c>
      <c r="S50" s="243" t="s">
        <v>49</v>
      </c>
      <c r="T50" s="243"/>
    </row>
    <row r="51" spans="1:20">
      <c r="B51" s="243"/>
      <c r="C51" s="243"/>
      <c r="D51" s="243"/>
      <c r="E51" s="243"/>
      <c r="F51" s="243"/>
      <c r="G51" s="243"/>
      <c r="H51" s="243"/>
      <c r="I51" s="243"/>
      <c r="J51" s="243"/>
      <c r="K51" s="243"/>
      <c r="L51" s="243"/>
      <c r="M51" s="245"/>
      <c r="N51" s="245"/>
      <c r="O51" s="243" t="s">
        <v>1041</v>
      </c>
      <c r="P51" s="243">
        <v>214536</v>
      </c>
      <c r="Q51" s="243">
        <v>73971</v>
      </c>
      <c r="R51" s="243">
        <f t="shared" si="0"/>
        <v>288507</v>
      </c>
      <c r="S51" s="243"/>
      <c r="T51" s="243"/>
    </row>
    <row r="52" spans="1:20">
      <c r="B52" s="243"/>
      <c r="C52" s="243"/>
      <c r="D52" s="243"/>
      <c r="E52" s="243"/>
      <c r="F52" s="243"/>
      <c r="G52" s="243"/>
      <c r="H52" s="243"/>
      <c r="I52" s="243"/>
      <c r="J52" s="243"/>
      <c r="K52" s="243"/>
      <c r="L52" s="243"/>
      <c r="M52" s="245"/>
      <c r="N52" s="245"/>
      <c r="O52" s="243" t="s">
        <v>1040</v>
      </c>
      <c r="P52" s="243">
        <v>214618</v>
      </c>
      <c r="Q52" s="243">
        <v>74033</v>
      </c>
      <c r="R52" s="243">
        <f t="shared" si="0"/>
        <v>288651</v>
      </c>
      <c r="S52" s="243"/>
      <c r="T52" s="243"/>
    </row>
    <row r="53" spans="1:20">
      <c r="B53" s="243"/>
      <c r="C53" s="243"/>
      <c r="D53" s="243"/>
      <c r="E53" s="243"/>
      <c r="F53" s="243"/>
      <c r="G53" s="243"/>
      <c r="H53" s="243"/>
      <c r="I53" s="243"/>
      <c r="J53" s="243"/>
      <c r="K53" s="243"/>
      <c r="L53" s="243"/>
      <c r="M53" s="245"/>
      <c r="N53" s="245"/>
      <c r="O53" s="243" t="s">
        <v>1039</v>
      </c>
      <c r="P53" s="243">
        <v>214470</v>
      </c>
      <c r="Q53" s="243">
        <v>74085</v>
      </c>
      <c r="R53" s="243">
        <f t="shared" si="0"/>
        <v>288555</v>
      </c>
      <c r="S53" s="243"/>
      <c r="T53" s="243"/>
    </row>
    <row r="54" spans="1:20">
      <c r="B54" s="243"/>
      <c r="C54" s="243"/>
      <c r="D54" s="243"/>
      <c r="E54" s="243"/>
      <c r="F54" s="243"/>
      <c r="G54" s="243"/>
      <c r="H54" s="243"/>
      <c r="I54" s="243"/>
      <c r="J54" s="243"/>
      <c r="K54" s="243"/>
      <c r="L54" s="243"/>
      <c r="M54" s="245"/>
      <c r="N54" s="245"/>
      <c r="O54" s="243" t="s">
        <v>1038</v>
      </c>
      <c r="P54" s="243">
        <v>214194</v>
      </c>
      <c r="Q54" s="243">
        <v>74048</v>
      </c>
      <c r="R54" s="243">
        <f t="shared" si="0"/>
        <v>288242</v>
      </c>
      <c r="S54" s="243"/>
      <c r="T54" s="243"/>
    </row>
    <row r="55" spans="1:20">
      <c r="B55" s="243"/>
      <c r="C55" s="243"/>
      <c r="D55" s="243"/>
      <c r="E55" s="243"/>
      <c r="F55" s="243"/>
      <c r="G55" s="243"/>
      <c r="H55" s="243"/>
      <c r="I55" s="243"/>
      <c r="J55" s="243"/>
      <c r="K55" s="243"/>
      <c r="L55" s="243"/>
      <c r="M55" s="245"/>
      <c r="N55" s="245"/>
      <c r="O55" s="243" t="s">
        <v>1037</v>
      </c>
      <c r="P55" s="243">
        <v>214055</v>
      </c>
      <c r="Q55" s="243">
        <v>74097</v>
      </c>
      <c r="R55" s="243">
        <f t="shared" si="0"/>
        <v>288152</v>
      </c>
      <c r="S55" s="243"/>
      <c r="T55" s="243"/>
    </row>
    <row r="56" spans="1:20">
      <c r="B56" s="243"/>
      <c r="C56" s="243"/>
      <c r="D56" s="243"/>
      <c r="E56" s="243"/>
      <c r="F56" s="243"/>
      <c r="G56" s="243"/>
      <c r="H56" s="243"/>
      <c r="I56" s="243"/>
      <c r="J56" s="243"/>
      <c r="K56" s="243"/>
      <c r="L56" s="243"/>
      <c r="M56" s="245"/>
      <c r="N56" s="245"/>
      <c r="O56" s="243" t="s">
        <v>1036</v>
      </c>
      <c r="P56" s="243">
        <v>213963</v>
      </c>
      <c r="Q56" s="243">
        <v>74066</v>
      </c>
      <c r="R56" s="243">
        <f t="shared" si="0"/>
        <v>288029</v>
      </c>
      <c r="S56" s="243"/>
      <c r="T56" s="243"/>
    </row>
    <row r="57" spans="1:20">
      <c r="B57" s="243"/>
      <c r="C57" s="243"/>
      <c r="D57" s="243"/>
      <c r="E57" s="243"/>
      <c r="F57" s="243"/>
      <c r="G57" s="243"/>
      <c r="H57" s="243"/>
      <c r="I57" s="243"/>
      <c r="J57" s="243"/>
      <c r="K57" s="243"/>
      <c r="L57" s="243"/>
      <c r="M57" s="245"/>
      <c r="N57" s="245"/>
      <c r="O57" s="243" t="s">
        <v>1035</v>
      </c>
      <c r="P57" s="243">
        <v>214061</v>
      </c>
      <c r="Q57" s="243">
        <v>74072</v>
      </c>
      <c r="R57" s="243">
        <f t="shared" si="0"/>
        <v>288133</v>
      </c>
      <c r="S57" s="243"/>
      <c r="T57" s="243"/>
    </row>
    <row r="58" spans="1:20">
      <c r="B58" s="243"/>
      <c r="C58" s="243"/>
      <c r="D58" s="243"/>
      <c r="E58" s="243"/>
      <c r="F58" s="243"/>
      <c r="G58" s="243"/>
      <c r="H58" s="243"/>
      <c r="I58" s="243"/>
      <c r="J58" s="243"/>
      <c r="K58" s="243"/>
      <c r="L58" s="243"/>
      <c r="M58" s="245"/>
      <c r="N58" s="245"/>
      <c r="O58" s="243" t="s">
        <v>1034</v>
      </c>
      <c r="P58" s="243">
        <v>214655</v>
      </c>
      <c r="Q58" s="243">
        <v>74412</v>
      </c>
      <c r="R58" s="243">
        <f t="shared" si="0"/>
        <v>289067</v>
      </c>
      <c r="S58" s="243"/>
      <c r="T58" s="243"/>
    </row>
    <row r="59" spans="1:20">
      <c r="F59" s="243"/>
      <c r="G59" s="243"/>
      <c r="H59" s="243"/>
      <c r="I59" s="243"/>
      <c r="J59" s="243"/>
      <c r="K59" s="243"/>
      <c r="L59" s="243"/>
      <c r="M59" s="245"/>
      <c r="N59" s="245"/>
      <c r="O59" s="243" t="s">
        <v>1033</v>
      </c>
      <c r="P59" s="243">
        <v>216130</v>
      </c>
      <c r="Q59" s="243">
        <v>74958</v>
      </c>
      <c r="R59" s="243">
        <f t="shared" si="0"/>
        <v>291088</v>
      </c>
      <c r="S59" s="243"/>
      <c r="T59" s="243"/>
    </row>
    <row r="60" spans="1:20">
      <c r="F60" s="243"/>
      <c r="G60" s="243"/>
      <c r="H60" s="243"/>
      <c r="I60" s="243"/>
      <c r="J60" s="243"/>
      <c r="K60" s="243"/>
      <c r="L60" s="243"/>
      <c r="M60" s="245"/>
      <c r="N60" s="245"/>
      <c r="O60" s="243" t="s">
        <v>1032</v>
      </c>
      <c r="P60" s="243">
        <v>217223</v>
      </c>
      <c r="Q60" s="243">
        <v>75393</v>
      </c>
      <c r="R60" s="243">
        <f t="shared" si="0"/>
        <v>292616</v>
      </c>
      <c r="S60" s="243"/>
      <c r="T60" s="243"/>
    </row>
    <row r="61" spans="1:20">
      <c r="F61" s="243"/>
      <c r="G61" s="243"/>
      <c r="H61" s="243"/>
      <c r="I61" s="243"/>
      <c r="J61" s="243"/>
      <c r="K61" s="243"/>
      <c r="L61" s="243"/>
      <c r="M61" s="245"/>
      <c r="N61" s="245"/>
      <c r="O61" s="243" t="s">
        <v>1031</v>
      </c>
      <c r="P61" s="427">
        <v>217767</v>
      </c>
      <c r="Q61" s="427">
        <v>75609</v>
      </c>
      <c r="R61" s="243">
        <f t="shared" si="0"/>
        <v>293376</v>
      </c>
      <c r="S61" s="243"/>
      <c r="T61" s="243"/>
    </row>
    <row r="62" spans="1:20">
      <c r="F62" s="243"/>
      <c r="G62" s="243"/>
      <c r="H62" s="243"/>
      <c r="I62" s="243"/>
      <c r="J62" s="243"/>
      <c r="K62" s="243"/>
      <c r="L62" s="243"/>
      <c r="M62" s="243"/>
      <c r="N62" s="243"/>
      <c r="O62" s="243" t="s">
        <v>1030</v>
      </c>
      <c r="P62" s="243">
        <f>AVERAGE(P50:P61)</f>
        <v>214995.91666666666</v>
      </c>
      <c r="Q62" s="243">
        <f>AVERAGE(Q50:Q61)</f>
        <v>74376.666666666672</v>
      </c>
      <c r="R62" s="243"/>
      <c r="S62" s="243"/>
      <c r="T62" s="243"/>
    </row>
    <row r="63" spans="1:20">
      <c r="F63" s="243"/>
      <c r="G63" s="243"/>
      <c r="H63" s="243"/>
      <c r="I63" s="243"/>
      <c r="J63" s="243"/>
      <c r="K63" s="243"/>
      <c r="L63" s="243"/>
      <c r="M63" s="243"/>
      <c r="N63" s="243"/>
      <c r="O63" s="243"/>
      <c r="P63" s="244"/>
      <c r="Q63" s="244"/>
      <c r="R63" s="243"/>
      <c r="S63" s="243"/>
      <c r="T63" s="243"/>
    </row>
    <row r="64" spans="1:20">
      <c r="F64" s="243"/>
      <c r="G64" s="243"/>
      <c r="H64" s="243"/>
      <c r="I64" s="243"/>
      <c r="J64" s="243"/>
      <c r="K64" s="243"/>
      <c r="L64" s="243"/>
      <c r="M64" s="243"/>
      <c r="N64" s="243"/>
      <c r="O64" s="243"/>
      <c r="P64" s="243"/>
      <c r="Q64" s="243"/>
      <c r="R64" s="243"/>
      <c r="S64" s="243"/>
      <c r="T64" s="243"/>
    </row>
    <row r="65" spans="6:20">
      <c r="F65" s="243"/>
      <c r="G65" s="243"/>
      <c r="H65" s="243"/>
      <c r="I65" s="243"/>
      <c r="J65" s="243"/>
      <c r="K65" s="243"/>
      <c r="L65" s="243"/>
      <c r="M65" s="243"/>
      <c r="N65" s="243"/>
      <c r="O65" s="243"/>
      <c r="P65" s="243"/>
      <c r="Q65" s="243"/>
      <c r="R65" s="243"/>
      <c r="S65" s="243"/>
      <c r="T65" s="243"/>
    </row>
    <row r="66" spans="6:20">
      <c r="F66" s="243"/>
      <c r="G66" s="243"/>
      <c r="H66" s="243"/>
      <c r="I66" s="243"/>
      <c r="J66" s="243"/>
      <c r="K66" s="243"/>
      <c r="L66" s="243"/>
      <c r="M66" s="243"/>
      <c r="N66" s="243"/>
      <c r="O66" s="243"/>
      <c r="P66" s="243"/>
      <c r="Q66" s="243"/>
      <c r="R66" s="243"/>
      <c r="S66" s="243"/>
      <c r="T66" s="243"/>
    </row>
    <row r="67" spans="6:20">
      <c r="F67" s="243"/>
      <c r="G67" s="243"/>
      <c r="H67" s="243"/>
      <c r="I67" s="243"/>
      <c r="J67" s="243"/>
      <c r="K67" s="243"/>
      <c r="L67" s="243"/>
      <c r="M67" s="243"/>
      <c r="N67" s="243"/>
      <c r="O67" s="243"/>
      <c r="P67" s="243"/>
      <c r="Q67" s="243"/>
      <c r="R67" s="243"/>
      <c r="S67" s="243"/>
      <c r="T67" s="243"/>
    </row>
    <row r="68" spans="6:20">
      <c r="F68" s="243"/>
      <c r="G68" s="243"/>
      <c r="H68" s="243"/>
      <c r="I68" s="243"/>
      <c r="J68" s="243"/>
      <c r="K68" s="243"/>
      <c r="L68" s="243"/>
      <c r="M68" s="243"/>
      <c r="N68" s="243"/>
      <c r="O68" s="243"/>
      <c r="P68" s="243"/>
      <c r="Q68" s="243"/>
      <c r="R68" s="243"/>
      <c r="S68" s="243"/>
      <c r="T68" s="243"/>
    </row>
    <row r="69" spans="6:20">
      <c r="F69" s="243"/>
      <c r="G69" s="243"/>
      <c r="H69" s="243"/>
      <c r="I69" s="243"/>
      <c r="J69" s="243"/>
      <c r="K69" s="243"/>
      <c r="L69" s="243"/>
      <c r="M69" s="243"/>
      <c r="N69" s="243"/>
      <c r="O69" s="243"/>
      <c r="P69" s="243"/>
      <c r="Q69" s="243"/>
      <c r="R69" s="243"/>
      <c r="S69" s="243"/>
      <c r="T69" s="243"/>
    </row>
    <row r="70" spans="6:20">
      <c r="F70" s="243"/>
      <c r="G70" s="243"/>
      <c r="H70" s="243"/>
      <c r="I70" s="243"/>
      <c r="J70" s="243"/>
      <c r="K70" s="243"/>
      <c r="L70" s="243"/>
      <c r="M70" s="243"/>
      <c r="N70" s="243"/>
      <c r="O70" s="243"/>
      <c r="P70" s="243"/>
      <c r="Q70" s="243"/>
      <c r="R70" s="243"/>
      <c r="S70" s="243"/>
      <c r="T70" s="243"/>
    </row>
    <row r="71" spans="6:20">
      <c r="F71" s="243"/>
      <c r="G71" s="243"/>
      <c r="H71" s="243"/>
      <c r="I71" s="243"/>
      <c r="J71" s="243"/>
      <c r="K71" s="243"/>
      <c r="L71" s="243"/>
      <c r="M71" s="243"/>
      <c r="N71" s="243"/>
      <c r="O71" s="243"/>
      <c r="P71" s="243"/>
      <c r="Q71" s="243"/>
      <c r="R71" s="243"/>
      <c r="S71" s="243"/>
      <c r="T71" s="243"/>
    </row>
  </sheetData>
  <mergeCells count="5">
    <mergeCell ref="H1:P1"/>
    <mergeCell ref="H2:P2"/>
    <mergeCell ref="H3:P3"/>
    <mergeCell ref="H4:P4"/>
    <mergeCell ref="H5:P5"/>
  </mergeCells>
  <printOptions horizontalCentered="1"/>
  <pageMargins left="0.31" right="0.3" top="1" bottom="1" header="0.5" footer="0.5"/>
  <pageSetup scale="42"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tabColor theme="7" tint="0.79998168889431442"/>
  </sheetPr>
  <dimension ref="A1:M12"/>
  <sheetViews>
    <sheetView view="pageBreakPreview" zoomScale="80" zoomScaleNormal="100" zoomScaleSheetLayoutView="80" workbookViewId="0">
      <selection activeCell="D11" sqref="D11"/>
    </sheetView>
  </sheetViews>
  <sheetFormatPr defaultRowHeight="14.4"/>
  <cols>
    <col min="1" max="1" width="6.6640625" style="583" bestFit="1" customWidth="1"/>
    <col min="2" max="2" width="24.44140625" bestFit="1" customWidth="1"/>
    <col min="3" max="3" width="3.5546875" style="613" customWidth="1"/>
    <col min="4" max="4" width="20.44140625" bestFit="1" customWidth="1"/>
    <col min="5" max="5" width="1.6640625" customWidth="1"/>
  </cols>
  <sheetData>
    <row r="1" spans="1:13" ht="15.6">
      <c r="B1" s="1926" t="s">
        <v>52</v>
      </c>
      <c r="C1" s="1926"/>
      <c r="D1" s="1926"/>
      <c r="E1" s="1926"/>
      <c r="F1" s="1926"/>
      <c r="G1" s="1926"/>
      <c r="H1" s="1926"/>
      <c r="I1" s="2"/>
      <c r="J1" s="2"/>
      <c r="K1" s="2"/>
      <c r="L1" s="2"/>
      <c r="M1" s="2"/>
    </row>
    <row r="2" spans="1:13" ht="15.6">
      <c r="B2" s="1926" t="s">
        <v>1943</v>
      </c>
      <c r="C2" s="1926"/>
      <c r="D2" s="1926"/>
      <c r="E2" s="1926"/>
      <c r="F2" s="1926"/>
      <c r="G2" s="1926"/>
      <c r="H2" s="1926"/>
      <c r="I2" s="2"/>
      <c r="J2" s="2"/>
      <c r="K2" s="2"/>
      <c r="L2" s="2"/>
      <c r="M2" s="2"/>
    </row>
    <row r="3" spans="1:13" ht="15.6">
      <c r="B3" s="1926" t="s">
        <v>1260</v>
      </c>
      <c r="C3" s="1926"/>
      <c r="D3" s="1926"/>
      <c r="E3" s="1926"/>
      <c r="F3" s="1926"/>
      <c r="G3" s="1926"/>
      <c r="H3" s="1926"/>
      <c r="I3" s="2"/>
      <c r="J3" s="2"/>
      <c r="K3" s="2"/>
      <c r="L3" s="2"/>
      <c r="M3" s="2"/>
    </row>
    <row r="4" spans="1:13" ht="15.6">
      <c r="B4" s="1954" t="s">
        <v>1812</v>
      </c>
      <c r="C4" s="1954"/>
      <c r="D4" s="1954"/>
      <c r="E4" s="1954"/>
      <c r="F4" s="1954"/>
      <c r="G4" s="1954"/>
      <c r="H4" s="1954"/>
      <c r="I4" s="612"/>
      <c r="J4" s="612"/>
      <c r="K4" s="612"/>
      <c r="L4" s="612"/>
      <c r="M4" s="612"/>
    </row>
    <row r="5" spans="1:13" ht="15.6">
      <c r="B5" s="1926" t="s">
        <v>1823</v>
      </c>
      <c r="C5" s="1926"/>
      <c r="D5" s="1926"/>
      <c r="E5" s="1926"/>
      <c r="F5" s="1926"/>
      <c r="G5" s="1926"/>
      <c r="H5" s="1926"/>
      <c r="I5" s="2"/>
      <c r="J5" s="2"/>
      <c r="K5" s="2"/>
      <c r="L5" s="2"/>
      <c r="M5" s="2"/>
    </row>
    <row r="8" spans="1:13">
      <c r="A8" s="583" t="s">
        <v>1822</v>
      </c>
    </row>
    <row r="9" spans="1:13" ht="15.6">
      <c r="A9" s="583">
        <v>1</v>
      </c>
      <c r="B9" s="1595" t="s">
        <v>1809</v>
      </c>
      <c r="C9" s="638"/>
      <c r="D9" s="803">
        <f>'Exh 2, Proof of Revenue'!AC587</f>
        <v>965833</v>
      </c>
      <c r="F9" s="1594" t="s">
        <v>3158</v>
      </c>
      <c r="G9" s="3"/>
    </row>
    <row r="10" spans="1:13" ht="15.6">
      <c r="A10" s="583">
        <v>2</v>
      </c>
      <c r="B10" s="1596" t="s">
        <v>1810</v>
      </c>
      <c r="C10" s="639"/>
      <c r="D10" s="803">
        <f>'Exh 2, Proof of Revenue'!AC588</f>
        <v>-3879096.7900000024</v>
      </c>
      <c r="F10" s="1594" t="s">
        <v>3159</v>
      </c>
      <c r="G10" s="3"/>
    </row>
    <row r="11" spans="1:13" ht="16.2" thickBot="1">
      <c r="A11" s="583">
        <v>3</v>
      </c>
      <c r="B11" s="1596" t="s">
        <v>1811</v>
      </c>
      <c r="C11" s="639"/>
      <c r="D11" s="804">
        <f>+D9+D10</f>
        <v>-2913263.7900000024</v>
      </c>
      <c r="F11" s="1594" t="s">
        <v>3160</v>
      </c>
      <c r="G11" s="3"/>
    </row>
    <row r="12" spans="1:13" ht="15" thickTop="1">
      <c r="B12" s="1"/>
      <c r="C12" s="1"/>
      <c r="D12" s="1"/>
    </row>
  </sheetData>
  <mergeCells count="5">
    <mergeCell ref="B1:H1"/>
    <mergeCell ref="B2:H2"/>
    <mergeCell ref="B3:H3"/>
    <mergeCell ref="B4:H4"/>
    <mergeCell ref="B5:H5"/>
  </mergeCells>
  <pageMargins left="0.7" right="0.7" top="0.75" bottom="0.75" header="0.3" footer="0.3"/>
  <pageSetup scale="94" orientation="portrait" r:id="rId1"/>
  <headerFooter scaleWithDoc="0" alignWithMargins="0">
    <oddHeader>&amp;R&amp;P of &amp;N</oddHeader>
    <oddFooter>&amp;LElectronic Tab Name: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7" tint="0.79998168889431442"/>
  </sheetPr>
  <dimension ref="A1:H160"/>
  <sheetViews>
    <sheetView showGridLines="0" view="pageBreakPreview" topLeftCell="A7" zoomScale="80" zoomScaleNormal="100" zoomScaleSheetLayoutView="80" workbookViewId="0">
      <selection activeCell="F27" sqref="F27"/>
    </sheetView>
  </sheetViews>
  <sheetFormatPr defaultColWidth="9.109375" defaultRowHeight="15.6"/>
  <cols>
    <col min="1" max="1" width="9.33203125" style="15" bestFit="1" customWidth="1"/>
    <col min="2" max="2" width="35.44140625" style="14" bestFit="1" customWidth="1"/>
    <col min="3" max="3" width="32.5546875" style="14" bestFit="1" customWidth="1"/>
    <col min="4" max="5" width="14" style="14" bestFit="1" customWidth="1"/>
    <col min="6" max="6" width="14.44140625" style="14" bestFit="1" customWidth="1"/>
    <col min="7" max="7" width="5.88671875" style="14" bestFit="1" customWidth="1"/>
    <col min="8" max="8" width="9.109375" style="14"/>
    <col min="9" max="16384" width="9.109375" style="3"/>
  </cols>
  <sheetData>
    <row r="1" spans="1:7">
      <c r="B1" s="1955" t="s">
        <v>52</v>
      </c>
      <c r="C1" s="1955"/>
      <c r="D1" s="1955"/>
      <c r="E1" s="1955"/>
      <c r="F1" s="1955"/>
      <c r="G1" s="1955"/>
    </row>
    <row r="2" spans="1:7">
      <c r="B2" s="693"/>
      <c r="C2" s="238" t="s">
        <v>1987</v>
      </c>
      <c r="D2" s="238"/>
      <c r="E2" s="238"/>
      <c r="F2" s="238"/>
      <c r="G2" s="238"/>
    </row>
    <row r="3" spans="1:7">
      <c r="B3" s="238"/>
      <c r="C3" s="238" t="s">
        <v>1255</v>
      </c>
      <c r="D3" s="238"/>
      <c r="E3" s="238"/>
      <c r="F3" s="238"/>
      <c r="G3" s="238"/>
    </row>
    <row r="4" spans="1:7">
      <c r="B4" s="1955" t="s">
        <v>68</v>
      </c>
      <c r="C4" s="1955"/>
      <c r="D4" s="1955"/>
      <c r="E4" s="1955"/>
      <c r="F4" s="1955"/>
      <c r="G4" s="1955"/>
    </row>
    <row r="5" spans="1:7">
      <c r="B5" s="1955" t="s">
        <v>1823</v>
      </c>
      <c r="C5" s="1955"/>
      <c r="D5" s="1955"/>
      <c r="E5" s="1955"/>
      <c r="F5" s="1955"/>
      <c r="G5" s="1955"/>
    </row>
    <row r="6" spans="1:7">
      <c r="B6" s="238"/>
      <c r="C6" s="238"/>
      <c r="D6" s="238"/>
      <c r="E6" s="238"/>
      <c r="F6" s="238"/>
      <c r="G6" s="238"/>
    </row>
    <row r="7" spans="1:7">
      <c r="B7" s="215" t="s">
        <v>778</v>
      </c>
      <c r="C7" s="215" t="s">
        <v>776</v>
      </c>
      <c r="D7" s="215" t="s">
        <v>777</v>
      </c>
      <c r="E7" s="215" t="s">
        <v>780</v>
      </c>
      <c r="F7" s="215" t="s">
        <v>781</v>
      </c>
      <c r="G7" s="441" t="s">
        <v>782</v>
      </c>
    </row>
    <row r="8" spans="1:7">
      <c r="B8" s="216"/>
      <c r="C8" s="216"/>
      <c r="D8" s="216"/>
      <c r="E8" s="1956" t="s">
        <v>730</v>
      </c>
      <c r="F8" s="216"/>
      <c r="G8" s="216"/>
    </row>
    <row r="9" spans="1:7">
      <c r="A9" s="429" t="s">
        <v>649</v>
      </c>
      <c r="B9" s="216"/>
      <c r="C9" s="216"/>
      <c r="D9" s="215" t="s">
        <v>729</v>
      </c>
      <c r="E9" s="1957"/>
      <c r="F9" s="215" t="s">
        <v>2006</v>
      </c>
      <c r="G9" s="216"/>
    </row>
    <row r="10" spans="1:7">
      <c r="A10" s="15">
        <v>1</v>
      </c>
      <c r="B10" s="217" t="s">
        <v>1992</v>
      </c>
      <c r="C10" s="217" t="s">
        <v>1993</v>
      </c>
      <c r="D10" s="237">
        <v>800</v>
      </c>
      <c r="E10" s="237"/>
      <c r="F10" s="237">
        <f>+D10</f>
        <v>800</v>
      </c>
      <c r="G10" s="217">
        <v>913</v>
      </c>
    </row>
    <row r="11" spans="1:7">
      <c r="A11" s="15">
        <v>2</v>
      </c>
      <c r="B11" s="217" t="s">
        <v>1267</v>
      </c>
      <c r="C11" s="217" t="s">
        <v>1994</v>
      </c>
      <c r="D11" s="237">
        <v>100</v>
      </c>
      <c r="E11" s="237"/>
      <c r="F11" s="237">
        <f>+D11</f>
        <v>100</v>
      </c>
      <c r="G11" s="217">
        <v>913</v>
      </c>
    </row>
    <row r="12" spans="1:7">
      <c r="A12" s="15">
        <v>3</v>
      </c>
      <c r="B12" s="217" t="s">
        <v>1995</v>
      </c>
      <c r="C12" s="217" t="s">
        <v>1996</v>
      </c>
      <c r="D12" s="237">
        <v>70</v>
      </c>
      <c r="E12" s="237"/>
      <c r="F12" s="237">
        <f>+D12</f>
        <v>70</v>
      </c>
      <c r="G12" s="217">
        <v>913</v>
      </c>
    </row>
    <row r="13" spans="1:7">
      <c r="A13" s="15">
        <v>4</v>
      </c>
      <c r="B13" s="217" t="s">
        <v>1997</v>
      </c>
      <c r="C13" s="217" t="s">
        <v>1998</v>
      </c>
      <c r="D13" s="237">
        <v>250</v>
      </c>
      <c r="E13" s="237"/>
      <c r="F13" s="237"/>
      <c r="G13" s="217">
        <v>913</v>
      </c>
    </row>
    <row r="14" spans="1:7">
      <c r="A14" s="15">
        <v>5</v>
      </c>
      <c r="B14" s="217" t="s">
        <v>1999</v>
      </c>
      <c r="C14" s="217" t="s">
        <v>2000</v>
      </c>
      <c r="D14" s="237">
        <v>100</v>
      </c>
      <c r="E14" s="237"/>
      <c r="F14" s="237"/>
      <c r="G14" s="217">
        <v>913</v>
      </c>
    </row>
    <row r="15" spans="1:7">
      <c r="A15" s="15">
        <v>6</v>
      </c>
      <c r="B15" s="217" t="s">
        <v>727</v>
      </c>
      <c r="C15" s="217" t="s">
        <v>2001</v>
      </c>
      <c r="D15" s="237">
        <v>30.12</v>
      </c>
      <c r="E15" s="237"/>
      <c r="F15" s="237"/>
      <c r="G15" s="217">
        <v>913</v>
      </c>
    </row>
    <row r="16" spans="1:7">
      <c r="A16" s="15">
        <v>7</v>
      </c>
      <c r="B16" s="217" t="s">
        <v>2002</v>
      </c>
      <c r="C16" s="217" t="s">
        <v>2003</v>
      </c>
      <c r="D16" s="237">
        <v>500</v>
      </c>
      <c r="E16" s="237"/>
      <c r="F16" s="237"/>
      <c r="G16" s="217">
        <v>913</v>
      </c>
    </row>
    <row r="17" spans="1:7">
      <c r="A17" s="15">
        <v>8</v>
      </c>
      <c r="B17" s="217" t="s">
        <v>2004</v>
      </c>
      <c r="C17" s="217" t="s">
        <v>728</v>
      </c>
      <c r="D17" s="237">
        <v>575</v>
      </c>
      <c r="E17" s="237">
        <f>+D17*'State Allocation Formulas'!$C$21</f>
        <v>432.22750000000002</v>
      </c>
      <c r="F17" s="237"/>
      <c r="G17" s="217">
        <v>913</v>
      </c>
    </row>
    <row r="18" spans="1:7">
      <c r="A18" s="15">
        <v>9</v>
      </c>
      <c r="B18" s="217" t="s">
        <v>728</v>
      </c>
      <c r="C18" s="217" t="s">
        <v>1991</v>
      </c>
      <c r="D18" s="237">
        <v>575</v>
      </c>
      <c r="E18" s="237"/>
      <c r="F18" s="237">
        <f>+D18</f>
        <v>575</v>
      </c>
      <c r="G18" s="217">
        <v>913</v>
      </c>
    </row>
    <row r="19" spans="1:7">
      <c r="A19" s="15">
        <v>10</v>
      </c>
      <c r="B19" s="217" t="s">
        <v>728</v>
      </c>
      <c r="C19" s="217" t="s">
        <v>2005</v>
      </c>
      <c r="D19" s="237">
        <v>575</v>
      </c>
      <c r="E19" s="237">
        <f>+D19*'State Allocation Formulas'!$C$21</f>
        <v>432.22750000000002</v>
      </c>
      <c r="F19" s="237"/>
      <c r="G19" s="217">
        <v>913</v>
      </c>
    </row>
    <row r="20" spans="1:7">
      <c r="A20" s="15">
        <v>11</v>
      </c>
      <c r="B20" s="217" t="s">
        <v>2004</v>
      </c>
      <c r="C20" s="217" t="s">
        <v>728</v>
      </c>
      <c r="D20" s="237">
        <v>-575</v>
      </c>
      <c r="E20" s="237">
        <f>+D20*'State Allocation Formulas'!$C$21</f>
        <v>-432.22750000000002</v>
      </c>
      <c r="F20" s="237"/>
      <c r="G20" s="217">
        <v>913</v>
      </c>
    </row>
    <row r="21" spans="1:7">
      <c r="B21" s="216"/>
      <c r="C21" s="216"/>
      <c r="D21" s="216"/>
      <c r="E21" s="216"/>
      <c r="F21" s="216"/>
      <c r="G21" s="216"/>
    </row>
    <row r="22" spans="1:7">
      <c r="A22" s="218">
        <v>12</v>
      </c>
      <c r="B22" s="216"/>
      <c r="C22" s="216"/>
      <c r="D22" s="216"/>
      <c r="E22" s="239">
        <f>SUM(E10:E20)</f>
        <v>432.22750000000002</v>
      </c>
      <c r="F22" s="239">
        <f>SUM(F10:F20)</f>
        <v>1545</v>
      </c>
      <c r="G22" s="216"/>
    </row>
    <row r="23" spans="1:7">
      <c r="A23" s="218">
        <v>13</v>
      </c>
      <c r="B23" s="216" t="s">
        <v>660</v>
      </c>
      <c r="C23" s="216"/>
      <c r="D23" s="216"/>
      <c r="E23" s="216"/>
      <c r="F23" s="239">
        <f>+F22+E22</f>
        <v>1977.2275</v>
      </c>
      <c r="G23" s="216"/>
    </row>
    <row r="24" spans="1:7">
      <c r="B24" s="216"/>
      <c r="C24" s="216"/>
      <c r="D24" s="216"/>
      <c r="E24" s="216"/>
      <c r="F24" s="216"/>
      <c r="G24" s="216"/>
    </row>
    <row r="26" spans="1:7">
      <c r="B26" s="215" t="s">
        <v>778</v>
      </c>
      <c r="C26" s="215" t="s">
        <v>776</v>
      </c>
      <c r="D26" s="215" t="s">
        <v>777</v>
      </c>
      <c r="E26" s="215" t="s">
        <v>780</v>
      </c>
      <c r="F26" s="215" t="s">
        <v>781</v>
      </c>
      <c r="G26" s="441" t="s">
        <v>782</v>
      </c>
    </row>
    <row r="27" spans="1:7">
      <c r="A27" s="429" t="s">
        <v>649</v>
      </c>
      <c r="D27" s="215" t="s">
        <v>729</v>
      </c>
      <c r="E27" s="215" t="s">
        <v>730</v>
      </c>
      <c r="F27" s="215" t="s">
        <v>2006</v>
      </c>
    </row>
    <row r="28" spans="1:7">
      <c r="A28" s="15">
        <v>14</v>
      </c>
      <c r="B28" s="217" t="s">
        <v>1267</v>
      </c>
      <c r="C28" s="217">
        <v>43466</v>
      </c>
      <c r="D28" s="237">
        <v>250</v>
      </c>
      <c r="E28" s="237"/>
      <c r="F28" s="237">
        <f>+D28</f>
        <v>250</v>
      </c>
      <c r="G28" s="217">
        <v>930.1</v>
      </c>
    </row>
    <row r="29" spans="1:7">
      <c r="A29" s="15">
        <v>15</v>
      </c>
      <c r="B29" s="217" t="s">
        <v>1267</v>
      </c>
      <c r="C29" s="217">
        <v>43497</v>
      </c>
      <c r="D29" s="237">
        <v>250</v>
      </c>
      <c r="E29" s="237"/>
      <c r="F29" s="237">
        <f t="shared" ref="F29:F39" si="0">+D29</f>
        <v>250</v>
      </c>
      <c r="G29" s="217">
        <v>930.1</v>
      </c>
    </row>
    <row r="30" spans="1:7">
      <c r="A30" s="15">
        <v>16</v>
      </c>
      <c r="B30" s="217" t="s">
        <v>1267</v>
      </c>
      <c r="C30" s="217" t="s">
        <v>2015</v>
      </c>
      <c r="D30" s="237">
        <v>250</v>
      </c>
      <c r="E30" s="237"/>
      <c r="F30" s="237">
        <f t="shared" si="0"/>
        <v>250</v>
      </c>
      <c r="G30" s="217">
        <v>930.1</v>
      </c>
    </row>
    <row r="31" spans="1:7">
      <c r="A31" s="15">
        <v>17</v>
      </c>
      <c r="B31" s="217" t="s">
        <v>658</v>
      </c>
      <c r="C31" s="217" t="s">
        <v>2016</v>
      </c>
      <c r="D31" s="237">
        <v>250</v>
      </c>
      <c r="E31" s="237"/>
      <c r="F31" s="237">
        <f t="shared" si="0"/>
        <v>250</v>
      </c>
      <c r="G31" s="217">
        <v>930.1</v>
      </c>
    </row>
    <row r="32" spans="1:7">
      <c r="A32" s="15">
        <v>18</v>
      </c>
      <c r="B32" s="217" t="s">
        <v>2017</v>
      </c>
      <c r="C32" s="217" t="s">
        <v>2018</v>
      </c>
      <c r="D32" s="237">
        <v>250</v>
      </c>
      <c r="E32" s="237"/>
      <c r="F32" s="237">
        <f t="shared" si="0"/>
        <v>250</v>
      </c>
      <c r="G32" s="217">
        <v>930.1</v>
      </c>
    </row>
    <row r="33" spans="1:7">
      <c r="A33" s="15">
        <v>19</v>
      </c>
      <c r="B33" s="217" t="s">
        <v>659</v>
      </c>
      <c r="C33" s="217" t="s">
        <v>2019</v>
      </c>
      <c r="D33" s="237">
        <v>200</v>
      </c>
      <c r="E33" s="237"/>
      <c r="F33" s="237">
        <f t="shared" si="0"/>
        <v>200</v>
      </c>
      <c r="G33" s="217">
        <v>930.1</v>
      </c>
    </row>
    <row r="34" spans="1:7">
      <c r="A34" s="15">
        <v>20</v>
      </c>
      <c r="B34" s="217" t="s">
        <v>2020</v>
      </c>
      <c r="C34" s="217" t="s">
        <v>2021</v>
      </c>
      <c r="D34" s="237">
        <v>150</v>
      </c>
      <c r="E34" s="237"/>
      <c r="F34" s="237">
        <f t="shared" si="0"/>
        <v>150</v>
      </c>
      <c r="G34" s="217">
        <v>930.1</v>
      </c>
    </row>
    <row r="35" spans="1:7">
      <c r="A35" s="15">
        <v>21</v>
      </c>
      <c r="B35" s="217" t="s">
        <v>1268</v>
      </c>
      <c r="C35" s="217" t="s">
        <v>2022</v>
      </c>
      <c r="D35" s="237">
        <v>250</v>
      </c>
      <c r="E35" s="237"/>
      <c r="F35" s="237">
        <f t="shared" si="0"/>
        <v>250</v>
      </c>
      <c r="G35" s="217">
        <v>930.1</v>
      </c>
    </row>
    <row r="36" spans="1:7">
      <c r="A36" s="15">
        <v>22</v>
      </c>
      <c r="B36" s="217" t="s">
        <v>657</v>
      </c>
      <c r="C36" s="217" t="s">
        <v>2023</v>
      </c>
      <c r="D36" s="237">
        <v>260</v>
      </c>
      <c r="E36" s="237"/>
      <c r="F36" s="237">
        <f t="shared" si="0"/>
        <v>260</v>
      </c>
      <c r="G36" s="217">
        <v>930.1</v>
      </c>
    </row>
    <row r="37" spans="1:7">
      <c r="A37" s="15">
        <v>23</v>
      </c>
      <c r="B37" s="217" t="s">
        <v>1269</v>
      </c>
      <c r="C37" s="217" t="s">
        <v>2024</v>
      </c>
      <c r="D37" s="237">
        <v>200</v>
      </c>
      <c r="E37" s="237"/>
      <c r="F37" s="237">
        <f t="shared" si="0"/>
        <v>200</v>
      </c>
      <c r="G37" s="217">
        <v>930.1</v>
      </c>
    </row>
    <row r="38" spans="1:7">
      <c r="A38" s="15">
        <v>24</v>
      </c>
      <c r="B38" s="217" t="s">
        <v>2025</v>
      </c>
      <c r="C38" s="217" t="s">
        <v>2026</v>
      </c>
      <c r="D38" s="237">
        <v>65</v>
      </c>
      <c r="E38" s="237"/>
      <c r="F38" s="237">
        <f t="shared" si="0"/>
        <v>65</v>
      </c>
      <c r="G38" s="217">
        <v>930.1</v>
      </c>
    </row>
    <row r="39" spans="1:7">
      <c r="A39" s="15">
        <v>25</v>
      </c>
      <c r="B39" s="217" t="s">
        <v>2025</v>
      </c>
      <c r="C39" s="217" t="s">
        <v>2027</v>
      </c>
      <c r="D39" s="237">
        <v>65</v>
      </c>
      <c r="E39" s="237"/>
      <c r="F39" s="237">
        <f t="shared" si="0"/>
        <v>65</v>
      </c>
      <c r="G39" s="217">
        <v>930.1</v>
      </c>
    </row>
    <row r="40" spans="1:7">
      <c r="A40" s="15">
        <v>26</v>
      </c>
      <c r="B40" s="217" t="s">
        <v>1270</v>
      </c>
      <c r="C40" s="217" t="s">
        <v>2028</v>
      </c>
      <c r="D40" s="237">
        <v>975</v>
      </c>
      <c r="E40" s="237"/>
      <c r="F40" s="237"/>
      <c r="G40" s="217">
        <v>930.1</v>
      </c>
    </row>
    <row r="41" spans="1:7">
      <c r="A41" s="15">
        <v>27</v>
      </c>
      <c r="B41" s="217" t="s">
        <v>731</v>
      </c>
      <c r="C41" s="217" t="s">
        <v>1271</v>
      </c>
      <c r="D41" s="237">
        <v>72</v>
      </c>
      <c r="E41" s="237"/>
      <c r="F41" s="237"/>
      <c r="G41" s="217">
        <v>930.1</v>
      </c>
    </row>
    <row r="42" spans="1:7">
      <c r="A42" s="15">
        <v>28</v>
      </c>
      <c r="B42" s="217" t="s">
        <v>731</v>
      </c>
      <c r="C42" s="217" t="s">
        <v>2012</v>
      </c>
      <c r="D42" s="237">
        <v>72</v>
      </c>
      <c r="E42" s="237"/>
      <c r="F42" s="237"/>
      <c r="G42" s="217">
        <v>930.1</v>
      </c>
    </row>
    <row r="43" spans="1:7">
      <c r="A43" s="15">
        <v>29</v>
      </c>
      <c r="B43" s="217" t="s">
        <v>2009</v>
      </c>
      <c r="C43" s="217" t="s">
        <v>2029</v>
      </c>
      <c r="D43" s="237">
        <v>47.77</v>
      </c>
      <c r="E43" s="237"/>
      <c r="F43" s="237"/>
      <c r="G43" s="217">
        <v>930.1</v>
      </c>
    </row>
    <row r="44" spans="1:7">
      <c r="A44" s="15">
        <v>30</v>
      </c>
      <c r="B44" s="217" t="s">
        <v>2009</v>
      </c>
      <c r="C44" s="217" t="s">
        <v>2030</v>
      </c>
      <c r="D44" s="237">
        <v>173.67</v>
      </c>
      <c r="E44" s="237"/>
      <c r="F44" s="237"/>
      <c r="G44" s="217">
        <v>930.1</v>
      </c>
    </row>
    <row r="45" spans="1:7">
      <c r="A45" s="15">
        <v>31</v>
      </c>
      <c r="B45" s="217" t="s">
        <v>731</v>
      </c>
      <c r="C45" s="217" t="s">
        <v>2012</v>
      </c>
      <c r="D45" s="237">
        <v>72</v>
      </c>
      <c r="E45" s="237"/>
      <c r="F45" s="237"/>
      <c r="G45" s="217">
        <v>930.1</v>
      </c>
    </row>
    <row r="46" spans="1:7">
      <c r="A46" s="15">
        <v>32</v>
      </c>
      <c r="B46" s="217" t="s">
        <v>731</v>
      </c>
      <c r="C46" s="217" t="s">
        <v>2007</v>
      </c>
      <c r="D46" s="237">
        <v>73</v>
      </c>
      <c r="E46" s="237"/>
      <c r="F46" s="237"/>
      <c r="G46" s="217">
        <v>930.1</v>
      </c>
    </row>
    <row r="47" spans="1:7">
      <c r="A47" s="15">
        <v>33</v>
      </c>
      <c r="B47" s="217" t="s">
        <v>731</v>
      </c>
      <c r="C47" s="217" t="s">
        <v>2008</v>
      </c>
      <c r="D47" s="237">
        <v>73</v>
      </c>
      <c r="E47" s="237"/>
      <c r="F47" s="237"/>
      <c r="G47" s="217">
        <v>930.1</v>
      </c>
    </row>
    <row r="48" spans="1:7">
      <c r="A48" s="15">
        <v>34</v>
      </c>
      <c r="B48" s="217" t="s">
        <v>2009</v>
      </c>
      <c r="C48" s="217" t="s">
        <v>2010</v>
      </c>
      <c r="D48" s="237">
        <v>125</v>
      </c>
      <c r="E48" s="237"/>
      <c r="F48" s="237"/>
      <c r="G48" s="217">
        <v>930.1</v>
      </c>
    </row>
    <row r="49" spans="1:7">
      <c r="A49" s="15">
        <v>35</v>
      </c>
      <c r="B49" s="217" t="s">
        <v>731</v>
      </c>
      <c r="C49" s="217" t="s">
        <v>2011</v>
      </c>
      <c r="D49" s="237">
        <v>73</v>
      </c>
      <c r="E49" s="237"/>
      <c r="F49" s="237"/>
      <c r="G49" s="217">
        <v>930.1</v>
      </c>
    </row>
    <row r="50" spans="1:7">
      <c r="A50" s="15">
        <v>36</v>
      </c>
      <c r="B50" s="217" t="s">
        <v>731</v>
      </c>
      <c r="C50" s="217" t="s">
        <v>2012</v>
      </c>
      <c r="D50" s="237">
        <v>73</v>
      </c>
      <c r="E50" s="237"/>
      <c r="F50" s="237"/>
      <c r="G50" s="217">
        <v>930.1</v>
      </c>
    </row>
    <row r="51" spans="1:7">
      <c r="A51" s="15">
        <v>37</v>
      </c>
      <c r="B51" s="217" t="s">
        <v>731</v>
      </c>
      <c r="C51" s="217" t="s">
        <v>2012</v>
      </c>
      <c r="D51" s="237">
        <v>73</v>
      </c>
      <c r="E51" s="237"/>
      <c r="F51" s="237"/>
      <c r="G51" s="217">
        <v>930.1</v>
      </c>
    </row>
    <row r="52" spans="1:7">
      <c r="A52" s="15">
        <v>38</v>
      </c>
      <c r="B52" s="217" t="s">
        <v>2031</v>
      </c>
      <c r="C52" s="217" t="s">
        <v>2032</v>
      </c>
      <c r="D52" s="237">
        <v>74.5</v>
      </c>
      <c r="E52" s="237">
        <f>+D52*'State Allocation Formulas'!$C$21</f>
        <v>56.001650000000005</v>
      </c>
      <c r="F52" s="237"/>
      <c r="G52" s="217">
        <v>930.1</v>
      </c>
    </row>
    <row r="53" spans="1:7">
      <c r="A53" s="15">
        <v>39</v>
      </c>
      <c r="B53" s="217" t="s">
        <v>2033</v>
      </c>
      <c r="C53" s="217" t="s">
        <v>2034</v>
      </c>
      <c r="D53" s="237">
        <v>149</v>
      </c>
      <c r="E53" s="237">
        <f>+D53*'State Allocation Formulas'!$C$21</f>
        <v>112.00330000000001</v>
      </c>
      <c r="F53" s="237"/>
      <c r="G53" s="217">
        <v>930.1</v>
      </c>
    </row>
    <row r="54" spans="1:7">
      <c r="A54" s="15">
        <v>40</v>
      </c>
      <c r="B54" s="217" t="s">
        <v>2033</v>
      </c>
      <c r="C54" s="217" t="s">
        <v>2035</v>
      </c>
      <c r="D54" s="237">
        <v>745</v>
      </c>
      <c r="E54" s="237">
        <f>+D54*'State Allocation Formulas'!$C$21</f>
        <v>560.01650000000006</v>
      </c>
      <c r="F54" s="237"/>
      <c r="G54" s="217">
        <v>930.1</v>
      </c>
    </row>
    <row r="55" spans="1:7">
      <c r="A55" s="15">
        <v>41</v>
      </c>
      <c r="B55" s="217" t="s">
        <v>2033</v>
      </c>
      <c r="C55" s="217" t="s">
        <v>2036</v>
      </c>
      <c r="D55" s="237">
        <v>149</v>
      </c>
      <c r="E55" s="237">
        <f>+D55*'State Allocation Formulas'!$C$21</f>
        <v>112.00330000000001</v>
      </c>
      <c r="F55" s="237"/>
      <c r="G55" s="217">
        <v>930.1</v>
      </c>
    </row>
    <row r="56" spans="1:7">
      <c r="A56" s="15">
        <v>42</v>
      </c>
      <c r="B56" s="217" t="s">
        <v>2033</v>
      </c>
      <c r="C56" s="217" t="s">
        <v>2037</v>
      </c>
      <c r="D56" s="237">
        <v>44.7</v>
      </c>
      <c r="E56" s="237">
        <f>+D56*'State Allocation Formulas'!$C$21</f>
        <v>33.600990000000003</v>
      </c>
      <c r="F56" s="237"/>
      <c r="G56" s="217">
        <v>930.1</v>
      </c>
    </row>
    <row r="57" spans="1:7">
      <c r="A57" s="15">
        <v>43</v>
      </c>
      <c r="B57" s="217" t="s">
        <v>2033</v>
      </c>
      <c r="C57" s="217" t="s">
        <v>2038</v>
      </c>
      <c r="D57" s="237">
        <v>149</v>
      </c>
      <c r="E57" s="237">
        <f>+D57*'State Allocation Formulas'!$C$21</f>
        <v>112.00330000000001</v>
      </c>
      <c r="F57" s="237"/>
      <c r="G57" s="217">
        <v>930.1</v>
      </c>
    </row>
    <row r="58" spans="1:7">
      <c r="A58" s="15">
        <v>44</v>
      </c>
      <c r="B58" s="217" t="s">
        <v>2033</v>
      </c>
      <c r="C58" s="217" t="s">
        <v>2039</v>
      </c>
      <c r="D58" s="237">
        <v>2724.09</v>
      </c>
      <c r="E58" s="237">
        <f>+D58*'State Allocation Formulas'!$C$21</f>
        <v>2047.6984530000002</v>
      </c>
      <c r="F58" s="237"/>
      <c r="G58" s="217">
        <v>930.1</v>
      </c>
    </row>
    <row r="59" spans="1:7">
      <c r="A59" s="15">
        <v>45</v>
      </c>
      <c r="B59" s="217" t="s">
        <v>2033</v>
      </c>
      <c r="C59" s="217" t="s">
        <v>2040</v>
      </c>
      <c r="D59" s="237">
        <v>74.5</v>
      </c>
      <c r="E59" s="237">
        <f>+D59*'State Allocation Formulas'!$C$21</f>
        <v>56.001650000000005</v>
      </c>
      <c r="F59" s="237"/>
      <c r="G59" s="217">
        <v>930.1</v>
      </c>
    </row>
    <row r="60" spans="1:7">
      <c r="A60" s="15">
        <v>46</v>
      </c>
      <c r="B60" s="217" t="s">
        <v>2033</v>
      </c>
      <c r="C60" s="217" t="s">
        <v>2040</v>
      </c>
      <c r="D60" s="237">
        <v>74.5</v>
      </c>
      <c r="E60" s="237">
        <f>+D60*'State Allocation Formulas'!$C$21</f>
        <v>56.001650000000005</v>
      </c>
      <c r="F60" s="237"/>
      <c r="G60" s="217">
        <v>930.1</v>
      </c>
    </row>
    <row r="61" spans="1:7">
      <c r="A61" s="15">
        <v>47</v>
      </c>
      <c r="B61" s="217" t="s">
        <v>2033</v>
      </c>
      <c r="C61" s="217" t="s">
        <v>2040</v>
      </c>
      <c r="D61" s="237">
        <v>74.5</v>
      </c>
      <c r="E61" s="237">
        <f>+D61*'State Allocation Formulas'!$C$21</f>
        <v>56.001650000000005</v>
      </c>
      <c r="F61" s="237"/>
      <c r="G61" s="217">
        <v>930.1</v>
      </c>
    </row>
    <row r="62" spans="1:7">
      <c r="A62" s="15">
        <v>48</v>
      </c>
      <c r="B62" s="217" t="s">
        <v>2033</v>
      </c>
      <c r="C62" s="217" t="s">
        <v>2040</v>
      </c>
      <c r="D62" s="237">
        <v>149</v>
      </c>
      <c r="E62" s="237">
        <f>+D62*'State Allocation Formulas'!$C$21</f>
        <v>112.00330000000001</v>
      </c>
      <c r="F62" s="237"/>
      <c r="G62" s="217">
        <v>930.1</v>
      </c>
    </row>
    <row r="63" spans="1:7">
      <c r="A63" s="15">
        <v>49</v>
      </c>
      <c r="B63" s="217" t="s">
        <v>2033</v>
      </c>
      <c r="C63" s="217" t="s">
        <v>2041</v>
      </c>
      <c r="D63" s="237">
        <v>36.5</v>
      </c>
      <c r="E63" s="237">
        <f>+D63*'State Allocation Formulas'!$C$21</f>
        <v>27.437050000000003</v>
      </c>
      <c r="F63" s="237"/>
      <c r="G63" s="217">
        <v>930.1</v>
      </c>
    </row>
    <row r="64" spans="1:7">
      <c r="A64" s="15">
        <v>50</v>
      </c>
      <c r="B64" s="217" t="s">
        <v>2033</v>
      </c>
      <c r="C64" s="217" t="s">
        <v>2042</v>
      </c>
      <c r="D64" s="237">
        <v>219</v>
      </c>
      <c r="E64" s="237">
        <f>+D64*'State Allocation Formulas'!$C$21</f>
        <v>164.6223</v>
      </c>
      <c r="F64" s="237"/>
      <c r="G64" s="217">
        <v>930.1</v>
      </c>
    </row>
    <row r="65" spans="1:7">
      <c r="A65" s="15">
        <v>51</v>
      </c>
      <c r="B65" s="217" t="s">
        <v>2043</v>
      </c>
      <c r="C65" s="217" t="s">
        <v>2044</v>
      </c>
      <c r="D65" s="237">
        <v>148.26</v>
      </c>
      <c r="E65" s="237">
        <f>+D65*'State Allocation Formulas'!$C$21</f>
        <v>111.447042</v>
      </c>
      <c r="F65" s="237"/>
      <c r="G65" s="217">
        <v>930.1</v>
      </c>
    </row>
    <row r="66" spans="1:7">
      <c r="A66" s="15">
        <v>52</v>
      </c>
      <c r="B66" s="217" t="s">
        <v>2045</v>
      </c>
      <c r="C66" s="217" t="s">
        <v>2046</v>
      </c>
      <c r="D66" s="237">
        <v>298</v>
      </c>
      <c r="E66" s="237">
        <f>+D66*'State Allocation Formulas'!$C$21</f>
        <v>224.00660000000002</v>
      </c>
      <c r="F66" s="237"/>
      <c r="G66" s="217">
        <v>930.1</v>
      </c>
    </row>
    <row r="67" spans="1:7">
      <c r="A67" s="15">
        <v>53</v>
      </c>
      <c r="B67" s="217" t="s">
        <v>2047</v>
      </c>
      <c r="C67" s="217" t="s">
        <v>2048</v>
      </c>
      <c r="D67" s="237">
        <v>334.14</v>
      </c>
      <c r="E67" s="237">
        <f>+D67*'State Allocation Formulas'!$C$21</f>
        <v>251.17303799999999</v>
      </c>
      <c r="F67" s="237"/>
      <c r="G67" s="217">
        <v>930.1</v>
      </c>
    </row>
    <row r="68" spans="1:7">
      <c r="A68" s="15">
        <v>54</v>
      </c>
      <c r="B68" s="217" t="s">
        <v>2049</v>
      </c>
      <c r="C68" s="217" t="s">
        <v>2050</v>
      </c>
      <c r="D68" s="237">
        <v>35.020000000000003</v>
      </c>
      <c r="E68" s="237">
        <f>+D68*'State Allocation Formulas'!$C$21</f>
        <v>26.324534000000003</v>
      </c>
      <c r="F68" s="237"/>
      <c r="G68" s="217">
        <v>930.1</v>
      </c>
    </row>
    <row r="69" spans="1:7">
      <c r="A69" s="15">
        <v>55</v>
      </c>
      <c r="B69" s="217" t="s">
        <v>2051</v>
      </c>
      <c r="C69" s="217" t="s">
        <v>2052</v>
      </c>
      <c r="D69" s="237">
        <v>97.59</v>
      </c>
      <c r="E69" s="237">
        <f>+D69*'State Allocation Formulas'!$C$21</f>
        <v>73.35840300000001</v>
      </c>
      <c r="F69" s="237"/>
      <c r="G69" s="217">
        <v>930.1</v>
      </c>
    </row>
    <row r="70" spans="1:7">
      <c r="A70" s="15">
        <v>56</v>
      </c>
      <c r="B70" s="217" t="s">
        <v>2053</v>
      </c>
      <c r="C70" s="217" t="s">
        <v>2054</v>
      </c>
      <c r="D70" s="237">
        <v>47.68</v>
      </c>
      <c r="E70" s="237">
        <f>+D70*'State Allocation Formulas'!$C$21</f>
        <v>35.841056000000002</v>
      </c>
      <c r="F70" s="237"/>
      <c r="G70" s="217">
        <v>930.1</v>
      </c>
    </row>
    <row r="71" spans="1:7">
      <c r="A71" s="15">
        <v>57</v>
      </c>
      <c r="B71" s="217" t="s">
        <v>2055</v>
      </c>
      <c r="C71" s="217" t="s">
        <v>2056</v>
      </c>
      <c r="D71" s="237">
        <v>331.09</v>
      </c>
      <c r="E71" s="237">
        <f>+D71*'State Allocation Formulas'!$C$21</f>
        <v>248.88035299999999</v>
      </c>
      <c r="F71" s="237"/>
      <c r="G71" s="217">
        <v>930.1</v>
      </c>
    </row>
    <row r="72" spans="1:7">
      <c r="A72" s="15">
        <v>58</v>
      </c>
      <c r="B72" s="217" t="s">
        <v>2055</v>
      </c>
      <c r="C72" s="217" t="s">
        <v>2056</v>
      </c>
      <c r="D72" s="237">
        <v>165.55</v>
      </c>
      <c r="E72" s="237">
        <f>+D72*'State Allocation Formulas'!$C$21</f>
        <v>124.44393500000001</v>
      </c>
      <c r="F72" s="237"/>
      <c r="G72" s="217">
        <v>930.1</v>
      </c>
    </row>
    <row r="73" spans="1:7">
      <c r="A73" s="15">
        <v>59</v>
      </c>
      <c r="B73" s="217" t="s">
        <v>2057</v>
      </c>
      <c r="C73" s="217" t="s">
        <v>2052</v>
      </c>
      <c r="D73" s="237">
        <v>351.5</v>
      </c>
      <c r="E73" s="237">
        <f>+D73*'State Allocation Formulas'!$C$21</f>
        <v>264.22255000000001</v>
      </c>
      <c r="F73" s="237"/>
      <c r="G73" s="217">
        <v>930.1</v>
      </c>
    </row>
    <row r="74" spans="1:7">
      <c r="A74" s="15">
        <v>60</v>
      </c>
      <c r="B74" s="217" t="s">
        <v>2058</v>
      </c>
      <c r="C74" s="217" t="s">
        <v>2059</v>
      </c>
      <c r="D74" s="237">
        <v>89.4</v>
      </c>
      <c r="E74" s="237">
        <f>+D74*'State Allocation Formulas'!$C$21</f>
        <v>67.201980000000006</v>
      </c>
      <c r="F74" s="237"/>
      <c r="G74" s="217">
        <v>930.1</v>
      </c>
    </row>
    <row r="75" spans="1:7">
      <c r="A75" s="15">
        <v>61</v>
      </c>
      <c r="B75" s="217" t="s">
        <v>2060</v>
      </c>
      <c r="C75" s="217" t="s">
        <v>2061</v>
      </c>
      <c r="D75" s="237">
        <v>640.70000000000005</v>
      </c>
      <c r="E75" s="237">
        <f>+D75*'State Allocation Formulas'!$C$21</f>
        <v>481.61419000000006</v>
      </c>
      <c r="F75" s="237"/>
      <c r="G75" s="217">
        <v>930.1</v>
      </c>
    </row>
    <row r="76" spans="1:7">
      <c r="A76" s="15">
        <v>62</v>
      </c>
      <c r="B76" s="217" t="s">
        <v>2062</v>
      </c>
      <c r="C76" s="217" t="s">
        <v>2054</v>
      </c>
      <c r="D76" s="237">
        <v>47.68</v>
      </c>
      <c r="E76" s="237">
        <f>+D76*'State Allocation Formulas'!$C$21</f>
        <v>35.841056000000002</v>
      </c>
      <c r="F76" s="237"/>
      <c r="G76" s="217">
        <v>930.1</v>
      </c>
    </row>
    <row r="77" spans="1:7">
      <c r="A77" s="15">
        <v>63</v>
      </c>
      <c r="B77" s="217" t="s">
        <v>2063</v>
      </c>
      <c r="C77" s="217" t="s">
        <v>2064</v>
      </c>
      <c r="D77" s="237">
        <v>36.5</v>
      </c>
      <c r="E77" s="237">
        <f>+D77*'State Allocation Formulas'!$C$21</f>
        <v>27.437050000000003</v>
      </c>
      <c r="F77" s="237"/>
      <c r="G77" s="217">
        <v>930.1</v>
      </c>
    </row>
    <row r="78" spans="1:7">
      <c r="A78" s="15">
        <v>64</v>
      </c>
      <c r="B78" s="217" t="s">
        <v>2065</v>
      </c>
      <c r="C78" s="217" t="s">
        <v>2046</v>
      </c>
      <c r="D78" s="237">
        <v>74.5</v>
      </c>
      <c r="E78" s="237">
        <f>+D78*'State Allocation Formulas'!$C$21</f>
        <v>56.001650000000005</v>
      </c>
      <c r="F78" s="237"/>
      <c r="G78" s="217">
        <v>930.1</v>
      </c>
    </row>
    <row r="79" spans="1:7">
      <c r="A79" s="15">
        <v>65</v>
      </c>
      <c r="B79" s="217" t="s">
        <v>2066</v>
      </c>
      <c r="C79" s="217" t="s">
        <v>2067</v>
      </c>
      <c r="D79" s="237">
        <v>71.52</v>
      </c>
      <c r="E79" s="237">
        <f>+D79*'State Allocation Formulas'!$C$21</f>
        <v>53.761583999999999</v>
      </c>
      <c r="F79" s="237"/>
      <c r="G79" s="217">
        <v>930.1</v>
      </c>
    </row>
    <row r="80" spans="1:7">
      <c r="A80" s="15">
        <v>66</v>
      </c>
      <c r="B80" s="217" t="s">
        <v>2068</v>
      </c>
      <c r="C80" s="217" t="s">
        <v>2069</v>
      </c>
      <c r="D80" s="237">
        <v>372.5</v>
      </c>
      <c r="E80" s="237">
        <f>+D80*'State Allocation Formulas'!$C$21</f>
        <v>280.00825000000003</v>
      </c>
      <c r="F80" s="237"/>
      <c r="G80" s="217">
        <v>930.1</v>
      </c>
    </row>
    <row r="81" spans="1:7">
      <c r="A81" s="15">
        <v>67</v>
      </c>
      <c r="B81" s="217" t="s">
        <v>2070</v>
      </c>
      <c r="C81" s="217" t="s">
        <v>2056</v>
      </c>
      <c r="D81" s="237">
        <v>324.44</v>
      </c>
      <c r="E81" s="237">
        <f>+D81*'State Allocation Formulas'!$C$21</f>
        <v>243.88154800000001</v>
      </c>
      <c r="F81" s="237"/>
      <c r="G81" s="217">
        <v>930.1</v>
      </c>
    </row>
    <row r="82" spans="1:7">
      <c r="A82" s="15">
        <v>68</v>
      </c>
      <c r="B82" s="217" t="s">
        <v>2070</v>
      </c>
      <c r="C82" s="217" t="s">
        <v>2056</v>
      </c>
      <c r="D82" s="237">
        <v>324.44</v>
      </c>
      <c r="E82" s="237">
        <f>+D82*'State Allocation Formulas'!$C$21</f>
        <v>243.88154800000001</v>
      </c>
      <c r="F82" s="237"/>
      <c r="G82" s="217">
        <v>930.1</v>
      </c>
    </row>
    <row r="83" spans="1:7">
      <c r="A83" s="15">
        <v>69</v>
      </c>
      <c r="B83" s="217" t="s">
        <v>2070</v>
      </c>
      <c r="C83" s="217" t="s">
        <v>2056</v>
      </c>
      <c r="D83" s="237">
        <v>324.44</v>
      </c>
      <c r="E83" s="237">
        <f>+D83*'State Allocation Formulas'!$C$21</f>
        <v>243.88154800000001</v>
      </c>
      <c r="F83" s="237"/>
      <c r="G83" s="217">
        <v>930.1</v>
      </c>
    </row>
    <row r="84" spans="1:7">
      <c r="A84" s="15">
        <v>70</v>
      </c>
      <c r="B84" s="217" t="s">
        <v>2070</v>
      </c>
      <c r="C84" s="217" t="s">
        <v>2056</v>
      </c>
      <c r="D84" s="237">
        <v>165.55</v>
      </c>
      <c r="E84" s="237">
        <f>+D84*'State Allocation Formulas'!$C$21</f>
        <v>124.44393500000001</v>
      </c>
      <c r="F84" s="237"/>
      <c r="G84" s="217">
        <v>930.1</v>
      </c>
    </row>
    <row r="85" spans="1:7">
      <c r="A85" s="15">
        <v>71</v>
      </c>
      <c r="B85" s="217" t="s">
        <v>2070</v>
      </c>
      <c r="C85" s="217" t="s">
        <v>2056</v>
      </c>
      <c r="D85" s="237">
        <v>165.56</v>
      </c>
      <c r="E85" s="237">
        <f>+D85*'State Allocation Formulas'!$C$21</f>
        <v>124.451452</v>
      </c>
      <c r="F85" s="237"/>
      <c r="G85" s="217">
        <v>930.1</v>
      </c>
    </row>
    <row r="86" spans="1:7">
      <c r="A86" s="15">
        <v>72</v>
      </c>
      <c r="B86" s="217" t="s">
        <v>2070</v>
      </c>
      <c r="C86" s="217" t="s">
        <v>2056</v>
      </c>
      <c r="D86" s="237">
        <v>632.41999999999996</v>
      </c>
      <c r="E86" s="237">
        <f>+D86*'State Allocation Formulas'!$C$21</f>
        <v>475.39011399999998</v>
      </c>
      <c r="F86" s="237"/>
      <c r="G86" s="217">
        <v>930.1</v>
      </c>
    </row>
    <row r="87" spans="1:7">
      <c r="A87" s="15">
        <v>73</v>
      </c>
      <c r="B87" s="217" t="s">
        <v>2071</v>
      </c>
      <c r="C87" s="217" t="s">
        <v>2072</v>
      </c>
      <c r="D87" s="237">
        <v>111.75</v>
      </c>
      <c r="E87" s="237">
        <f>+D87*'State Allocation Formulas'!$C$21</f>
        <v>84.002475000000004</v>
      </c>
      <c r="F87" s="237"/>
      <c r="G87" s="217">
        <v>930.1</v>
      </c>
    </row>
    <row r="88" spans="1:7">
      <c r="A88" s="15">
        <v>74</v>
      </c>
      <c r="B88" s="217" t="s">
        <v>2073</v>
      </c>
      <c r="C88" s="217" t="s">
        <v>2074</v>
      </c>
      <c r="D88" s="237">
        <v>745</v>
      </c>
      <c r="E88" s="237">
        <f>+D88*'State Allocation Formulas'!$C$21</f>
        <v>560.01650000000006</v>
      </c>
      <c r="F88" s="237"/>
      <c r="G88" s="217">
        <v>930.1</v>
      </c>
    </row>
    <row r="89" spans="1:7">
      <c r="A89" s="15">
        <v>75</v>
      </c>
      <c r="B89" s="217" t="s">
        <v>2075</v>
      </c>
      <c r="C89" s="217" t="s">
        <v>2076</v>
      </c>
      <c r="D89" s="237">
        <v>29.91</v>
      </c>
      <c r="E89" s="237">
        <f>+D89*'State Allocation Formulas'!$C$21</f>
        <v>22.483347000000002</v>
      </c>
      <c r="F89" s="237"/>
      <c r="G89" s="217">
        <v>930.1</v>
      </c>
    </row>
    <row r="90" spans="1:7">
      <c r="A90" s="15">
        <v>76</v>
      </c>
      <c r="B90" s="217" t="s">
        <v>2077</v>
      </c>
      <c r="C90" s="217" t="s">
        <v>2078</v>
      </c>
      <c r="D90" s="237">
        <v>21.83</v>
      </c>
      <c r="E90" s="237">
        <f>+D90*'State Allocation Formulas'!$C$21</f>
        <v>16.409610999999998</v>
      </c>
      <c r="F90" s="237"/>
      <c r="G90" s="217">
        <v>930.1</v>
      </c>
    </row>
    <row r="91" spans="1:7">
      <c r="A91" s="15">
        <v>77</v>
      </c>
      <c r="B91" s="217" t="s">
        <v>2079</v>
      </c>
      <c r="C91" s="217" t="s">
        <v>2054</v>
      </c>
      <c r="D91" s="237">
        <v>47.68</v>
      </c>
      <c r="E91" s="237">
        <f>+D91*'State Allocation Formulas'!$C$21</f>
        <v>35.841056000000002</v>
      </c>
      <c r="F91" s="237"/>
      <c r="G91" s="217">
        <v>930.1</v>
      </c>
    </row>
    <row r="92" spans="1:7">
      <c r="A92" s="15">
        <v>78</v>
      </c>
      <c r="B92" s="217" t="s">
        <v>2080</v>
      </c>
      <c r="C92" s="217" t="s">
        <v>2081</v>
      </c>
      <c r="D92" s="237">
        <v>372.5</v>
      </c>
      <c r="E92" s="237">
        <f>+D92*'State Allocation Formulas'!$C$21</f>
        <v>280.00825000000003</v>
      </c>
      <c r="F92" s="237"/>
      <c r="G92" s="217">
        <v>930.1</v>
      </c>
    </row>
    <row r="93" spans="1:7">
      <c r="A93" s="15">
        <v>79</v>
      </c>
      <c r="B93" s="217" t="s">
        <v>2082</v>
      </c>
      <c r="C93" s="217" t="s">
        <v>2083</v>
      </c>
      <c r="D93" s="237">
        <v>149</v>
      </c>
      <c r="E93" s="237">
        <f>+D93*'State Allocation Formulas'!$C$21</f>
        <v>112.00330000000001</v>
      </c>
      <c r="F93" s="237"/>
      <c r="G93" s="217">
        <v>930.1</v>
      </c>
    </row>
    <row r="94" spans="1:7">
      <c r="A94" s="15">
        <v>80</v>
      </c>
      <c r="B94" s="217" t="s">
        <v>2084</v>
      </c>
      <c r="C94" s="217" t="s">
        <v>2085</v>
      </c>
      <c r="D94" s="237">
        <v>149</v>
      </c>
      <c r="E94" s="237">
        <f>+D94*'State Allocation Formulas'!$C$21</f>
        <v>112.00330000000001</v>
      </c>
      <c r="F94" s="237"/>
      <c r="G94" s="217">
        <v>930.1</v>
      </c>
    </row>
    <row r="95" spans="1:7">
      <c r="A95" s="15">
        <v>81</v>
      </c>
      <c r="B95" s="217" t="s">
        <v>2086</v>
      </c>
      <c r="C95" s="217" t="s">
        <v>2044</v>
      </c>
      <c r="D95" s="237">
        <v>161.66999999999999</v>
      </c>
      <c r="E95" s="237">
        <f>+D95*'State Allocation Formulas'!$C$21</f>
        <v>121.527339</v>
      </c>
      <c r="F95" s="237"/>
      <c r="G95" s="217">
        <v>930.1</v>
      </c>
    </row>
    <row r="96" spans="1:7">
      <c r="A96" s="15">
        <v>82</v>
      </c>
      <c r="B96" s="217" t="s">
        <v>2087</v>
      </c>
      <c r="C96" s="217" t="s">
        <v>2054</v>
      </c>
      <c r="D96" s="237">
        <v>47.68</v>
      </c>
      <c r="E96" s="237">
        <f>+D96*'State Allocation Formulas'!$C$21</f>
        <v>35.841056000000002</v>
      </c>
      <c r="F96" s="237"/>
      <c r="G96" s="217">
        <v>930.1</v>
      </c>
    </row>
    <row r="97" spans="1:7">
      <c r="A97" s="15">
        <v>83</v>
      </c>
      <c r="B97" s="217" t="s">
        <v>2087</v>
      </c>
      <c r="C97" s="217" t="s">
        <v>2088</v>
      </c>
      <c r="D97" s="237">
        <v>73</v>
      </c>
      <c r="E97" s="237">
        <f>+D97*'State Allocation Formulas'!$C$21</f>
        <v>54.874100000000006</v>
      </c>
      <c r="F97" s="237"/>
      <c r="G97" s="217">
        <v>930.1</v>
      </c>
    </row>
    <row r="98" spans="1:7">
      <c r="A98" s="15">
        <v>84</v>
      </c>
      <c r="B98" s="217" t="s">
        <v>2087</v>
      </c>
      <c r="C98" s="217" t="s">
        <v>2089</v>
      </c>
      <c r="D98" s="237">
        <v>219</v>
      </c>
      <c r="E98" s="237">
        <f>+D98*'State Allocation Formulas'!$C$21</f>
        <v>164.6223</v>
      </c>
      <c r="F98" s="237"/>
      <c r="G98" s="217">
        <v>930.1</v>
      </c>
    </row>
    <row r="99" spans="1:7">
      <c r="A99" s="15">
        <v>85</v>
      </c>
      <c r="B99" s="217" t="s">
        <v>2090</v>
      </c>
      <c r="C99" s="217" t="s">
        <v>2090</v>
      </c>
      <c r="D99" s="237">
        <v>745</v>
      </c>
      <c r="E99" s="237">
        <f>+D99*'State Allocation Formulas'!$C$21</f>
        <v>560.01650000000006</v>
      </c>
      <c r="F99" s="237"/>
      <c r="G99" s="217">
        <v>930.1</v>
      </c>
    </row>
    <row r="100" spans="1:7">
      <c r="A100" s="15">
        <v>86</v>
      </c>
      <c r="B100" s="217" t="s">
        <v>2091</v>
      </c>
      <c r="C100" s="217" t="s">
        <v>2052</v>
      </c>
      <c r="D100" s="237">
        <v>164.21</v>
      </c>
      <c r="E100" s="237">
        <f>+D100*'State Allocation Formulas'!$C$21</f>
        <v>123.43665700000001</v>
      </c>
      <c r="F100" s="237"/>
      <c r="G100" s="217">
        <v>930.1</v>
      </c>
    </row>
    <row r="101" spans="1:7">
      <c r="A101" s="15">
        <v>87</v>
      </c>
      <c r="B101" s="217" t="s">
        <v>2092</v>
      </c>
      <c r="C101" s="217" t="s">
        <v>2052</v>
      </c>
      <c r="D101" s="237">
        <v>250.59</v>
      </c>
      <c r="E101" s="237">
        <f>+D101*'State Allocation Formulas'!$C$21</f>
        <v>188.368503</v>
      </c>
      <c r="F101" s="237"/>
      <c r="G101" s="217">
        <v>930.1</v>
      </c>
    </row>
    <row r="102" spans="1:7">
      <c r="A102" s="15">
        <v>88</v>
      </c>
      <c r="B102" s="217" t="s">
        <v>2093</v>
      </c>
      <c r="C102" s="217" t="s">
        <v>2052</v>
      </c>
      <c r="D102" s="237">
        <v>348.74</v>
      </c>
      <c r="E102" s="237">
        <f>+D102*'State Allocation Formulas'!$C$21</f>
        <v>262.14785800000004</v>
      </c>
      <c r="F102" s="237"/>
      <c r="G102" s="217">
        <v>930.1</v>
      </c>
    </row>
    <row r="103" spans="1:7">
      <c r="A103" s="15">
        <v>89</v>
      </c>
      <c r="B103" s="217" t="s">
        <v>2094</v>
      </c>
      <c r="C103" s="217" t="s">
        <v>2095</v>
      </c>
      <c r="D103" s="237">
        <v>37.25</v>
      </c>
      <c r="E103" s="237">
        <f>+D103*'State Allocation Formulas'!$C$21</f>
        <v>28.000825000000003</v>
      </c>
      <c r="F103" s="237"/>
      <c r="G103" s="217">
        <v>930.1</v>
      </c>
    </row>
    <row r="104" spans="1:7">
      <c r="A104" s="15">
        <v>90</v>
      </c>
      <c r="B104" s="217" t="s">
        <v>2096</v>
      </c>
      <c r="C104" s="217" t="s">
        <v>2056</v>
      </c>
      <c r="D104" s="237">
        <v>324.44</v>
      </c>
      <c r="E104" s="237">
        <f>+D104*'State Allocation Formulas'!$C$21</f>
        <v>243.88154800000001</v>
      </c>
      <c r="F104" s="237"/>
      <c r="G104" s="217">
        <v>930.1</v>
      </c>
    </row>
    <row r="105" spans="1:7">
      <c r="A105" s="15">
        <v>91</v>
      </c>
      <c r="B105" s="217" t="s">
        <v>2097</v>
      </c>
      <c r="C105" s="217" t="s">
        <v>2098</v>
      </c>
      <c r="D105" s="237">
        <v>43.8</v>
      </c>
      <c r="E105" s="237">
        <f>+D105*'State Allocation Formulas'!$C$21</f>
        <v>32.924459999999996</v>
      </c>
      <c r="F105" s="237"/>
      <c r="G105" s="217">
        <v>930.1</v>
      </c>
    </row>
    <row r="106" spans="1:7">
      <c r="A106" s="15">
        <v>92</v>
      </c>
      <c r="B106" s="217" t="s">
        <v>2099</v>
      </c>
      <c r="C106" s="217" t="s">
        <v>2100</v>
      </c>
      <c r="D106" s="237">
        <v>36.5</v>
      </c>
      <c r="E106" s="237">
        <f>+D106*'State Allocation Formulas'!$C$21</f>
        <v>27.437050000000003</v>
      </c>
      <c r="F106" s="237"/>
      <c r="G106" s="217">
        <v>930.1</v>
      </c>
    </row>
    <row r="107" spans="1:7">
      <c r="A107" s="15">
        <v>93</v>
      </c>
      <c r="B107" s="217" t="s">
        <v>2101</v>
      </c>
      <c r="C107" s="217" t="s">
        <v>2102</v>
      </c>
      <c r="D107" s="237">
        <v>365</v>
      </c>
      <c r="E107" s="237">
        <f>+D107*'State Allocation Formulas'!$C$21</f>
        <v>274.37049999999999</v>
      </c>
      <c r="F107" s="237"/>
      <c r="G107" s="217">
        <v>930.1</v>
      </c>
    </row>
    <row r="108" spans="1:7">
      <c r="A108" s="15">
        <v>94</v>
      </c>
      <c r="B108" s="217" t="s">
        <v>2103</v>
      </c>
      <c r="C108" s="217" t="s">
        <v>2104</v>
      </c>
      <c r="D108" s="237">
        <v>197.1</v>
      </c>
      <c r="E108" s="237">
        <f>+D108*'State Allocation Formulas'!$C$21</f>
        <v>148.16006999999999</v>
      </c>
      <c r="F108" s="237"/>
      <c r="G108" s="217">
        <v>930.1</v>
      </c>
    </row>
    <row r="109" spans="1:7">
      <c r="A109" s="15">
        <v>95</v>
      </c>
      <c r="B109" s="217" t="s">
        <v>2105</v>
      </c>
      <c r="C109" s="217" t="s">
        <v>2052</v>
      </c>
      <c r="D109" s="237">
        <v>328.06</v>
      </c>
      <c r="E109" s="237">
        <f>+D109*'State Allocation Formulas'!$C$21</f>
        <v>246.60270200000002</v>
      </c>
      <c r="F109" s="237"/>
      <c r="G109" s="217">
        <v>930.1</v>
      </c>
    </row>
    <row r="110" spans="1:7">
      <c r="A110" s="15">
        <v>96</v>
      </c>
      <c r="B110" s="217" t="s">
        <v>2106</v>
      </c>
      <c r="C110" s="217" t="s">
        <v>2052</v>
      </c>
      <c r="D110" s="237">
        <v>639.72</v>
      </c>
      <c r="E110" s="237">
        <f>+D110*'State Allocation Formulas'!$C$21</f>
        <v>480.87752400000005</v>
      </c>
      <c r="F110" s="237"/>
      <c r="G110" s="217">
        <v>930.1</v>
      </c>
    </row>
    <row r="111" spans="1:7">
      <c r="A111" s="15">
        <v>97</v>
      </c>
      <c r="B111" s="217" t="s">
        <v>2107</v>
      </c>
      <c r="C111" s="217" t="s">
        <v>2052</v>
      </c>
      <c r="D111" s="237">
        <v>718.61</v>
      </c>
      <c r="E111" s="237">
        <f>+D111*'State Allocation Formulas'!$C$21</f>
        <v>540.17913700000008</v>
      </c>
      <c r="F111" s="237"/>
      <c r="G111" s="217">
        <v>930.1</v>
      </c>
    </row>
    <row r="112" spans="1:7">
      <c r="A112" s="15">
        <v>98</v>
      </c>
      <c r="B112" s="217" t="s">
        <v>2108</v>
      </c>
      <c r="C112" s="217" t="s">
        <v>2072</v>
      </c>
      <c r="D112" s="237">
        <v>292</v>
      </c>
      <c r="E112" s="237">
        <f>+D112*'State Allocation Formulas'!$C$21</f>
        <v>219.49640000000002</v>
      </c>
      <c r="F112" s="237"/>
      <c r="G112" s="217">
        <v>930.1</v>
      </c>
    </row>
    <row r="113" spans="1:7">
      <c r="A113" s="15">
        <v>99</v>
      </c>
      <c r="B113" s="217" t="s">
        <v>2109</v>
      </c>
      <c r="C113" s="217" t="s">
        <v>2110</v>
      </c>
      <c r="D113" s="237">
        <v>73</v>
      </c>
      <c r="E113" s="237">
        <f>+D113*'State Allocation Formulas'!$C$21</f>
        <v>54.874100000000006</v>
      </c>
      <c r="F113" s="237"/>
      <c r="G113" s="217">
        <v>930.1</v>
      </c>
    </row>
    <row r="114" spans="1:7">
      <c r="A114" s="15">
        <v>100</v>
      </c>
      <c r="B114" s="217" t="s">
        <v>2111</v>
      </c>
      <c r="C114" s="217" t="s">
        <v>2112</v>
      </c>
      <c r="D114" s="237">
        <v>2336</v>
      </c>
      <c r="E114" s="237">
        <f>+D114*'State Allocation Formulas'!$C$21</f>
        <v>1755.9712000000002</v>
      </c>
      <c r="F114" s="237"/>
      <c r="G114" s="217">
        <v>930.1</v>
      </c>
    </row>
    <row r="115" spans="1:7">
      <c r="A115" s="15">
        <v>101</v>
      </c>
      <c r="B115" s="217" t="s">
        <v>2113</v>
      </c>
      <c r="C115" s="217" t="s">
        <v>2114</v>
      </c>
      <c r="D115" s="237">
        <v>0</v>
      </c>
      <c r="E115" s="237">
        <f>+D115*'State Allocation Formulas'!$C$21</f>
        <v>0</v>
      </c>
      <c r="F115" s="237"/>
      <c r="G115" s="217">
        <v>930.1</v>
      </c>
    </row>
    <row r="116" spans="1:7">
      <c r="A116" s="15">
        <v>102</v>
      </c>
      <c r="B116" s="217" t="s">
        <v>2115</v>
      </c>
      <c r="C116" s="217" t="s">
        <v>2072</v>
      </c>
      <c r="D116" s="237">
        <v>547.5</v>
      </c>
      <c r="E116" s="237">
        <f>+D116*'State Allocation Formulas'!$C$21</f>
        <v>411.55575000000005</v>
      </c>
      <c r="F116" s="237"/>
      <c r="G116" s="217">
        <v>930.1</v>
      </c>
    </row>
    <row r="117" spans="1:7">
      <c r="A117" s="15">
        <v>103</v>
      </c>
      <c r="B117" s="217" t="s">
        <v>2115</v>
      </c>
      <c r="C117" s="217" t="s">
        <v>2072</v>
      </c>
      <c r="D117" s="237">
        <v>547.5</v>
      </c>
      <c r="E117" s="237">
        <f>+D117*'State Allocation Formulas'!$C$21</f>
        <v>411.55575000000005</v>
      </c>
      <c r="F117" s="237"/>
      <c r="G117" s="217">
        <v>930.1</v>
      </c>
    </row>
    <row r="118" spans="1:7">
      <c r="A118" s="15">
        <v>104</v>
      </c>
      <c r="B118" s="217" t="s">
        <v>2116</v>
      </c>
      <c r="C118" s="217" t="s">
        <v>2117</v>
      </c>
      <c r="D118" s="237">
        <v>-3.49</v>
      </c>
      <c r="E118" s="237">
        <f>+D118*'State Allocation Formulas'!$C$21</f>
        <v>-2.6234330000000003</v>
      </c>
      <c r="F118" s="237"/>
      <c r="G118" s="217">
        <v>930.1</v>
      </c>
    </row>
    <row r="119" spans="1:7">
      <c r="A119" s="15">
        <v>105</v>
      </c>
      <c r="B119" s="217" t="s">
        <v>2118</v>
      </c>
      <c r="C119" s="217" t="s">
        <v>2117</v>
      </c>
      <c r="D119" s="237">
        <v>-4.5999999999999996</v>
      </c>
      <c r="E119" s="237">
        <f>+D119*'State Allocation Formulas'!$C$21</f>
        <v>-3.4578199999999999</v>
      </c>
      <c r="F119" s="237"/>
      <c r="G119" s="217">
        <v>930.1</v>
      </c>
    </row>
    <row r="120" spans="1:7">
      <c r="A120" s="15">
        <v>106</v>
      </c>
      <c r="B120" s="217" t="s">
        <v>2119</v>
      </c>
      <c r="C120" s="217" t="s">
        <v>2112</v>
      </c>
      <c r="D120" s="237">
        <v>95.63</v>
      </c>
      <c r="E120" s="237">
        <f>+D120*'State Allocation Formulas'!$C$21</f>
        <v>71.885070999999996</v>
      </c>
      <c r="F120" s="237"/>
      <c r="G120" s="217">
        <v>930.1</v>
      </c>
    </row>
    <row r="121" spans="1:7">
      <c r="A121" s="15">
        <v>107</v>
      </c>
      <c r="B121" s="217" t="s">
        <v>2120</v>
      </c>
      <c r="C121" s="217" t="s">
        <v>2046</v>
      </c>
      <c r="D121" s="237">
        <v>18.25</v>
      </c>
      <c r="E121" s="237">
        <f>+D121*'State Allocation Formulas'!$C$21</f>
        <v>13.718525000000001</v>
      </c>
      <c r="F121" s="237"/>
      <c r="G121" s="217">
        <v>930.1</v>
      </c>
    </row>
    <row r="122" spans="1:7">
      <c r="A122" s="15">
        <v>108</v>
      </c>
      <c r="B122" s="217" t="s">
        <v>2121</v>
      </c>
      <c r="C122" s="217" t="s">
        <v>2054</v>
      </c>
      <c r="D122" s="237">
        <v>280.32</v>
      </c>
      <c r="E122" s="237">
        <f>+D122*'State Allocation Formulas'!$C$21</f>
        <v>210.716544</v>
      </c>
      <c r="F122" s="237"/>
      <c r="G122" s="217">
        <v>930.1</v>
      </c>
    </row>
    <row r="123" spans="1:7">
      <c r="A123" s="15">
        <v>109</v>
      </c>
      <c r="B123" s="217" t="s">
        <v>2122</v>
      </c>
      <c r="C123" s="217" t="s">
        <v>2123</v>
      </c>
      <c r="D123" s="237">
        <v>37.81</v>
      </c>
      <c r="E123" s="237">
        <f>+D123*'State Allocation Formulas'!$C$21</f>
        <v>28.421777000000002</v>
      </c>
      <c r="F123" s="237"/>
      <c r="G123" s="217">
        <v>930.1</v>
      </c>
    </row>
    <row r="124" spans="1:7">
      <c r="A124" s="15">
        <v>110</v>
      </c>
      <c r="B124" s="217" t="s">
        <v>2124</v>
      </c>
      <c r="C124" s="217" t="s">
        <v>2067</v>
      </c>
      <c r="D124" s="237">
        <v>70.08</v>
      </c>
      <c r="E124" s="237">
        <f>+D124*'State Allocation Formulas'!$C$21</f>
        <v>52.679136</v>
      </c>
      <c r="F124" s="237"/>
      <c r="G124" s="217">
        <v>930.1</v>
      </c>
    </row>
    <row r="125" spans="1:7">
      <c r="A125" s="15">
        <v>111</v>
      </c>
      <c r="B125" s="217" t="s">
        <v>2125</v>
      </c>
      <c r="C125" s="217" t="s">
        <v>2126</v>
      </c>
      <c r="D125" s="237">
        <v>486.62</v>
      </c>
      <c r="E125" s="237">
        <f>+D125*'State Allocation Formulas'!$C$21</f>
        <v>365.79225400000001</v>
      </c>
      <c r="F125" s="237"/>
      <c r="G125" s="217">
        <v>930.1</v>
      </c>
    </row>
    <row r="126" spans="1:7">
      <c r="A126" s="15">
        <v>112</v>
      </c>
      <c r="B126" s="217" t="s">
        <v>2127</v>
      </c>
      <c r="C126" s="217" t="s">
        <v>2128</v>
      </c>
      <c r="D126" s="237">
        <v>36.5</v>
      </c>
      <c r="E126" s="237">
        <f>+D126*'State Allocation Formulas'!$C$21</f>
        <v>27.437050000000003</v>
      </c>
      <c r="F126" s="237"/>
      <c r="G126" s="217">
        <v>930.1</v>
      </c>
    </row>
    <row r="127" spans="1:7">
      <c r="A127" s="15">
        <v>113</v>
      </c>
      <c r="B127" s="217" t="s">
        <v>2129</v>
      </c>
      <c r="C127" s="217" t="s">
        <v>2130</v>
      </c>
      <c r="D127" s="237">
        <v>51.1</v>
      </c>
      <c r="E127" s="237">
        <f>+D127*'State Allocation Formulas'!$C$21</f>
        <v>38.41187</v>
      </c>
      <c r="F127" s="237"/>
      <c r="G127" s="217">
        <v>930.1</v>
      </c>
    </row>
    <row r="128" spans="1:7">
      <c r="A128" s="15">
        <v>114</v>
      </c>
      <c r="B128" s="217" t="s">
        <v>2131</v>
      </c>
      <c r="C128" s="217" t="s">
        <v>2132</v>
      </c>
      <c r="D128" s="237">
        <v>116.8</v>
      </c>
      <c r="E128" s="237">
        <f>+D128*'State Allocation Formulas'!$C$21</f>
        <v>87.798559999999995</v>
      </c>
      <c r="F128" s="237"/>
      <c r="G128" s="217">
        <v>930.1</v>
      </c>
    </row>
    <row r="129" spans="1:7">
      <c r="A129" s="15">
        <v>115</v>
      </c>
      <c r="B129" s="217" t="s">
        <v>2133</v>
      </c>
      <c r="C129" s="217" t="s">
        <v>2134</v>
      </c>
      <c r="D129" s="237">
        <v>146</v>
      </c>
      <c r="E129" s="237">
        <f>+D129*'State Allocation Formulas'!$C$21</f>
        <v>109.74820000000001</v>
      </c>
      <c r="F129" s="237"/>
      <c r="G129" s="217">
        <v>930.1</v>
      </c>
    </row>
    <row r="130" spans="1:7">
      <c r="A130" s="15">
        <v>116</v>
      </c>
      <c r="B130" s="217" t="s">
        <v>2135</v>
      </c>
      <c r="C130" s="217" t="s">
        <v>2136</v>
      </c>
      <c r="D130" s="237">
        <v>43.8</v>
      </c>
      <c r="E130" s="237">
        <f>+D130*'State Allocation Formulas'!$C$21</f>
        <v>32.924459999999996</v>
      </c>
      <c r="F130" s="237"/>
      <c r="G130" s="217">
        <v>930.1</v>
      </c>
    </row>
    <row r="131" spans="1:7">
      <c r="A131" s="15">
        <v>117</v>
      </c>
      <c r="B131" s="217" t="s">
        <v>2137</v>
      </c>
      <c r="C131" s="217" t="s">
        <v>2138</v>
      </c>
      <c r="D131" s="237">
        <v>730</v>
      </c>
      <c r="E131" s="237">
        <f>+D131*'State Allocation Formulas'!$C$21</f>
        <v>548.74099999999999</v>
      </c>
      <c r="F131" s="237"/>
      <c r="G131" s="217">
        <v>930.1</v>
      </c>
    </row>
    <row r="132" spans="1:7">
      <c r="A132" s="15">
        <v>118</v>
      </c>
      <c r="B132" s="217" t="s">
        <v>2139</v>
      </c>
      <c r="C132" s="217" t="s">
        <v>2140</v>
      </c>
      <c r="D132" s="237">
        <v>2.48</v>
      </c>
      <c r="E132" s="237">
        <f>+D132*'State Allocation Formulas'!$C$21</f>
        <v>1.8642160000000001</v>
      </c>
      <c r="F132" s="237"/>
      <c r="G132" s="217">
        <v>930.1</v>
      </c>
    </row>
    <row r="133" spans="1:7">
      <c r="A133" s="15">
        <v>119</v>
      </c>
      <c r="B133" s="217" t="s">
        <v>2139</v>
      </c>
      <c r="C133" s="217" t="s">
        <v>2140</v>
      </c>
      <c r="D133" s="237">
        <v>2.0299999999999998</v>
      </c>
      <c r="E133" s="237">
        <f>+D133*'State Allocation Formulas'!$C$21</f>
        <v>1.5259509999999998</v>
      </c>
      <c r="F133" s="237"/>
      <c r="G133" s="217">
        <v>930.1</v>
      </c>
    </row>
    <row r="134" spans="1:7">
      <c r="A134" s="15">
        <v>120</v>
      </c>
      <c r="B134" s="217" t="s">
        <v>2139</v>
      </c>
      <c r="C134" s="217" t="s">
        <v>2140</v>
      </c>
      <c r="D134" s="237">
        <v>1.87</v>
      </c>
      <c r="E134" s="237">
        <f>+D134*'State Allocation Formulas'!$C$21</f>
        <v>1.4056790000000001</v>
      </c>
      <c r="F134" s="237"/>
      <c r="G134" s="217">
        <v>930.1</v>
      </c>
    </row>
    <row r="135" spans="1:7">
      <c r="A135" s="15">
        <v>121</v>
      </c>
      <c r="B135" s="217" t="s">
        <v>2141</v>
      </c>
      <c r="C135" s="217" t="s">
        <v>2140</v>
      </c>
      <c r="D135" s="237">
        <v>1.97</v>
      </c>
      <c r="E135" s="237">
        <f>+D135*'State Allocation Formulas'!$C$21</f>
        <v>1.4808490000000001</v>
      </c>
      <c r="F135" s="237"/>
      <c r="G135" s="217">
        <v>930.1</v>
      </c>
    </row>
    <row r="136" spans="1:7">
      <c r="A136" s="15">
        <v>122</v>
      </c>
      <c r="B136" s="217" t="s">
        <v>2142</v>
      </c>
      <c r="C136" s="217" t="s">
        <v>2044</v>
      </c>
      <c r="D136" s="237">
        <v>1324.59</v>
      </c>
      <c r="E136" s="237">
        <f>+D136*'State Allocation Formulas'!$C$21</f>
        <v>995.69430299999999</v>
      </c>
      <c r="F136" s="237"/>
      <c r="G136" s="217">
        <v>930.1</v>
      </c>
    </row>
    <row r="137" spans="1:7">
      <c r="A137" s="15">
        <v>123</v>
      </c>
      <c r="B137" s="217" t="s">
        <v>2143</v>
      </c>
      <c r="C137" s="217" t="s">
        <v>2144</v>
      </c>
      <c r="D137" s="237">
        <v>14.6</v>
      </c>
      <c r="E137" s="237">
        <f>+D137*'State Allocation Formulas'!$C$21</f>
        <v>10.974819999999999</v>
      </c>
      <c r="F137" s="237"/>
      <c r="G137" s="217">
        <v>930.1</v>
      </c>
    </row>
    <row r="138" spans="1:7">
      <c r="A138" s="15">
        <v>124</v>
      </c>
      <c r="B138" s="217" t="s">
        <v>2145</v>
      </c>
      <c r="C138" s="217" t="s">
        <v>2146</v>
      </c>
      <c r="D138" s="237">
        <v>16.97</v>
      </c>
      <c r="E138" s="237">
        <f>+D138*'State Allocation Formulas'!$C$21</f>
        <v>12.756349</v>
      </c>
      <c r="F138" s="237"/>
      <c r="G138" s="217">
        <v>930.1</v>
      </c>
    </row>
    <row r="139" spans="1:7">
      <c r="A139" s="15">
        <v>125</v>
      </c>
      <c r="B139" s="217" t="s">
        <v>2145</v>
      </c>
      <c r="C139" s="217" t="s">
        <v>2146</v>
      </c>
      <c r="D139" s="237">
        <v>3.15</v>
      </c>
      <c r="E139" s="237">
        <f>+D139*'State Allocation Formulas'!$C$21</f>
        <v>2.367855</v>
      </c>
      <c r="F139" s="237"/>
      <c r="G139" s="217">
        <v>930.1</v>
      </c>
    </row>
    <row r="140" spans="1:7">
      <c r="A140" s="15">
        <v>126</v>
      </c>
      <c r="B140" s="217" t="s">
        <v>2147</v>
      </c>
      <c r="C140" s="217" t="s">
        <v>2148</v>
      </c>
      <c r="D140" s="237">
        <v>29.2</v>
      </c>
      <c r="E140" s="237">
        <f>+D140*'State Allocation Formulas'!$C$21</f>
        <v>21.949639999999999</v>
      </c>
      <c r="F140" s="237"/>
      <c r="G140" s="217">
        <v>930.1</v>
      </c>
    </row>
    <row r="141" spans="1:7">
      <c r="A141" s="15">
        <v>127</v>
      </c>
      <c r="B141" s="217" t="s">
        <v>2149</v>
      </c>
      <c r="C141" s="217" t="s">
        <v>2150</v>
      </c>
      <c r="D141" s="237">
        <v>245.28</v>
      </c>
      <c r="E141" s="237">
        <f>+D141*'State Allocation Formulas'!$C$21</f>
        <v>184.37697600000001</v>
      </c>
      <c r="F141" s="237"/>
      <c r="G141" s="217">
        <v>930.1</v>
      </c>
    </row>
    <row r="142" spans="1:7">
      <c r="A142" s="15">
        <v>128</v>
      </c>
      <c r="B142" s="217" t="s">
        <v>2151</v>
      </c>
      <c r="C142" s="217" t="s">
        <v>2146</v>
      </c>
      <c r="D142" s="237">
        <v>100.86</v>
      </c>
      <c r="E142" s="237">
        <f>+D142*'State Allocation Formulas'!$C$21</f>
        <v>75.816462000000001</v>
      </c>
      <c r="F142" s="237"/>
      <c r="G142" s="217">
        <v>930.1</v>
      </c>
    </row>
    <row r="143" spans="1:7">
      <c r="A143" s="15">
        <v>129</v>
      </c>
      <c r="B143" s="217" t="s">
        <v>2152</v>
      </c>
      <c r="C143" s="217" t="s">
        <v>2153</v>
      </c>
      <c r="D143" s="237">
        <v>327.04000000000002</v>
      </c>
      <c r="E143" s="237">
        <f>+D143*'State Allocation Formulas'!$C$21</f>
        <v>245.83596800000004</v>
      </c>
      <c r="F143" s="237"/>
      <c r="G143" s="217">
        <v>930.1</v>
      </c>
    </row>
    <row r="144" spans="1:7">
      <c r="A144" s="15">
        <v>130</v>
      </c>
      <c r="B144" s="217" t="s">
        <v>2154</v>
      </c>
      <c r="C144" s="217" t="s">
        <v>2146</v>
      </c>
      <c r="D144" s="237">
        <v>49.46</v>
      </c>
      <c r="E144" s="237">
        <f>+D144*'State Allocation Formulas'!$C$21</f>
        <v>37.179082000000001</v>
      </c>
      <c r="F144" s="237"/>
      <c r="G144" s="217">
        <v>930.1</v>
      </c>
    </row>
    <row r="145" spans="1:7">
      <c r="A145" s="15">
        <v>131</v>
      </c>
      <c r="B145" s="217" t="s">
        <v>2155</v>
      </c>
      <c r="C145" s="217" t="s">
        <v>2156</v>
      </c>
      <c r="D145" s="237">
        <v>146</v>
      </c>
      <c r="E145" s="237">
        <f>+D145*'State Allocation Formulas'!$C$21</f>
        <v>109.74820000000001</v>
      </c>
      <c r="F145" s="237"/>
      <c r="G145" s="217">
        <v>930.1</v>
      </c>
    </row>
    <row r="146" spans="1:7">
      <c r="A146" s="15">
        <v>132</v>
      </c>
      <c r="B146" s="217" t="s">
        <v>2157</v>
      </c>
      <c r="C146" s="217" t="s">
        <v>2158</v>
      </c>
      <c r="D146" s="237">
        <v>730</v>
      </c>
      <c r="E146" s="237">
        <f>+D146*'State Allocation Formulas'!$C$21</f>
        <v>548.74099999999999</v>
      </c>
      <c r="F146" s="237"/>
      <c r="G146" s="217">
        <v>930.1</v>
      </c>
    </row>
    <row r="147" spans="1:7">
      <c r="A147" s="15">
        <v>133</v>
      </c>
      <c r="B147" s="217" t="s">
        <v>2159</v>
      </c>
      <c r="C147" s="217" t="s">
        <v>2160</v>
      </c>
      <c r="D147" s="237">
        <v>378.83</v>
      </c>
      <c r="E147" s="237">
        <f>+D147*'State Allocation Formulas'!$C$21</f>
        <v>284.76651099999998</v>
      </c>
      <c r="F147" s="237"/>
      <c r="G147" s="217">
        <v>930.1</v>
      </c>
    </row>
    <row r="148" spans="1:7">
      <c r="A148" s="15">
        <v>134</v>
      </c>
      <c r="B148" s="217" t="s">
        <v>2161</v>
      </c>
      <c r="C148" s="217" t="s">
        <v>2162</v>
      </c>
      <c r="D148" s="237">
        <v>2920</v>
      </c>
      <c r="E148" s="237">
        <f>+D148*'State Allocation Formulas'!$C$21</f>
        <v>2194.9639999999999</v>
      </c>
      <c r="F148" s="237"/>
      <c r="G148" s="217">
        <v>930.1</v>
      </c>
    </row>
    <row r="149" spans="1:7">
      <c r="A149" s="15">
        <v>135</v>
      </c>
      <c r="B149" s="217" t="s">
        <v>2163</v>
      </c>
      <c r="C149" s="217" t="s">
        <v>2056</v>
      </c>
      <c r="D149" s="237">
        <v>324.44</v>
      </c>
      <c r="E149" s="237">
        <f>+D149*'State Allocation Formulas'!$C$21</f>
        <v>243.88154800000001</v>
      </c>
      <c r="F149" s="237"/>
      <c r="G149" s="217">
        <v>930.1</v>
      </c>
    </row>
    <row r="150" spans="1:7">
      <c r="A150" s="15">
        <v>136</v>
      </c>
      <c r="B150" s="217" t="s">
        <v>2164</v>
      </c>
      <c r="C150" s="217" t="s">
        <v>2052</v>
      </c>
      <c r="D150" s="237">
        <v>410.27</v>
      </c>
      <c r="E150" s="237">
        <f>+D150*'State Allocation Formulas'!$C$21</f>
        <v>308.39995900000002</v>
      </c>
      <c r="F150" s="237"/>
      <c r="G150" s="217">
        <v>930.1</v>
      </c>
    </row>
    <row r="151" spans="1:7">
      <c r="A151" s="15">
        <v>137</v>
      </c>
      <c r="B151" s="217" t="s">
        <v>2164</v>
      </c>
      <c r="C151" s="217" t="s">
        <v>2052</v>
      </c>
      <c r="D151" s="237">
        <v>717.05</v>
      </c>
      <c r="E151" s="237">
        <f>+D151*'State Allocation Formulas'!$C$21</f>
        <v>539.006485</v>
      </c>
      <c r="F151" s="237"/>
      <c r="G151" s="217">
        <v>930.1</v>
      </c>
    </row>
    <row r="152" spans="1:7">
      <c r="A152" s="15">
        <v>138</v>
      </c>
      <c r="B152" s="217" t="s">
        <v>2165</v>
      </c>
      <c r="C152" s="217" t="s">
        <v>2052</v>
      </c>
      <c r="D152" s="237">
        <v>109.35</v>
      </c>
      <c r="E152" s="237">
        <f>+D152*'State Allocation Formulas'!$C$21</f>
        <v>82.198395000000005</v>
      </c>
      <c r="F152" s="237"/>
      <c r="G152" s="217">
        <v>930.1</v>
      </c>
    </row>
    <row r="153" spans="1:7">
      <c r="A153" s="15">
        <v>139</v>
      </c>
      <c r="B153" s="217" t="s">
        <v>2165</v>
      </c>
      <c r="C153" s="217" t="s">
        <v>2052</v>
      </c>
      <c r="D153" s="237">
        <v>416.91</v>
      </c>
      <c r="E153" s="237">
        <f>+D153*'State Allocation Formulas'!$C$21</f>
        <v>313.39124700000002</v>
      </c>
      <c r="F153" s="237"/>
      <c r="G153" s="217">
        <v>930.1</v>
      </c>
    </row>
    <row r="154" spans="1:7">
      <c r="A154" s="15">
        <v>140</v>
      </c>
      <c r="B154" s="217" t="s">
        <v>2166</v>
      </c>
      <c r="C154" s="217" t="s">
        <v>2052</v>
      </c>
      <c r="D154" s="237">
        <v>175.75</v>
      </c>
      <c r="E154" s="237">
        <f>+D154*'State Allocation Formulas'!$C$21</f>
        <v>132.11127500000001</v>
      </c>
      <c r="F154" s="237"/>
      <c r="G154" s="217">
        <v>930.1</v>
      </c>
    </row>
    <row r="155" spans="1:7">
      <c r="A155" s="15">
        <v>141</v>
      </c>
      <c r="B155" s="217" t="s">
        <v>2167</v>
      </c>
      <c r="C155" s="217" t="s">
        <v>2168</v>
      </c>
      <c r="D155" s="237">
        <v>146</v>
      </c>
      <c r="E155" s="237">
        <f>+D155*'State Allocation Formulas'!$C$21</f>
        <v>109.74820000000001</v>
      </c>
      <c r="F155" s="237"/>
      <c r="G155" s="217">
        <v>930.1</v>
      </c>
    </row>
    <row r="156" spans="1:7">
      <c r="A156" s="15">
        <v>142</v>
      </c>
      <c r="B156" s="217" t="s">
        <v>2169</v>
      </c>
      <c r="C156" s="217" t="s">
        <v>2052</v>
      </c>
      <c r="D156" s="237">
        <v>314</v>
      </c>
      <c r="E156" s="237">
        <f>+D156*'State Allocation Formulas'!$C$21</f>
        <v>236.03380000000001</v>
      </c>
      <c r="F156" s="237"/>
      <c r="G156" s="217">
        <v>930.1</v>
      </c>
    </row>
    <row r="157" spans="1:7">
      <c r="A157" s="15">
        <v>143</v>
      </c>
      <c r="B157" s="217" t="s">
        <v>2013</v>
      </c>
      <c r="C157" s="217" t="s">
        <v>2014</v>
      </c>
      <c r="D157" s="237">
        <v>84.71</v>
      </c>
      <c r="E157" s="237">
        <f>+D157*'State Allocation Formulas'!$C$21</f>
        <v>63.676507000000001</v>
      </c>
      <c r="F157" s="237"/>
      <c r="G157" s="217">
        <v>930.1</v>
      </c>
    </row>
    <row r="159" spans="1:7">
      <c r="A159" s="218">
        <v>144</v>
      </c>
      <c r="E159" s="365">
        <f>SUM(E28:E157)</f>
        <v>23274.466148000007</v>
      </c>
      <c r="F159" s="365">
        <f>SUM(F28:F157)</f>
        <v>2440</v>
      </c>
    </row>
    <row r="160" spans="1:7">
      <c r="A160" s="218">
        <v>145</v>
      </c>
      <c r="B160" s="14" t="s">
        <v>661</v>
      </c>
      <c r="F160" s="365">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theme="7" tint="0.79998168889431442"/>
  </sheetPr>
  <dimension ref="A1:P34"/>
  <sheetViews>
    <sheetView view="pageBreakPreview" topLeftCell="A3" zoomScale="80" zoomScaleNormal="100" zoomScaleSheetLayoutView="80" workbookViewId="0">
      <selection activeCell="I16" sqref="I16"/>
    </sheetView>
  </sheetViews>
  <sheetFormatPr defaultRowHeight="14.4"/>
  <cols>
    <col min="1" max="1" width="9.33203125" style="613" bestFit="1" customWidth="1"/>
    <col min="8" max="8" width="19.88671875" bestFit="1" customWidth="1"/>
    <col min="12" max="12" width="14.33203125" bestFit="1" customWidth="1"/>
    <col min="15" max="15" width="10.109375" bestFit="1" customWidth="1"/>
  </cols>
  <sheetData>
    <row r="1" spans="1:16" ht="15.6">
      <c r="B1" s="3"/>
      <c r="C1" s="1960"/>
      <c r="D1" s="1960"/>
      <c r="E1" s="1960"/>
      <c r="F1" s="1960"/>
      <c r="G1" s="1960"/>
      <c r="H1" s="1960"/>
      <c r="I1" s="3"/>
      <c r="J1" s="3"/>
      <c r="K1" s="3"/>
      <c r="L1" s="3"/>
      <c r="M1" s="3"/>
    </row>
    <row r="2" spans="1:16" ht="15.6">
      <c r="A2" s="1926" t="s">
        <v>52</v>
      </c>
      <c r="B2" s="1926"/>
      <c r="C2" s="1926"/>
      <c r="D2" s="1926"/>
      <c r="E2" s="1926"/>
      <c r="F2" s="1926"/>
      <c r="G2" s="1926"/>
      <c r="H2" s="1926"/>
      <c r="I2" s="1926"/>
      <c r="J2" s="2"/>
      <c r="K2" s="2"/>
      <c r="L2" s="2"/>
      <c r="M2" s="2"/>
    </row>
    <row r="3" spans="1:16" ht="15.6">
      <c r="A3" s="1926" t="s">
        <v>1824</v>
      </c>
      <c r="B3" s="1926"/>
      <c r="C3" s="1926"/>
      <c r="D3" s="1926"/>
      <c r="E3" s="1926"/>
      <c r="F3" s="1926"/>
      <c r="G3" s="1926"/>
      <c r="H3" s="1926"/>
      <c r="I3" s="1926"/>
      <c r="J3" s="2"/>
      <c r="K3" s="2"/>
      <c r="L3" s="2"/>
      <c r="M3" s="2"/>
    </row>
    <row r="4" spans="1:16" ht="15.6">
      <c r="A4" s="1926" t="s">
        <v>1256</v>
      </c>
      <c r="B4" s="1926"/>
      <c r="C4" s="1926"/>
      <c r="D4" s="1926"/>
      <c r="E4" s="1926"/>
      <c r="F4" s="1926"/>
      <c r="G4" s="1926"/>
      <c r="H4" s="1926"/>
      <c r="I4" s="1926"/>
      <c r="J4" s="2"/>
      <c r="K4" s="2"/>
      <c r="L4" s="2"/>
      <c r="M4" s="2"/>
    </row>
    <row r="5" spans="1:16" ht="15.6">
      <c r="A5" s="1954" t="s">
        <v>1819</v>
      </c>
      <c r="B5" s="1954"/>
      <c r="C5" s="1954"/>
      <c r="D5" s="1954"/>
      <c r="E5" s="1954"/>
      <c r="F5" s="1954"/>
      <c r="G5" s="1954"/>
      <c r="H5" s="1954"/>
      <c r="I5" s="1954"/>
      <c r="J5" s="612"/>
      <c r="K5" s="612"/>
      <c r="L5" s="612"/>
      <c r="M5" s="612"/>
    </row>
    <row r="6" spans="1:16" ht="15.6">
      <c r="A6" s="1926" t="s">
        <v>1823</v>
      </c>
      <c r="B6" s="1926"/>
      <c r="C6" s="1926"/>
      <c r="D6" s="1926"/>
      <c r="E6" s="1926"/>
      <c r="F6" s="1926"/>
      <c r="G6" s="1926"/>
      <c r="H6" s="1926"/>
      <c r="I6" s="1926"/>
      <c r="J6" s="2"/>
      <c r="K6" s="2"/>
      <c r="L6" s="2"/>
      <c r="M6" s="2"/>
    </row>
    <row r="7" spans="1:16" s="613" customFormat="1" ht="15.6">
      <c r="B7" s="3"/>
      <c r="C7" s="633"/>
      <c r="D7" s="633"/>
      <c r="E7" s="633"/>
      <c r="F7" s="633"/>
      <c r="G7" s="633"/>
      <c r="H7" s="633"/>
      <c r="I7" s="633"/>
      <c r="J7" s="633"/>
      <c r="K7" s="633"/>
      <c r="L7" s="633"/>
      <c r="M7" s="633"/>
    </row>
    <row r="8" spans="1:16">
      <c r="C8" s="637"/>
      <c r="D8" s="637"/>
      <c r="E8" s="637"/>
      <c r="F8" s="637"/>
      <c r="G8" s="613"/>
      <c r="H8" s="613"/>
      <c r="I8" s="613"/>
      <c r="J8" s="613"/>
    </row>
    <row r="9" spans="1:16" ht="15.6">
      <c r="A9" s="429" t="s">
        <v>649</v>
      </c>
      <c r="B9" s="3"/>
      <c r="C9" s="3"/>
      <c r="D9" s="3"/>
      <c r="E9" s="3"/>
      <c r="F9" s="3"/>
      <c r="G9" s="3"/>
      <c r="H9" s="3"/>
      <c r="I9" s="3"/>
      <c r="J9" s="3"/>
      <c r="K9" s="3"/>
      <c r="L9" s="3"/>
      <c r="M9" s="3"/>
      <c r="N9" s="3"/>
      <c r="O9" s="3"/>
      <c r="P9" s="3"/>
    </row>
    <row r="10" spans="1:16" ht="27" customHeight="1">
      <c r="A10" s="15">
        <v>1</v>
      </c>
      <c r="B10" s="1958" t="s">
        <v>1821</v>
      </c>
      <c r="C10" s="1958"/>
      <c r="D10" s="1958"/>
      <c r="E10" s="1958"/>
      <c r="F10" s="1958"/>
      <c r="G10" s="1958"/>
      <c r="H10" s="3"/>
      <c r="I10" s="3"/>
      <c r="J10" s="3"/>
      <c r="K10" s="3"/>
      <c r="L10" s="3"/>
      <c r="M10" s="3"/>
      <c r="N10" s="3"/>
      <c r="O10" s="3"/>
      <c r="P10" s="3"/>
    </row>
    <row r="11" spans="1:16" ht="15.6">
      <c r="A11" s="15">
        <v>2</v>
      </c>
      <c r="B11" s="3"/>
      <c r="C11" s="1959" t="s">
        <v>2424</v>
      </c>
      <c r="D11" s="1959"/>
      <c r="E11" s="1959"/>
      <c r="F11" s="1959"/>
      <c r="G11" s="1959"/>
      <c r="H11" s="763">
        <f>'Exh 2, Proof of Revenue'!M589</f>
        <v>109752998.32510225</v>
      </c>
      <c r="I11" s="3"/>
      <c r="J11" s="3"/>
      <c r="K11" s="3"/>
      <c r="M11" s="3"/>
      <c r="N11" s="3"/>
      <c r="O11" s="3"/>
      <c r="P11" s="3"/>
    </row>
    <row r="12" spans="1:16" ht="15.6">
      <c r="A12" s="15">
        <v>3</v>
      </c>
      <c r="B12" s="3"/>
      <c r="C12" s="3"/>
      <c r="D12" s="3"/>
      <c r="E12" s="3"/>
      <c r="F12" s="3"/>
      <c r="G12" s="3"/>
      <c r="H12" s="764"/>
      <c r="I12" s="3"/>
      <c r="J12" s="3"/>
      <c r="K12" s="3"/>
      <c r="M12" s="3"/>
      <c r="N12" s="3"/>
      <c r="O12" s="3"/>
      <c r="P12" s="3"/>
    </row>
    <row r="13" spans="1:16" ht="15.6">
      <c r="A13" s="15">
        <v>4</v>
      </c>
      <c r="B13" s="3" t="s">
        <v>1820</v>
      </c>
      <c r="C13" s="3"/>
      <c r="D13" s="3"/>
      <c r="E13" s="3"/>
      <c r="F13" s="3"/>
      <c r="G13" s="3"/>
      <c r="H13" s="764"/>
      <c r="I13" s="3"/>
      <c r="J13" s="3"/>
      <c r="K13" s="3"/>
      <c r="M13" s="3"/>
      <c r="N13" s="3"/>
      <c r="O13" s="3"/>
      <c r="P13" s="3"/>
    </row>
    <row r="14" spans="1:16" ht="16.2" thickBot="1">
      <c r="A14" s="15">
        <v>5</v>
      </c>
      <c r="B14" s="3"/>
      <c r="C14" s="1593" t="s">
        <v>2428</v>
      </c>
      <c r="D14" s="3"/>
      <c r="E14" s="3"/>
      <c r="F14" s="3"/>
      <c r="G14" s="3"/>
      <c r="H14" s="765">
        <f>'Exh 2, Proof of Revenue'!M591</f>
        <v>-98705686.87999998</v>
      </c>
      <c r="I14" s="3"/>
      <c r="J14" s="3"/>
      <c r="K14" s="3"/>
      <c r="M14" s="3"/>
      <c r="N14" s="3"/>
      <c r="O14" s="3"/>
      <c r="P14" s="3"/>
    </row>
    <row r="15" spans="1:16" ht="15.6">
      <c r="A15" s="15">
        <v>6</v>
      </c>
      <c r="B15" s="3"/>
      <c r="C15" s="3"/>
      <c r="D15" s="3"/>
      <c r="E15" s="3"/>
      <c r="F15" s="3"/>
      <c r="G15" s="3"/>
      <c r="H15" s="764"/>
      <c r="I15" s="3"/>
      <c r="J15" s="3"/>
      <c r="K15" s="3"/>
      <c r="M15" s="3"/>
      <c r="N15" s="3"/>
      <c r="O15" s="3"/>
      <c r="P15" s="3"/>
    </row>
    <row r="16" spans="1:16" ht="15.6">
      <c r="A16" s="15">
        <v>7</v>
      </c>
      <c r="B16" s="3" t="s">
        <v>1807</v>
      </c>
      <c r="C16" s="3"/>
      <c r="D16" s="3"/>
      <c r="E16" s="3"/>
      <c r="F16" s="3"/>
      <c r="G16" s="3"/>
      <c r="H16" s="764">
        <f>SUM(H11:H14)</f>
        <v>11047311.445102274</v>
      </c>
      <c r="I16" s="3"/>
      <c r="J16" s="3"/>
      <c r="K16" s="3"/>
      <c r="M16" s="3"/>
      <c r="N16" s="3"/>
      <c r="O16" s="3"/>
      <c r="P16" s="3"/>
    </row>
    <row r="17" spans="1:16" ht="15.6">
      <c r="A17" s="15">
        <v>8</v>
      </c>
      <c r="B17" s="3"/>
      <c r="C17" s="3"/>
      <c r="D17" s="3"/>
      <c r="E17" s="3"/>
      <c r="F17" s="3"/>
      <c r="G17" s="3"/>
      <c r="H17" s="764"/>
      <c r="I17" s="3"/>
      <c r="J17" s="3"/>
      <c r="K17" s="3"/>
      <c r="M17" s="3"/>
      <c r="N17" s="3"/>
      <c r="O17" s="3"/>
      <c r="P17" s="3"/>
    </row>
    <row r="18" spans="1:16" ht="15.6">
      <c r="A18" s="15">
        <v>9</v>
      </c>
      <c r="B18" s="3" t="s">
        <v>2342</v>
      </c>
      <c r="C18" s="3"/>
      <c r="D18" s="3"/>
      <c r="E18" s="3"/>
      <c r="F18" s="3"/>
      <c r="G18" s="3"/>
      <c r="H18" s="764"/>
      <c r="I18" s="3"/>
      <c r="J18" s="3"/>
      <c r="K18" s="3"/>
      <c r="M18" s="3"/>
      <c r="N18" s="3"/>
      <c r="O18" s="3"/>
      <c r="P18" s="3"/>
    </row>
    <row r="19" spans="1:16" ht="16.2" thickBot="1">
      <c r="A19" s="15">
        <v>10</v>
      </c>
      <c r="B19" s="3"/>
      <c r="C19" s="1593" t="s">
        <v>2425</v>
      </c>
      <c r="D19" s="3"/>
      <c r="E19" s="3"/>
      <c r="F19" s="3"/>
      <c r="G19" s="3"/>
      <c r="H19" s="765">
        <f>'Exh 2, Proof of Revenue'!M592</f>
        <v>4221975.1099999994</v>
      </c>
      <c r="I19" s="3"/>
      <c r="J19" s="3"/>
      <c r="K19" s="3"/>
      <c r="M19" s="3"/>
      <c r="N19" s="3"/>
      <c r="O19" s="3"/>
      <c r="P19" s="3"/>
    </row>
    <row r="20" spans="1:16" ht="15.6">
      <c r="A20" s="15">
        <v>11</v>
      </c>
      <c r="B20" s="3"/>
      <c r="C20" s="3"/>
      <c r="D20" s="3"/>
      <c r="E20" s="3"/>
      <c r="F20" s="3"/>
      <c r="G20" s="3"/>
      <c r="H20" s="764"/>
      <c r="I20" s="3"/>
      <c r="J20" s="3"/>
      <c r="K20" s="3"/>
      <c r="M20" s="3"/>
      <c r="N20" s="3"/>
      <c r="O20" s="3"/>
      <c r="P20" s="3"/>
    </row>
    <row r="21" spans="1:16" ht="15.6">
      <c r="A21" s="15">
        <v>12</v>
      </c>
      <c r="B21" s="3" t="s">
        <v>82</v>
      </c>
      <c r="C21" s="3"/>
      <c r="D21" s="3"/>
      <c r="E21" s="3"/>
      <c r="F21" s="3"/>
      <c r="G21" s="3"/>
      <c r="H21" s="764">
        <f>SUM(H16:H19)</f>
        <v>15269286.555102274</v>
      </c>
      <c r="I21" s="3"/>
      <c r="J21" s="3"/>
      <c r="K21" s="3"/>
      <c r="M21" s="3"/>
      <c r="N21" s="3"/>
      <c r="O21" s="3"/>
      <c r="P21" s="3"/>
    </row>
    <row r="22" spans="1:16" ht="15.6">
      <c r="A22" s="15">
        <v>13</v>
      </c>
      <c r="B22" s="3" t="s">
        <v>2343</v>
      </c>
      <c r="C22" s="3"/>
      <c r="D22" s="3"/>
      <c r="E22" s="3"/>
      <c r="F22" s="3"/>
      <c r="G22" s="3"/>
      <c r="H22" s="764"/>
      <c r="I22" s="3"/>
      <c r="J22" s="3"/>
      <c r="K22" s="3"/>
      <c r="M22" s="3"/>
      <c r="N22" s="3"/>
      <c r="O22" s="3"/>
      <c r="P22" s="3"/>
    </row>
    <row r="23" spans="1:16" ht="15.6">
      <c r="A23" s="15">
        <v>14</v>
      </c>
      <c r="C23" s="1593" t="s">
        <v>2426</v>
      </c>
      <c r="D23" s="3"/>
      <c r="E23" s="3"/>
      <c r="F23" s="3"/>
      <c r="G23" s="3"/>
      <c r="H23" s="778">
        <f>'Exh 2, Proof of Revenue'!M593</f>
        <v>-338287.40000000066</v>
      </c>
      <c r="I23" s="3"/>
      <c r="J23" s="3"/>
      <c r="K23" s="3"/>
      <c r="M23" s="3"/>
      <c r="N23" s="3"/>
      <c r="O23" s="3"/>
      <c r="P23" s="3"/>
    </row>
    <row r="24" spans="1:16" s="613" customFormat="1" ht="15.6">
      <c r="A24" s="15">
        <v>15</v>
      </c>
      <c r="B24" s="3" t="s">
        <v>2423</v>
      </c>
      <c r="C24" s="3"/>
      <c r="D24" s="3"/>
      <c r="E24" s="3"/>
      <c r="F24" s="3"/>
      <c r="G24" s="3"/>
      <c r="H24" s="764"/>
      <c r="I24" s="3"/>
      <c r="J24" s="3"/>
      <c r="K24" s="3"/>
      <c r="M24" s="3"/>
      <c r="N24" s="3"/>
      <c r="O24" s="3"/>
      <c r="P24" s="3"/>
    </row>
    <row r="25" spans="1:16" s="613" customFormat="1" ht="16.2" thickBot="1">
      <c r="A25" s="15">
        <v>16</v>
      </c>
      <c r="B25" s="3"/>
      <c r="C25" s="1593" t="s">
        <v>2427</v>
      </c>
      <c r="D25" s="3"/>
      <c r="E25" s="3"/>
      <c r="F25" s="3"/>
      <c r="G25" s="3"/>
      <c r="H25" s="805">
        <f>'Exh 2, Proof of Revenue'!Q589</f>
        <v>-8223</v>
      </c>
      <c r="I25" s="3"/>
      <c r="J25" s="3"/>
      <c r="K25" s="3"/>
      <c r="M25" s="3"/>
      <c r="N25" s="3"/>
      <c r="O25" s="3"/>
      <c r="P25" s="3"/>
    </row>
    <row r="26" spans="1:16" s="613" customFormat="1" ht="15.6">
      <c r="A26" s="15">
        <v>17</v>
      </c>
      <c r="B26" s="3"/>
      <c r="C26" s="3"/>
      <c r="D26" s="3"/>
      <c r="E26" s="3"/>
      <c r="F26" s="3"/>
      <c r="G26" s="3"/>
      <c r="H26" s="240"/>
      <c r="I26" s="3"/>
      <c r="J26" s="3"/>
      <c r="K26" s="3"/>
      <c r="M26" s="3"/>
      <c r="N26" s="3"/>
      <c r="O26" s="3"/>
      <c r="P26" s="3"/>
    </row>
    <row r="27" spans="1:16" ht="16.2" thickBot="1">
      <c r="A27" s="15">
        <v>18</v>
      </c>
      <c r="B27" s="3" t="s">
        <v>2182</v>
      </c>
      <c r="C27" s="3"/>
      <c r="D27" s="3"/>
      <c r="E27" s="3"/>
      <c r="F27" s="3"/>
      <c r="G27" s="3"/>
      <c r="H27" s="806">
        <f>SUM(H21:H25)</f>
        <v>14922776.155102273</v>
      </c>
      <c r="I27" s="3"/>
      <c r="J27" s="3"/>
      <c r="K27" s="3"/>
      <c r="M27" s="3"/>
      <c r="N27" s="3"/>
      <c r="O27" s="3"/>
      <c r="P27" s="3"/>
    </row>
    <row r="28" spans="1:16" ht="16.2" thickTop="1">
      <c r="A28" s="15"/>
      <c r="B28" s="3"/>
      <c r="C28" s="3"/>
      <c r="D28" s="3"/>
      <c r="E28" s="3"/>
      <c r="F28" s="3"/>
      <c r="G28" s="3"/>
      <c r="H28" s="3"/>
      <c r="I28" s="3"/>
      <c r="J28" s="3"/>
      <c r="K28" s="3"/>
      <c r="L28" s="136"/>
      <c r="M28" s="3"/>
      <c r="N28" s="3"/>
      <c r="O28" s="3"/>
      <c r="P28" s="3"/>
    </row>
    <row r="29" spans="1:16" ht="15.6">
      <c r="A29" s="3"/>
      <c r="B29" s="3"/>
      <c r="C29" s="3"/>
      <c r="D29" s="3"/>
      <c r="E29" s="3"/>
      <c r="F29" s="3"/>
      <c r="G29" s="3"/>
      <c r="H29" s="3"/>
      <c r="I29" s="3"/>
      <c r="J29" s="3"/>
      <c r="K29" s="3"/>
      <c r="L29" s="136"/>
      <c r="M29" s="3"/>
      <c r="N29" s="3"/>
      <c r="O29" s="3"/>
      <c r="P29" s="3"/>
    </row>
    <row r="30" spans="1:16" ht="15.6">
      <c r="A30" s="3"/>
      <c r="B30" s="3"/>
      <c r="C30" s="3"/>
      <c r="D30" s="3"/>
      <c r="E30" s="3"/>
      <c r="F30" s="3"/>
      <c r="G30" s="3"/>
      <c r="H30" s="3"/>
      <c r="I30" s="3"/>
      <c r="J30" s="3"/>
      <c r="K30" s="3"/>
      <c r="L30" s="3"/>
      <c r="M30" s="3"/>
      <c r="N30" s="3"/>
      <c r="O30" s="3"/>
      <c r="P30" s="3"/>
    </row>
    <row r="31" spans="1:16" ht="15.6">
      <c r="A31" s="3"/>
      <c r="B31" s="3"/>
      <c r="C31" s="3"/>
      <c r="D31" s="3"/>
      <c r="E31" s="3"/>
      <c r="F31" s="3"/>
      <c r="G31" s="3"/>
      <c r="H31" s="3"/>
      <c r="I31" s="3"/>
      <c r="J31" s="3"/>
      <c r="K31" s="3"/>
      <c r="L31" s="3"/>
      <c r="M31" s="3"/>
      <c r="N31" s="3"/>
      <c r="O31" s="3"/>
      <c r="P31" s="3"/>
    </row>
    <row r="32" spans="1:16" ht="15.6">
      <c r="A32" s="3"/>
      <c r="B32" s="3"/>
      <c r="C32" s="3"/>
      <c r="D32" s="3"/>
      <c r="E32" s="3"/>
      <c r="F32" s="3"/>
      <c r="G32" s="3"/>
      <c r="H32" s="3"/>
      <c r="I32" s="3"/>
      <c r="J32" s="3"/>
      <c r="K32" s="3"/>
      <c r="L32" s="3"/>
      <c r="M32" s="3"/>
      <c r="N32" s="3"/>
      <c r="O32" s="3"/>
      <c r="P32" s="3"/>
    </row>
    <row r="33" spans="1:16" ht="15.6">
      <c r="A33" s="3"/>
      <c r="B33" s="3"/>
      <c r="C33" s="3"/>
      <c r="D33" s="3"/>
      <c r="E33" s="3"/>
      <c r="F33" s="3"/>
      <c r="G33" s="3"/>
      <c r="H33" s="3"/>
      <c r="I33" s="3"/>
      <c r="J33" s="3"/>
      <c r="K33" s="3"/>
      <c r="L33" s="3"/>
      <c r="M33" s="3"/>
      <c r="N33" s="3"/>
      <c r="O33" s="3"/>
      <c r="P33" s="3"/>
    </row>
    <row r="34" spans="1:16" ht="15.6">
      <c r="A34" s="3"/>
      <c r="B34" s="3"/>
      <c r="C34" s="3"/>
      <c r="D34" s="3"/>
      <c r="E34" s="3"/>
      <c r="F34" s="3"/>
      <c r="G34" s="3"/>
      <c r="H34" s="3"/>
      <c r="I34" s="3"/>
      <c r="J34" s="3"/>
      <c r="K34" s="3"/>
      <c r="L34" s="3"/>
      <c r="M34" s="3"/>
      <c r="N34" s="3"/>
      <c r="O34" s="3"/>
      <c r="P34" s="3"/>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7" tint="0.79998168889431442"/>
  </sheetPr>
  <dimension ref="A1:M12"/>
  <sheetViews>
    <sheetView view="pageBreakPreview" zoomScale="80" zoomScaleNormal="100" zoomScaleSheetLayoutView="80" workbookViewId="0">
      <selection activeCell="F27" sqref="F27"/>
    </sheetView>
  </sheetViews>
  <sheetFormatPr defaultRowHeight="14.4"/>
  <cols>
    <col min="4" max="4" width="15" customWidth="1"/>
    <col min="5" max="5" width="2.5546875" style="613" customWidth="1"/>
    <col min="6" max="6" width="14.33203125" bestFit="1" customWidth="1"/>
    <col min="7" max="7" width="1.5546875" style="613" customWidth="1"/>
    <col min="8" max="8" width="12.5546875" bestFit="1" customWidth="1"/>
  </cols>
  <sheetData>
    <row r="1" spans="1:13" ht="15.6">
      <c r="A1" s="1926" t="s">
        <v>52</v>
      </c>
      <c r="B1" s="1926"/>
      <c r="C1" s="1926"/>
      <c r="D1" s="1926"/>
      <c r="E1" s="1926"/>
      <c r="F1" s="1926"/>
      <c r="G1" s="2"/>
      <c r="H1" s="2"/>
      <c r="I1" s="2"/>
      <c r="J1" s="2"/>
      <c r="K1" s="2"/>
      <c r="L1" s="2"/>
      <c r="M1" s="2"/>
    </row>
    <row r="2" spans="1:13" ht="15.6">
      <c r="A2" s="1926" t="s">
        <v>1824</v>
      </c>
      <c r="B2" s="1926"/>
      <c r="C2" s="1926"/>
      <c r="D2" s="1926"/>
      <c r="E2" s="1926"/>
      <c r="F2" s="1926"/>
      <c r="G2" s="2"/>
      <c r="H2" s="2"/>
      <c r="I2" s="2"/>
      <c r="J2" s="2"/>
      <c r="K2" s="2"/>
      <c r="L2" s="2"/>
      <c r="M2" s="2"/>
    </row>
    <row r="3" spans="1:13" ht="15.6">
      <c r="A3" s="1926" t="s">
        <v>1257</v>
      </c>
      <c r="B3" s="1926"/>
      <c r="C3" s="1926"/>
      <c r="D3" s="1926"/>
      <c r="E3" s="1926"/>
      <c r="F3" s="1926"/>
      <c r="G3" s="2"/>
      <c r="H3" s="2"/>
      <c r="I3" s="2"/>
      <c r="J3" s="2"/>
      <c r="K3" s="2"/>
      <c r="L3" s="2"/>
      <c r="M3" s="2"/>
    </row>
    <row r="4" spans="1:13" ht="15.6">
      <c r="A4" s="1954" t="s">
        <v>1813</v>
      </c>
      <c r="B4" s="1954"/>
      <c r="C4" s="1954"/>
      <c r="D4" s="1954"/>
      <c r="E4" s="1954"/>
      <c r="F4" s="1954"/>
      <c r="G4" s="612"/>
      <c r="H4" s="612"/>
      <c r="I4" s="612"/>
      <c r="J4" s="612"/>
      <c r="K4" s="612"/>
      <c r="L4" s="612"/>
      <c r="M4" s="612"/>
    </row>
    <row r="5" spans="1:13" ht="15.6">
      <c r="A5" s="1926" t="s">
        <v>1823</v>
      </c>
      <c r="B5" s="1926"/>
      <c r="C5" s="1926"/>
      <c r="D5" s="1926"/>
      <c r="E5" s="1926"/>
      <c r="F5" s="1926"/>
      <c r="G5" s="2"/>
      <c r="H5" s="2"/>
      <c r="I5" s="2"/>
      <c r="J5" s="2"/>
      <c r="K5" s="2"/>
      <c r="L5" s="2"/>
      <c r="M5" s="2"/>
    </row>
    <row r="8" spans="1:13">
      <c r="A8" s="1961" t="s">
        <v>1813</v>
      </c>
      <c r="B8" s="1961"/>
      <c r="C8" s="1961"/>
      <c r="D8" s="1961"/>
    </row>
    <row r="9" spans="1:13" s="613" customFormat="1">
      <c r="A9" s="777"/>
      <c r="B9" s="1597" t="s">
        <v>2429</v>
      </c>
      <c r="C9" s="741"/>
      <c r="D9" s="741"/>
      <c r="E9" s="384"/>
      <c r="F9" s="1599">
        <f>'Exh 2, Proof of Revenue'!Y589</f>
        <v>-134104.11531761975</v>
      </c>
    </row>
    <row r="10" spans="1:13" s="613" customFormat="1">
      <c r="A10" s="777"/>
      <c r="B10" s="1598" t="s">
        <v>2430</v>
      </c>
      <c r="C10" s="741"/>
      <c r="D10" s="741"/>
      <c r="E10" s="384"/>
      <c r="F10" s="1599">
        <f>'Exh 2, Proof of Revenue'!U589</f>
        <v>1057399.3900221004</v>
      </c>
    </row>
    <row r="11" spans="1:13" ht="15" thickBot="1">
      <c r="C11" s="384"/>
      <c r="D11" s="384"/>
      <c r="E11" s="741"/>
      <c r="F11" s="807">
        <f>SUM(F9:F10)</f>
        <v>923295.27470448066</v>
      </c>
      <c r="G11" s="640"/>
    </row>
    <row r="12" spans="1:13" ht="1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92CB-5576-4CA0-A7E9-9C599FF2CBAC}">
  <sheetPr codeName="Sheet45">
    <tabColor theme="8"/>
  </sheetPr>
  <dimension ref="A1:M18"/>
  <sheetViews>
    <sheetView showGridLines="0" zoomScale="80" zoomScaleNormal="80" workbookViewId="0">
      <selection activeCell="F28" sqref="F28"/>
    </sheetView>
  </sheetViews>
  <sheetFormatPr defaultColWidth="8.88671875" defaultRowHeight="14.4"/>
  <cols>
    <col min="1" max="16384" width="8.88671875" style="613"/>
  </cols>
  <sheetData>
    <row r="1" spans="1:13">
      <c r="A1" s="873" t="str">
        <f ca="1">MID(CELL("filename",A1),FIND("]",CELL("filename",A1))+1,255)</f>
        <v>Proof ---&gt;</v>
      </c>
    </row>
    <row r="2" spans="1:13">
      <c r="B2" s="1850" t="s">
        <v>2594</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tabColor theme="7" tint="0.79998168889431442"/>
  </sheetPr>
  <dimension ref="A1:S58"/>
  <sheetViews>
    <sheetView view="pageBreakPreview" zoomScale="80" zoomScaleNormal="100" zoomScaleSheetLayoutView="80" workbookViewId="0">
      <selection activeCell="E7" sqref="E7"/>
    </sheetView>
  </sheetViews>
  <sheetFormatPr defaultColWidth="9.109375" defaultRowHeight="14.4"/>
  <cols>
    <col min="1" max="1" width="38.88671875" style="384" bestFit="1" customWidth="1"/>
    <col min="2" max="2" width="16.109375" style="384" bestFit="1" customWidth="1"/>
    <col min="3" max="3" width="16.88671875" style="384" bestFit="1" customWidth="1"/>
    <col min="4" max="4" width="19.33203125" style="584" bestFit="1" customWidth="1"/>
    <col min="5" max="5" width="16.109375" style="384" bestFit="1" customWidth="1"/>
    <col min="6" max="6" width="13.88671875" style="384" bestFit="1" customWidth="1"/>
    <col min="7" max="7" width="12.88671875" style="384" bestFit="1" customWidth="1"/>
    <col min="8" max="8" width="14.5546875" style="384" bestFit="1" customWidth="1"/>
    <col min="9" max="9" width="11.44140625" style="384" bestFit="1" customWidth="1"/>
    <col min="10" max="10" width="12.88671875" style="384" bestFit="1" customWidth="1"/>
    <col min="11" max="11" width="14.5546875" style="384" bestFit="1" customWidth="1"/>
    <col min="12" max="12" width="15" style="384" bestFit="1" customWidth="1"/>
    <col min="13" max="13" width="9.109375" style="384"/>
    <col min="14" max="14" width="35.6640625" style="384" bestFit="1" customWidth="1"/>
    <col min="15" max="15" width="10.33203125" style="384" bestFit="1" customWidth="1"/>
    <col min="16" max="17" width="9.109375" style="384"/>
    <col min="18" max="18" width="15.44140625" style="384" bestFit="1" customWidth="1"/>
    <col min="19" max="16384" width="9.109375" style="384"/>
  </cols>
  <sheetData>
    <row r="1" spans="1:19" ht="15.6">
      <c r="A1" s="1926" t="s">
        <v>52</v>
      </c>
      <c r="B1" s="1926"/>
      <c r="C1" s="1926"/>
      <c r="D1" s="1926"/>
      <c r="E1" s="1926"/>
      <c r="F1" s="1926"/>
      <c r="G1" s="1926"/>
      <c r="H1" s="1926"/>
      <c r="I1" s="1926"/>
      <c r="J1" s="1926"/>
      <c r="K1" s="1926"/>
      <c r="L1" s="1926"/>
      <c r="M1" s="1926"/>
    </row>
    <row r="2" spans="1:19" ht="15.6">
      <c r="A2" s="1926" t="s">
        <v>1824</v>
      </c>
      <c r="B2" s="1926"/>
      <c r="C2" s="1926"/>
      <c r="D2" s="1926"/>
      <c r="E2" s="1926"/>
      <c r="F2" s="1926"/>
      <c r="G2" s="1926"/>
      <c r="H2" s="1926"/>
      <c r="I2" s="1926"/>
      <c r="J2" s="1926"/>
      <c r="K2" s="1926"/>
      <c r="L2" s="1926"/>
      <c r="M2" s="1926"/>
    </row>
    <row r="3" spans="1:19" ht="15.6">
      <c r="A3" s="1926" t="s">
        <v>1358</v>
      </c>
      <c r="B3" s="1926"/>
      <c r="C3" s="1926"/>
      <c r="D3" s="1926"/>
      <c r="E3" s="1926"/>
      <c r="F3" s="1926"/>
      <c r="G3" s="1926"/>
      <c r="H3" s="1926"/>
      <c r="I3" s="1926"/>
      <c r="J3" s="1926"/>
      <c r="K3" s="1926"/>
      <c r="L3" s="1926"/>
      <c r="M3" s="1926"/>
    </row>
    <row r="4" spans="1:19" ht="15.6">
      <c r="A4" s="1954" t="s">
        <v>1818</v>
      </c>
      <c r="B4" s="1954"/>
      <c r="C4" s="1954"/>
      <c r="D4" s="1954"/>
      <c r="E4" s="1954"/>
      <c r="F4" s="1954"/>
      <c r="G4" s="1954"/>
      <c r="H4" s="1954"/>
      <c r="I4" s="1954"/>
      <c r="J4" s="1954"/>
      <c r="K4" s="1954"/>
      <c r="L4" s="1954"/>
      <c r="M4" s="1954"/>
    </row>
    <row r="5" spans="1:19" ht="15.6">
      <c r="A5" s="1926" t="s">
        <v>1823</v>
      </c>
      <c r="B5" s="1926"/>
      <c r="C5" s="1926"/>
      <c r="D5" s="1926"/>
      <c r="E5" s="1926"/>
      <c r="F5" s="1926"/>
      <c r="G5" s="1926"/>
      <c r="H5" s="1926"/>
      <c r="I5" s="1926"/>
      <c r="J5" s="1926"/>
      <c r="K5" s="1926"/>
      <c r="L5" s="1926"/>
      <c r="M5" s="1926"/>
    </row>
    <row r="6" spans="1:19">
      <c r="C6" s="727"/>
      <c r="D6" s="384"/>
      <c r="E6" s="727"/>
      <c r="F6" s="727"/>
      <c r="G6" s="728"/>
      <c r="I6" s="584"/>
      <c r="J6" s="584"/>
    </row>
    <row r="7" spans="1:19">
      <c r="A7" s="729" t="s">
        <v>2310</v>
      </c>
      <c r="B7" s="586"/>
      <c r="C7" s="727"/>
      <c r="D7" s="585"/>
      <c r="E7" s="727"/>
      <c r="F7" s="727"/>
      <c r="G7" s="728"/>
      <c r="I7" s="584"/>
      <c r="J7" s="584"/>
      <c r="R7" s="1768" t="s">
        <v>3213</v>
      </c>
    </row>
    <row r="8" spans="1:19">
      <c r="A8" s="729" t="s">
        <v>2311</v>
      </c>
      <c r="B8" s="730"/>
      <c r="C8" s="727"/>
      <c r="D8" s="585"/>
      <c r="E8" s="727"/>
      <c r="F8" s="731" t="s">
        <v>2312</v>
      </c>
      <c r="G8" s="728"/>
      <c r="I8" s="584"/>
      <c r="J8" s="584"/>
      <c r="R8" s="1769" t="s">
        <v>2436</v>
      </c>
    </row>
    <row r="9" spans="1:19">
      <c r="A9" s="729"/>
      <c r="B9" s="732">
        <v>43831</v>
      </c>
      <c r="C9" s="727"/>
      <c r="D9" s="730" t="s">
        <v>2312</v>
      </c>
      <c r="E9" s="727"/>
      <c r="F9" s="731" t="s">
        <v>2313</v>
      </c>
      <c r="G9" s="728"/>
      <c r="I9" s="731" t="s">
        <v>1089</v>
      </c>
      <c r="J9" s="731" t="s">
        <v>2314</v>
      </c>
      <c r="K9" s="731" t="s">
        <v>2315</v>
      </c>
    </row>
    <row r="10" spans="1:19">
      <c r="A10" s="731" t="s">
        <v>2316</v>
      </c>
      <c r="B10" s="730" t="s">
        <v>2317</v>
      </c>
      <c r="C10" s="731" t="s">
        <v>1089</v>
      </c>
      <c r="D10" s="730" t="s">
        <v>2318</v>
      </c>
      <c r="E10" s="731" t="s">
        <v>2314</v>
      </c>
      <c r="F10" s="731" t="s">
        <v>2314</v>
      </c>
      <c r="G10" s="731" t="s">
        <v>2319</v>
      </c>
      <c r="H10" s="731" t="s">
        <v>2320</v>
      </c>
      <c r="I10" s="731" t="s">
        <v>2321</v>
      </c>
      <c r="J10" s="731" t="s">
        <v>2321</v>
      </c>
      <c r="K10" s="731" t="s">
        <v>2322</v>
      </c>
    </row>
    <row r="11" spans="1:19">
      <c r="A11" s="733" t="s">
        <v>66</v>
      </c>
      <c r="B11" s="734" t="s">
        <v>2323</v>
      </c>
      <c r="C11" s="733" t="s">
        <v>2324</v>
      </c>
      <c r="D11" s="734" t="s">
        <v>2316</v>
      </c>
      <c r="E11" s="733" t="s">
        <v>2324</v>
      </c>
      <c r="F11" s="733" t="s">
        <v>2324</v>
      </c>
      <c r="G11" s="733" t="s">
        <v>1807</v>
      </c>
      <c r="H11" s="733" t="s">
        <v>1807</v>
      </c>
      <c r="I11" s="733" t="s">
        <v>2325</v>
      </c>
      <c r="J11" s="733" t="s">
        <v>2326</v>
      </c>
      <c r="K11" s="733" t="s">
        <v>54</v>
      </c>
      <c r="L11" s="733" t="s">
        <v>2327</v>
      </c>
      <c r="O11" s="780" t="s">
        <v>2436</v>
      </c>
      <c r="P11" s="780" t="s">
        <v>2437</v>
      </c>
      <c r="R11" s="780" t="s">
        <v>2433</v>
      </c>
    </row>
    <row r="12" spans="1:19">
      <c r="A12" s="735" t="s">
        <v>2328</v>
      </c>
      <c r="B12" s="736">
        <v>114308.06999999998</v>
      </c>
      <c r="C12" s="737">
        <v>0</v>
      </c>
      <c r="D12" s="736">
        <v>0</v>
      </c>
      <c r="E12" s="737">
        <f>IF($R$8=$R$11, R12, O12)</f>
        <v>0</v>
      </c>
      <c r="F12" s="738">
        <f>IF(E12=0%, D12, (B12+K12)*E12/12)</f>
        <v>0</v>
      </c>
      <c r="G12" s="739">
        <v>0</v>
      </c>
      <c r="H12" s="587">
        <v>0</v>
      </c>
      <c r="I12" s="584"/>
      <c r="J12" s="584"/>
      <c r="L12" s="740">
        <f>F12*12</f>
        <v>0</v>
      </c>
      <c r="N12" s="384" t="s">
        <v>2328</v>
      </c>
      <c r="O12" s="779">
        <v>0</v>
      </c>
      <c r="P12" s="779" t="str">
        <f>IF(O12=E12, "Y", "N")</f>
        <v>Y</v>
      </c>
      <c r="R12" s="779">
        <v>0</v>
      </c>
      <c r="S12" s="808"/>
    </row>
    <row r="13" spans="1:19">
      <c r="A13" s="735" t="s">
        <v>1430</v>
      </c>
      <c r="B13" s="736">
        <v>138157.95000000001</v>
      </c>
      <c r="C13" s="737">
        <v>0</v>
      </c>
      <c r="D13" s="736">
        <v>0</v>
      </c>
      <c r="E13" s="737">
        <f t="shared" ref="E13:E53" si="0">IF($R$8=$R$11, R13, O13)</f>
        <v>0</v>
      </c>
      <c r="F13" s="738">
        <f>IF(E13=0%, D13, (B13+K13)*E13/12)</f>
        <v>0</v>
      </c>
      <c r="G13" s="739">
        <v>0</v>
      </c>
      <c r="H13" s="587">
        <v>0</v>
      </c>
      <c r="I13" s="584"/>
      <c r="J13" s="584"/>
      <c r="L13" s="740">
        <f t="shared" ref="L13:L53" si="1">F13*12</f>
        <v>0</v>
      </c>
      <c r="N13" s="384" t="s">
        <v>1430</v>
      </c>
      <c r="O13" s="779">
        <v>0</v>
      </c>
      <c r="P13" s="779" t="str">
        <f t="shared" ref="P13:P53" si="2">IF(O13=E13, "Y", "N")</f>
        <v>Y</v>
      </c>
      <c r="R13" s="779">
        <v>0</v>
      </c>
      <c r="S13" s="808"/>
    </row>
    <row r="14" spans="1:19">
      <c r="A14" s="735" t="s">
        <v>1431</v>
      </c>
      <c r="B14" s="736">
        <v>33240966.090000004</v>
      </c>
      <c r="C14" s="737">
        <v>0</v>
      </c>
      <c r="D14" s="736">
        <v>219439.28</v>
      </c>
      <c r="E14" s="737">
        <f t="shared" si="0"/>
        <v>0</v>
      </c>
      <c r="F14" s="738">
        <f>IF(E14=0%, D14, (B14+K14)*E14/12)</f>
        <v>219439.28</v>
      </c>
      <c r="G14" s="739">
        <f>+F14-D14</f>
        <v>0</v>
      </c>
      <c r="H14" s="587">
        <v>0</v>
      </c>
      <c r="I14" s="584"/>
      <c r="J14" s="584"/>
      <c r="L14" s="740">
        <f t="shared" si="1"/>
        <v>2633271.36</v>
      </c>
      <c r="N14" s="384" t="s">
        <v>1431</v>
      </c>
      <c r="O14" s="779">
        <v>0</v>
      </c>
      <c r="P14" s="779" t="str">
        <f t="shared" si="2"/>
        <v>Y</v>
      </c>
      <c r="R14" s="779">
        <v>0</v>
      </c>
      <c r="S14" s="808"/>
    </row>
    <row r="15" spans="1:19">
      <c r="A15" s="735" t="s">
        <v>1432</v>
      </c>
      <c r="B15" s="736">
        <v>211404.97</v>
      </c>
      <c r="C15" s="737">
        <v>0</v>
      </c>
      <c r="D15" s="736">
        <v>0</v>
      </c>
      <c r="E15" s="737">
        <f t="shared" si="0"/>
        <v>0</v>
      </c>
      <c r="F15" s="738">
        <f t="shared" ref="F15:F33" si="3">IF(E15=0%, D15, (B15+K15)*E15/12)</f>
        <v>0</v>
      </c>
      <c r="G15" s="739">
        <f t="shared" ref="G15:G53" si="4">+F15-D15</f>
        <v>0</v>
      </c>
      <c r="H15" s="587">
        <v>0</v>
      </c>
      <c r="I15" s="584"/>
      <c r="J15" s="584"/>
      <c r="L15" s="740">
        <f t="shared" si="1"/>
        <v>0</v>
      </c>
      <c r="N15" s="384" t="s">
        <v>1432</v>
      </c>
      <c r="O15" s="779">
        <v>0</v>
      </c>
      <c r="P15" s="779" t="str">
        <f t="shared" si="2"/>
        <v>Y</v>
      </c>
      <c r="R15" s="779">
        <v>0</v>
      </c>
      <c r="S15" s="808"/>
    </row>
    <row r="16" spans="1:19">
      <c r="A16" s="735" t="s">
        <v>1433</v>
      </c>
      <c r="B16" s="736">
        <v>1018396.75</v>
      </c>
      <c r="C16" s="737">
        <v>1.5800000000000002E-2</v>
      </c>
      <c r="D16" s="736">
        <v>1340.8899999999999</v>
      </c>
      <c r="E16" s="737">
        <f t="shared" si="0"/>
        <v>6.5000000000000006E-3</v>
      </c>
      <c r="F16" s="738">
        <f t="shared" si="3"/>
        <v>551.63157291666664</v>
      </c>
      <c r="G16" s="739">
        <f t="shared" si="4"/>
        <v>-789.25842708333323</v>
      </c>
      <c r="H16" s="587">
        <f>+G16*12</f>
        <v>-9471.1011249999992</v>
      </c>
      <c r="I16" s="584"/>
      <c r="J16" s="584"/>
      <c r="L16" s="740">
        <f t="shared" si="1"/>
        <v>6619.5788749999992</v>
      </c>
      <c r="N16" s="384" t="s">
        <v>1433</v>
      </c>
      <c r="O16" s="779">
        <v>6.5000000000000006E-3</v>
      </c>
      <c r="P16" s="779" t="str">
        <f t="shared" si="2"/>
        <v>Y</v>
      </c>
      <c r="R16" s="779">
        <v>6.4999999999999997E-3</v>
      </c>
      <c r="S16" s="808"/>
    </row>
    <row r="17" spans="1:19">
      <c r="A17" s="735" t="s">
        <v>1434</v>
      </c>
      <c r="B17" s="736">
        <v>15900055.620000001</v>
      </c>
      <c r="C17" s="737">
        <v>1.8200000000000001E-2</v>
      </c>
      <c r="D17" s="736">
        <v>24115.08</v>
      </c>
      <c r="E17" s="737">
        <f t="shared" si="0"/>
        <v>1.4999999999999999E-2</v>
      </c>
      <c r="F17" s="738">
        <f t="shared" si="3"/>
        <v>19875.069525000003</v>
      </c>
      <c r="G17" s="739">
        <f t="shared" si="4"/>
        <v>-4240.0104749999991</v>
      </c>
      <c r="H17" s="587">
        <f t="shared" ref="H17:H53" si="5">+G17*12</f>
        <v>-50880.12569999999</v>
      </c>
      <c r="I17" s="584"/>
      <c r="J17" s="584"/>
      <c r="L17" s="740">
        <f t="shared" si="1"/>
        <v>238500.83430000005</v>
      </c>
      <c r="N17" s="384" t="s">
        <v>1434</v>
      </c>
      <c r="O17" s="779">
        <v>1.4999999999999999E-2</v>
      </c>
      <c r="P17" s="779" t="str">
        <f t="shared" si="2"/>
        <v>Y</v>
      </c>
      <c r="R17" s="779">
        <v>1.4999999999999999E-2</v>
      </c>
      <c r="S17" s="808"/>
    </row>
    <row r="18" spans="1:19">
      <c r="A18" s="735" t="s">
        <v>1435</v>
      </c>
      <c r="B18" s="736">
        <v>144661.09999999998</v>
      </c>
      <c r="C18" s="737">
        <v>4.1000000000000003E-3</v>
      </c>
      <c r="D18" s="736">
        <v>49.43</v>
      </c>
      <c r="E18" s="737">
        <f t="shared" si="0"/>
        <v>4.5999999999999999E-2</v>
      </c>
      <c r="F18" s="738">
        <f t="shared" si="3"/>
        <v>554.53421666666657</v>
      </c>
      <c r="G18" s="739">
        <f t="shared" si="4"/>
        <v>505.10421666666656</v>
      </c>
      <c r="H18" s="587">
        <f t="shared" si="5"/>
        <v>6061.2505999999985</v>
      </c>
      <c r="I18" s="584"/>
      <c r="J18" s="584"/>
      <c r="L18" s="740">
        <f t="shared" si="1"/>
        <v>6654.4105999999992</v>
      </c>
      <c r="N18" s="384" t="s">
        <v>1435</v>
      </c>
      <c r="O18" s="779">
        <v>4.5999999999999999E-2</v>
      </c>
      <c r="P18" s="779" t="str">
        <f t="shared" si="2"/>
        <v>Y</v>
      </c>
      <c r="R18" s="779">
        <v>4.5999999999999999E-2</v>
      </c>
      <c r="S18" s="808"/>
    </row>
    <row r="19" spans="1:19">
      <c r="A19" s="735" t="s">
        <v>1437</v>
      </c>
      <c r="B19" s="736">
        <v>388301.94999999995</v>
      </c>
      <c r="C19" s="737">
        <v>0</v>
      </c>
      <c r="D19" s="736">
        <v>0</v>
      </c>
      <c r="E19" s="737">
        <f t="shared" si="0"/>
        <v>0</v>
      </c>
      <c r="F19" s="738"/>
      <c r="G19" s="739">
        <f t="shared" si="4"/>
        <v>0</v>
      </c>
      <c r="H19" s="587">
        <f t="shared" si="5"/>
        <v>0</v>
      </c>
      <c r="I19" s="584"/>
      <c r="J19" s="584"/>
      <c r="K19" s="584"/>
      <c r="L19" s="740">
        <f t="shared" si="1"/>
        <v>0</v>
      </c>
      <c r="N19" s="384" t="s">
        <v>1437</v>
      </c>
      <c r="O19" s="779">
        <v>0</v>
      </c>
      <c r="P19" s="779" t="str">
        <f t="shared" si="2"/>
        <v>Y</v>
      </c>
      <c r="R19" s="779">
        <v>0</v>
      </c>
      <c r="S19" s="808"/>
    </row>
    <row r="20" spans="1:19">
      <c r="A20" s="735" t="s">
        <v>1436</v>
      </c>
      <c r="B20" s="736">
        <v>1922322.92</v>
      </c>
      <c r="C20" s="737">
        <v>1.8800000000000001E-2</v>
      </c>
      <c r="D20" s="736">
        <v>3011.6400000000003</v>
      </c>
      <c r="E20" s="737">
        <f t="shared" si="0"/>
        <v>1.6399999999999998E-2</v>
      </c>
      <c r="F20" s="738">
        <f t="shared" si="3"/>
        <v>2627.174657333333</v>
      </c>
      <c r="G20" s="739">
        <f t="shared" si="4"/>
        <v>-384.46534266666731</v>
      </c>
      <c r="H20" s="587">
        <f t="shared" si="5"/>
        <v>-4613.5841120000077</v>
      </c>
      <c r="I20" s="584"/>
      <c r="J20" s="584"/>
      <c r="K20" s="741"/>
      <c r="L20" s="740">
        <f t="shared" si="1"/>
        <v>31526.095887999996</v>
      </c>
      <c r="N20" s="384" t="s">
        <v>1436</v>
      </c>
      <c r="O20" s="779">
        <v>1.6399999999999998E-2</v>
      </c>
      <c r="P20" s="779" t="str">
        <f t="shared" si="2"/>
        <v>Y</v>
      </c>
      <c r="R20" s="779">
        <v>1.6400000000000001E-2</v>
      </c>
      <c r="S20" s="808"/>
    </row>
    <row r="21" spans="1:19">
      <c r="A21" s="735" t="s">
        <v>1438</v>
      </c>
      <c r="B21" s="736">
        <v>1019863.1399999999</v>
      </c>
      <c r="C21" s="737">
        <v>1.2200000000000001E-2</v>
      </c>
      <c r="D21" s="736">
        <v>1036.3500000000001</v>
      </c>
      <c r="E21" s="737">
        <f t="shared" si="0"/>
        <v>8.3999999999999995E-3</v>
      </c>
      <c r="F21" s="738">
        <f t="shared" si="3"/>
        <v>713.90419799999984</v>
      </c>
      <c r="G21" s="739">
        <f t="shared" si="4"/>
        <v>-322.4458020000003</v>
      </c>
      <c r="H21" s="587">
        <f t="shared" si="5"/>
        <v>-3869.3496240000036</v>
      </c>
      <c r="I21" s="584"/>
      <c r="J21" s="584"/>
      <c r="K21" s="584"/>
      <c r="L21" s="740">
        <f t="shared" si="1"/>
        <v>8566.8503759999985</v>
      </c>
      <c r="N21" s="384" t="s">
        <v>1438</v>
      </c>
      <c r="O21" s="779">
        <v>8.3999999999999995E-3</v>
      </c>
      <c r="P21" s="779" t="str">
        <f t="shared" si="2"/>
        <v>Y</v>
      </c>
      <c r="R21" s="779">
        <v>7.1999999999999998E-3</v>
      </c>
      <c r="S21" s="808"/>
    </row>
    <row r="22" spans="1:19">
      <c r="A22" s="735" t="s">
        <v>1439</v>
      </c>
      <c r="B22" s="736">
        <v>159069534.16</v>
      </c>
      <c r="C22" s="737">
        <v>1.2500000000000001E-2</v>
      </c>
      <c r="D22" s="736">
        <v>165697.43</v>
      </c>
      <c r="E22" s="737">
        <f t="shared" si="0"/>
        <v>1.52E-2</v>
      </c>
      <c r="F22" s="738">
        <f t="shared" si="3"/>
        <v>201488.07660266667</v>
      </c>
      <c r="G22" s="739">
        <f t="shared" si="4"/>
        <v>35790.646602666675</v>
      </c>
      <c r="H22" s="587">
        <f t="shared" si="5"/>
        <v>429487.7592320001</v>
      </c>
      <c r="I22" s="584"/>
      <c r="J22" s="584"/>
      <c r="K22" s="584"/>
      <c r="L22" s="740">
        <f t="shared" si="1"/>
        <v>2417856.9192320001</v>
      </c>
      <c r="N22" s="384" t="s">
        <v>1439</v>
      </c>
      <c r="O22" s="779">
        <v>1.52E-2</v>
      </c>
      <c r="P22" s="779" t="str">
        <f t="shared" si="2"/>
        <v>Y</v>
      </c>
      <c r="R22" s="779">
        <v>1.3899999999999999E-2</v>
      </c>
      <c r="S22" s="808"/>
    </row>
    <row r="23" spans="1:19">
      <c r="A23" s="735" t="s">
        <v>1440</v>
      </c>
      <c r="B23" s="736">
        <v>151836907.29000002</v>
      </c>
      <c r="C23" s="737">
        <v>4.1300000000000003E-2</v>
      </c>
      <c r="D23" s="736">
        <v>522572.02</v>
      </c>
      <c r="E23" s="737">
        <f t="shared" si="0"/>
        <v>2.81E-2</v>
      </c>
      <c r="F23" s="738">
        <f t="shared" si="3"/>
        <v>355551.42457075004</v>
      </c>
      <c r="G23" s="739">
        <f t="shared" si="4"/>
        <v>-167020.59542924998</v>
      </c>
      <c r="H23" s="587">
        <f t="shared" si="5"/>
        <v>-2004247.1451509998</v>
      </c>
      <c r="I23" s="584"/>
      <c r="J23" s="584"/>
      <c r="K23" s="584"/>
      <c r="L23" s="740">
        <f t="shared" si="1"/>
        <v>4266617.0948490007</v>
      </c>
      <c r="N23" s="384" t="s">
        <v>1440</v>
      </c>
      <c r="O23" s="779">
        <v>2.81E-2</v>
      </c>
      <c r="P23" s="779" t="str">
        <f t="shared" si="2"/>
        <v>Y</v>
      </c>
      <c r="R23" s="779">
        <v>3.15E-2</v>
      </c>
      <c r="S23" s="808"/>
    </row>
    <row r="24" spans="1:19">
      <c r="A24" s="735" t="s">
        <v>1441</v>
      </c>
      <c r="B24" s="736">
        <v>118986847.07000001</v>
      </c>
      <c r="C24" s="737">
        <v>2.1999999999999999E-2</v>
      </c>
      <c r="D24" s="736">
        <v>218142.55000000002</v>
      </c>
      <c r="E24" s="737">
        <f t="shared" si="0"/>
        <v>3.56E-2</v>
      </c>
      <c r="F24" s="738">
        <f t="shared" si="3"/>
        <v>352994.31297433336</v>
      </c>
      <c r="G24" s="739">
        <f t="shared" si="4"/>
        <v>134851.76297433334</v>
      </c>
      <c r="H24" s="587">
        <f t="shared" si="5"/>
        <v>1618221.1556919999</v>
      </c>
      <c r="I24" s="584"/>
      <c r="J24" s="584"/>
      <c r="K24" s="584"/>
      <c r="L24" s="740">
        <f t="shared" si="1"/>
        <v>4235931.7556920005</v>
      </c>
      <c r="N24" s="384" t="s">
        <v>1441</v>
      </c>
      <c r="O24" s="779">
        <v>3.56E-2</v>
      </c>
      <c r="P24" s="779" t="str">
        <f t="shared" si="2"/>
        <v>Y</v>
      </c>
      <c r="R24" s="779">
        <v>2.9499999999999998E-2</v>
      </c>
      <c r="S24" s="808"/>
    </row>
    <row r="25" spans="1:19">
      <c r="A25" s="735" t="s">
        <v>1464</v>
      </c>
      <c r="B25" s="736">
        <v>2097766.77</v>
      </c>
      <c r="C25" s="737">
        <v>1.78E-2</v>
      </c>
      <c r="D25" s="736">
        <v>3111.69</v>
      </c>
      <c r="E25" s="737">
        <f t="shared" si="0"/>
        <v>1.72E-2</v>
      </c>
      <c r="F25" s="738">
        <f t="shared" si="3"/>
        <v>3006.7990370000002</v>
      </c>
      <c r="G25" s="739">
        <f t="shared" si="4"/>
        <v>-104.89096299999983</v>
      </c>
      <c r="H25" s="587">
        <f t="shared" si="5"/>
        <v>-1258.6915559999979</v>
      </c>
      <c r="I25" s="584"/>
      <c r="J25" s="584"/>
      <c r="K25" s="584"/>
      <c r="L25" s="740">
        <f t="shared" si="1"/>
        <v>36081.588444000001</v>
      </c>
      <c r="N25" s="384" t="s">
        <v>1464</v>
      </c>
      <c r="O25" s="779">
        <v>1.72E-2</v>
      </c>
      <c r="P25" s="779" t="str">
        <f t="shared" si="2"/>
        <v>Y</v>
      </c>
      <c r="R25" s="779">
        <v>1.72E-2</v>
      </c>
      <c r="S25" s="808"/>
    </row>
    <row r="26" spans="1:19">
      <c r="A26" s="735" t="s">
        <v>2329</v>
      </c>
      <c r="B26" s="736">
        <v>25599862.800000001</v>
      </c>
      <c r="C26" s="737">
        <v>1.9199999999999998E-2</v>
      </c>
      <c r="D26" s="736">
        <v>40959.78</v>
      </c>
      <c r="E26" s="737">
        <f t="shared" si="0"/>
        <v>1.9699999999999999E-2</v>
      </c>
      <c r="F26" s="738">
        <f t="shared" si="3"/>
        <v>42026.441429999999</v>
      </c>
      <c r="G26" s="739">
        <f t="shared" si="4"/>
        <v>1066.6614300000001</v>
      </c>
      <c r="H26" s="587">
        <f t="shared" si="5"/>
        <v>12799.937160000001</v>
      </c>
      <c r="I26" s="584"/>
      <c r="J26" s="584"/>
      <c r="K26" s="584"/>
      <c r="L26" s="740">
        <f t="shared" si="1"/>
        <v>504317.29715999996</v>
      </c>
      <c r="N26" s="384" t="s">
        <v>2329</v>
      </c>
      <c r="O26" s="779">
        <v>1.9699999999999999E-2</v>
      </c>
      <c r="P26" s="779" t="str">
        <f t="shared" si="2"/>
        <v>Y</v>
      </c>
      <c r="R26" s="779">
        <v>1.9699999999999999E-2</v>
      </c>
      <c r="S26" s="808"/>
    </row>
    <row r="27" spans="1:19">
      <c r="A27" s="735" t="s">
        <v>1442</v>
      </c>
      <c r="B27" s="736">
        <v>146616703.03999999</v>
      </c>
      <c r="C27" s="737">
        <v>3.8800000000000001E-2</v>
      </c>
      <c r="D27" s="736">
        <v>474060.68</v>
      </c>
      <c r="E27" s="737">
        <f t="shared" si="0"/>
        <v>3.3599999999999998E-2</v>
      </c>
      <c r="F27" s="738">
        <f t="shared" si="3"/>
        <v>410526.76851199992</v>
      </c>
      <c r="G27" s="739">
        <f t="shared" si="4"/>
        <v>-63533.911488000071</v>
      </c>
      <c r="H27" s="587">
        <f t="shared" si="5"/>
        <v>-762406.93785600085</v>
      </c>
      <c r="I27" s="584"/>
      <c r="J27" s="584"/>
      <c r="K27" s="584"/>
      <c r="L27" s="740">
        <f t="shared" si="1"/>
        <v>4926321.2221439993</v>
      </c>
      <c r="N27" s="384" t="s">
        <v>1442</v>
      </c>
      <c r="O27" s="779">
        <v>3.3599999999999998E-2</v>
      </c>
      <c r="P27" s="779" t="str">
        <f t="shared" si="2"/>
        <v>Y</v>
      </c>
      <c r="R27" s="779">
        <v>4.2599999999999999E-2</v>
      </c>
      <c r="S27" s="808"/>
    </row>
    <row r="28" spans="1:19">
      <c r="A28" s="735" t="s">
        <v>1443</v>
      </c>
      <c r="B28" s="736">
        <v>62126401.860000007</v>
      </c>
      <c r="C28" s="737">
        <v>3.3299999999999996E-2</v>
      </c>
      <c r="D28" s="736">
        <v>172400.76</v>
      </c>
      <c r="E28" s="737">
        <f t="shared" si="0"/>
        <v>3.4700000000000002E-2</v>
      </c>
      <c r="F28" s="738">
        <f t="shared" si="3"/>
        <v>179648.84537850003</v>
      </c>
      <c r="G28" s="739">
        <f t="shared" si="4"/>
        <v>7248.0853785000218</v>
      </c>
      <c r="H28" s="587">
        <f t="shared" si="5"/>
        <v>86977.024542000261</v>
      </c>
      <c r="I28" s="584"/>
      <c r="J28" s="584"/>
      <c r="L28" s="740">
        <f t="shared" si="1"/>
        <v>2155786.1445420003</v>
      </c>
      <c r="N28" s="384" t="s">
        <v>1443</v>
      </c>
      <c r="O28" s="779">
        <v>3.4700000000000002E-2</v>
      </c>
      <c r="P28" s="779" t="str">
        <f t="shared" si="2"/>
        <v>Y</v>
      </c>
      <c r="R28" s="779">
        <v>3.4700000000000002E-2</v>
      </c>
      <c r="S28" s="808"/>
    </row>
    <row r="29" spans="1:19">
      <c r="A29" s="735" t="s">
        <v>1444</v>
      </c>
      <c r="B29" s="736">
        <v>16022598.870000001</v>
      </c>
      <c r="C29" s="737">
        <v>6.8900000000000003E-2</v>
      </c>
      <c r="D29" s="736">
        <v>91835.459999999992</v>
      </c>
      <c r="E29" s="737">
        <f t="shared" si="0"/>
        <v>2.6099999999999998E-2</v>
      </c>
      <c r="F29" s="738">
        <f t="shared" si="3"/>
        <v>34849.152542249998</v>
      </c>
      <c r="G29" s="739">
        <f t="shared" si="4"/>
        <v>-56986.307457749994</v>
      </c>
      <c r="H29" s="587">
        <f t="shared" si="5"/>
        <v>-683835.68949299993</v>
      </c>
      <c r="I29" s="584"/>
      <c r="J29" s="584"/>
      <c r="L29" s="740">
        <f t="shared" si="1"/>
        <v>418189.83050699998</v>
      </c>
      <c r="N29" s="384" t="s">
        <v>1444</v>
      </c>
      <c r="O29" s="779">
        <v>2.6099999999999998E-2</v>
      </c>
      <c r="P29" s="779" t="str">
        <f t="shared" si="2"/>
        <v>Y</v>
      </c>
      <c r="R29" s="779">
        <v>2.7199999999999998E-2</v>
      </c>
      <c r="S29" s="808"/>
    </row>
    <row r="30" spans="1:19">
      <c r="A30" s="735" t="s">
        <v>1445</v>
      </c>
      <c r="B30" s="736">
        <v>32273846.380000003</v>
      </c>
      <c r="C30" s="737">
        <v>2.2700000000000001E-2</v>
      </c>
      <c r="D30" s="736">
        <v>60944.54</v>
      </c>
      <c r="E30" s="737">
        <f t="shared" si="0"/>
        <v>2.6099999999999998E-2</v>
      </c>
      <c r="F30" s="738">
        <f t="shared" si="3"/>
        <v>70195.6158765</v>
      </c>
      <c r="G30" s="739">
        <f t="shared" si="4"/>
        <v>9251.0758764999991</v>
      </c>
      <c r="H30" s="587">
        <f t="shared" si="5"/>
        <v>111012.91051799999</v>
      </c>
      <c r="I30" s="584"/>
      <c r="J30" s="584"/>
      <c r="L30" s="740">
        <f t="shared" si="1"/>
        <v>842347.390518</v>
      </c>
      <c r="N30" s="384" t="s">
        <v>1445</v>
      </c>
      <c r="O30" s="779">
        <v>2.6099999999999998E-2</v>
      </c>
      <c r="P30" s="779" t="str">
        <f t="shared" si="2"/>
        <v>Y</v>
      </c>
      <c r="R30" s="779">
        <v>2.7199999999999998E-2</v>
      </c>
      <c r="S30" s="808"/>
    </row>
    <row r="31" spans="1:19">
      <c r="A31" s="735" t="s">
        <v>1446</v>
      </c>
      <c r="B31" s="736">
        <v>24129820.09</v>
      </c>
      <c r="C31" s="737">
        <v>1.8599999999999998E-2</v>
      </c>
      <c r="D31" s="736">
        <v>37401.22</v>
      </c>
      <c r="E31" s="737">
        <f t="shared" si="0"/>
        <v>2.6099999999999998E-2</v>
      </c>
      <c r="F31" s="738">
        <f t="shared" si="3"/>
        <v>52482.358695750001</v>
      </c>
      <c r="G31" s="739">
        <f t="shared" si="4"/>
        <v>15081.13869575</v>
      </c>
      <c r="H31" s="587">
        <f t="shared" si="5"/>
        <v>180973.664349</v>
      </c>
      <c r="I31" s="584"/>
      <c r="J31" s="584"/>
      <c r="L31" s="740">
        <f t="shared" si="1"/>
        <v>629788.30434899998</v>
      </c>
      <c r="N31" s="384" t="s">
        <v>1446</v>
      </c>
      <c r="O31" s="779">
        <v>2.6099999999999998E-2</v>
      </c>
      <c r="P31" s="779" t="str">
        <f t="shared" si="2"/>
        <v>Y</v>
      </c>
      <c r="R31" s="779">
        <v>2.7199999999999998E-2</v>
      </c>
      <c r="S31" s="808"/>
    </row>
    <row r="32" spans="1:19">
      <c r="A32" s="735" t="s">
        <v>1447</v>
      </c>
      <c r="B32" s="736">
        <v>8559185.1400000006</v>
      </c>
      <c r="C32" s="737">
        <v>2.3199999999999998E-2</v>
      </c>
      <c r="D32" s="736">
        <v>16518.809999999998</v>
      </c>
      <c r="E32" s="737">
        <f t="shared" si="0"/>
        <v>2.1600000000000001E-2</v>
      </c>
      <c r="F32" s="738">
        <f t="shared" si="3"/>
        <v>15406.533252000001</v>
      </c>
      <c r="G32" s="739">
        <f t="shared" si="4"/>
        <v>-1112.2767479999966</v>
      </c>
      <c r="H32" s="587">
        <f t="shared" si="5"/>
        <v>-13347.320975999959</v>
      </c>
      <c r="I32" s="584"/>
      <c r="J32" s="584"/>
      <c r="L32" s="740">
        <f t="shared" si="1"/>
        <v>184878.39902400001</v>
      </c>
      <c r="N32" s="384" t="s">
        <v>1447</v>
      </c>
      <c r="O32" s="779">
        <v>2.1600000000000001E-2</v>
      </c>
      <c r="P32" s="779" t="str">
        <f t="shared" si="2"/>
        <v>Y</v>
      </c>
      <c r="R32" s="779">
        <v>2.4199999999999999E-2</v>
      </c>
      <c r="S32" s="808"/>
    </row>
    <row r="33" spans="1:19">
      <c r="A33" s="735" t="s">
        <v>1448</v>
      </c>
      <c r="B33" s="736">
        <v>9718288.5999999996</v>
      </c>
      <c r="C33" s="737">
        <v>2.18E-2</v>
      </c>
      <c r="D33" s="736">
        <v>17654.89</v>
      </c>
      <c r="E33" s="737">
        <f t="shared" si="0"/>
        <v>1.7000000000000001E-2</v>
      </c>
      <c r="F33" s="738">
        <f t="shared" si="3"/>
        <v>13767.575516666666</v>
      </c>
      <c r="G33" s="739">
        <f t="shared" si="4"/>
        <v>-3887.3144833333336</v>
      </c>
      <c r="H33" s="587">
        <f t="shared" si="5"/>
        <v>-46647.773800000003</v>
      </c>
      <c r="I33" s="584"/>
      <c r="J33" s="584"/>
      <c r="L33" s="740">
        <f t="shared" si="1"/>
        <v>165210.9062</v>
      </c>
      <c r="N33" s="384" t="s">
        <v>1448</v>
      </c>
      <c r="O33" s="779">
        <v>1.7000000000000001E-2</v>
      </c>
      <c r="P33" s="779" t="str">
        <f t="shared" si="2"/>
        <v>Y</v>
      </c>
      <c r="R33" s="779">
        <v>1.8700000000000001E-2</v>
      </c>
      <c r="S33" s="808"/>
    </row>
    <row r="34" spans="1:19">
      <c r="A34" s="735" t="s">
        <v>1449</v>
      </c>
      <c r="B34" s="736">
        <v>3267535.24</v>
      </c>
      <c r="C34" s="737">
        <v>0</v>
      </c>
      <c r="D34" s="736">
        <v>0</v>
      </c>
      <c r="E34" s="737">
        <f t="shared" si="0"/>
        <v>0</v>
      </c>
      <c r="F34" s="738"/>
      <c r="G34" s="739">
        <f t="shared" si="4"/>
        <v>0</v>
      </c>
      <c r="H34" s="587">
        <f t="shared" si="5"/>
        <v>0</v>
      </c>
      <c r="I34" s="584"/>
      <c r="J34" s="584"/>
      <c r="L34" s="740">
        <f t="shared" si="1"/>
        <v>0</v>
      </c>
      <c r="N34" s="384" t="s">
        <v>1449</v>
      </c>
      <c r="O34" s="779">
        <v>0</v>
      </c>
      <c r="P34" s="779" t="str">
        <f t="shared" si="2"/>
        <v>Y</v>
      </c>
      <c r="R34" s="779">
        <v>0</v>
      </c>
      <c r="S34" s="808"/>
    </row>
    <row r="35" spans="1:19">
      <c r="A35" s="735" t="s">
        <v>1450</v>
      </c>
      <c r="B35" s="736">
        <v>7933.28</v>
      </c>
      <c r="C35" s="737">
        <v>0</v>
      </c>
      <c r="D35" s="736">
        <v>0</v>
      </c>
      <c r="E35" s="737">
        <f t="shared" si="0"/>
        <v>0</v>
      </c>
      <c r="F35" s="738"/>
      <c r="G35" s="739">
        <f t="shared" si="4"/>
        <v>0</v>
      </c>
      <c r="H35" s="587">
        <f t="shared" si="5"/>
        <v>0</v>
      </c>
      <c r="L35" s="740">
        <f t="shared" si="1"/>
        <v>0</v>
      </c>
      <c r="N35" s="384" t="s">
        <v>1450</v>
      </c>
      <c r="O35" s="779">
        <v>0</v>
      </c>
      <c r="P35" s="779" t="str">
        <f t="shared" si="2"/>
        <v>Y</v>
      </c>
      <c r="R35" s="779">
        <v>0</v>
      </c>
      <c r="S35" s="808"/>
    </row>
    <row r="36" spans="1:19">
      <c r="A36" s="735" t="s">
        <v>1451</v>
      </c>
      <c r="B36" s="736">
        <v>16960355.690000001</v>
      </c>
      <c r="C36" s="737">
        <v>1.24E-2</v>
      </c>
      <c r="D36" s="736">
        <v>17518.289999999997</v>
      </c>
      <c r="E36" s="737">
        <f t="shared" si="0"/>
        <v>1.44E-2</v>
      </c>
      <c r="F36" s="738">
        <f>IF(E36=0%, D36, (B36+K38)*E36/12)</f>
        <v>20352.426828</v>
      </c>
      <c r="G36" s="739">
        <f t="shared" si="4"/>
        <v>2834.1368280000024</v>
      </c>
      <c r="H36" s="587">
        <f t="shared" si="5"/>
        <v>34009.641936000029</v>
      </c>
      <c r="L36" s="740">
        <f t="shared" si="1"/>
        <v>244229.12193600001</v>
      </c>
      <c r="N36" s="384" t="s">
        <v>1451</v>
      </c>
      <c r="O36" s="779">
        <v>1.44E-2</v>
      </c>
      <c r="P36" s="779" t="str">
        <f t="shared" si="2"/>
        <v>Y</v>
      </c>
      <c r="R36" s="779">
        <v>1.44E-2</v>
      </c>
      <c r="S36" s="808"/>
    </row>
    <row r="37" spans="1:19">
      <c r="A37" s="735" t="s">
        <v>1454</v>
      </c>
      <c r="B37" s="736">
        <v>2626882.3000000003</v>
      </c>
      <c r="C37" s="737">
        <v>0.16239999999999999</v>
      </c>
      <c r="D37" s="736">
        <v>35493.72</v>
      </c>
      <c r="E37" s="737">
        <f t="shared" si="0"/>
        <v>0.44020000000000004</v>
      </c>
      <c r="F37" s="738">
        <f>(B37+K37)*(E37/12)</f>
        <v>52243.020371666687</v>
      </c>
      <c r="G37" s="739">
        <f t="shared" si="4"/>
        <v>16749.300371666686</v>
      </c>
      <c r="H37" s="587">
        <f t="shared" si="5"/>
        <v>200991.60446000024</v>
      </c>
      <c r="I37" s="584">
        <v>11</v>
      </c>
      <c r="J37" s="584">
        <v>5</v>
      </c>
      <c r="K37" s="736">
        <v>-1202720</v>
      </c>
      <c r="L37" s="740">
        <f t="shared" si="1"/>
        <v>626916.24446000019</v>
      </c>
      <c r="N37" s="384" t="s">
        <v>1454</v>
      </c>
      <c r="O37" s="779">
        <v>0.44020000000000004</v>
      </c>
      <c r="P37" s="779" t="str">
        <f t="shared" si="2"/>
        <v>Y</v>
      </c>
      <c r="R37" s="779">
        <v>0.44019999999999998</v>
      </c>
      <c r="S37" s="808"/>
    </row>
    <row r="38" spans="1:19">
      <c r="A38" s="735" t="s">
        <v>1452</v>
      </c>
      <c r="B38" s="736">
        <v>233771.36000000004</v>
      </c>
      <c r="C38" s="737">
        <v>0.17369999999999999</v>
      </c>
      <c r="D38" s="736">
        <v>3381.09</v>
      </c>
      <c r="E38" s="737">
        <f t="shared" si="0"/>
        <v>0.26369999999999999</v>
      </c>
      <c r="F38" s="738">
        <f>(B38+K38)*(E38/12)</f>
        <v>5137.1256360000007</v>
      </c>
      <c r="G38" s="739">
        <f t="shared" si="4"/>
        <v>1756.0356360000005</v>
      </c>
      <c r="H38" s="587">
        <f t="shared" si="5"/>
        <v>21072.427632000006</v>
      </c>
      <c r="I38" s="584">
        <v>15</v>
      </c>
      <c r="J38" s="584">
        <v>15</v>
      </c>
      <c r="K38" s="736">
        <v>0</v>
      </c>
      <c r="L38" s="740">
        <f t="shared" si="1"/>
        <v>61645.507632000008</v>
      </c>
      <c r="N38" s="384" t="s">
        <v>1452</v>
      </c>
      <c r="O38" s="779">
        <v>0.26369999999999999</v>
      </c>
      <c r="P38" s="779" t="str">
        <f t="shared" si="2"/>
        <v>Y</v>
      </c>
      <c r="R38" s="779">
        <v>0.26369999999999999</v>
      </c>
      <c r="S38" s="808"/>
    </row>
    <row r="39" spans="1:19">
      <c r="A39" s="735" t="s">
        <v>1453</v>
      </c>
      <c r="B39" s="736">
        <v>1410564.77</v>
      </c>
      <c r="C39" s="737">
        <v>4.9799999999999997E-2</v>
      </c>
      <c r="D39" s="736">
        <v>5847.45</v>
      </c>
      <c r="E39" s="737">
        <f t="shared" si="0"/>
        <v>0.19</v>
      </c>
      <c r="F39" s="738">
        <f t="shared" ref="F39:F49" si="6">(B39+K39)*(E39/12)</f>
        <v>19900.232508333334</v>
      </c>
      <c r="G39" s="739">
        <f t="shared" si="4"/>
        <v>14052.782508333334</v>
      </c>
      <c r="H39" s="587">
        <f t="shared" si="5"/>
        <v>168633.39010000002</v>
      </c>
      <c r="I39" s="584">
        <v>25</v>
      </c>
      <c r="J39" s="584">
        <v>15</v>
      </c>
      <c r="K39" s="736">
        <v>-153707.98000000001</v>
      </c>
      <c r="L39" s="740">
        <f t="shared" si="1"/>
        <v>238802.79010000001</v>
      </c>
      <c r="N39" s="384" t="s">
        <v>1453</v>
      </c>
      <c r="O39" s="779">
        <v>0.19</v>
      </c>
      <c r="P39" s="779" t="str">
        <f t="shared" si="2"/>
        <v>Y</v>
      </c>
      <c r="R39" s="779">
        <v>0.19</v>
      </c>
      <c r="S39" s="808"/>
    </row>
    <row r="40" spans="1:19">
      <c r="A40" s="735" t="s">
        <v>2330</v>
      </c>
      <c r="B40" s="736">
        <v>2250897.6999999997</v>
      </c>
      <c r="C40" s="737">
        <v>0</v>
      </c>
      <c r="D40" s="736">
        <v>0</v>
      </c>
      <c r="E40" s="737">
        <f t="shared" si="0"/>
        <v>0</v>
      </c>
      <c r="F40" s="738">
        <f t="shared" si="6"/>
        <v>0</v>
      </c>
      <c r="G40" s="739">
        <f t="shared" si="4"/>
        <v>0</v>
      </c>
      <c r="H40" s="587">
        <f t="shared" si="5"/>
        <v>0</v>
      </c>
      <c r="I40" s="584"/>
      <c r="J40" s="584"/>
      <c r="K40" s="736"/>
      <c r="L40" s="740">
        <f t="shared" si="1"/>
        <v>0</v>
      </c>
      <c r="N40" s="384" t="s">
        <v>2330</v>
      </c>
      <c r="O40" s="779">
        <v>0</v>
      </c>
      <c r="P40" s="779" t="str">
        <f t="shared" si="2"/>
        <v>Y</v>
      </c>
      <c r="R40" s="779">
        <v>0</v>
      </c>
      <c r="S40" s="808"/>
    </row>
    <row r="41" spans="1:19">
      <c r="A41" s="735" t="s">
        <v>2331</v>
      </c>
      <c r="B41" s="736">
        <v>209355.96000000002</v>
      </c>
      <c r="C41" s="737">
        <v>3.15E-2</v>
      </c>
      <c r="D41" s="736">
        <v>549.54</v>
      </c>
      <c r="E41" s="737">
        <f t="shared" si="0"/>
        <v>2.69E-2</v>
      </c>
      <c r="F41" s="738">
        <f t="shared" si="6"/>
        <v>469.30627700000002</v>
      </c>
      <c r="G41" s="739">
        <f t="shared" si="4"/>
        <v>-80.233722999999941</v>
      </c>
      <c r="H41" s="587">
        <f t="shared" si="5"/>
        <v>-962.80467599999929</v>
      </c>
      <c r="L41" s="740">
        <f t="shared" si="1"/>
        <v>5631.6753239999998</v>
      </c>
      <c r="N41" s="384" t="s">
        <v>2331</v>
      </c>
      <c r="O41" s="779">
        <v>2.69E-2</v>
      </c>
      <c r="P41" s="779" t="str">
        <f t="shared" si="2"/>
        <v>Y</v>
      </c>
      <c r="R41" s="779">
        <v>2.69E-2</v>
      </c>
      <c r="S41" s="808"/>
    </row>
    <row r="42" spans="1:19">
      <c r="A42" s="735" t="s">
        <v>2332</v>
      </c>
      <c r="B42" s="736">
        <v>13232526.48</v>
      </c>
      <c r="C42" s="737">
        <v>6.1499999999999999E-2</v>
      </c>
      <c r="D42" s="736">
        <v>67803.55</v>
      </c>
      <c r="E42" s="737">
        <f t="shared" si="0"/>
        <v>5.8899999999999994E-2</v>
      </c>
      <c r="F42" s="738">
        <f t="shared" si="6"/>
        <v>64949.650805999998</v>
      </c>
      <c r="G42" s="739">
        <f t="shared" si="4"/>
        <v>-2853.8991940000051</v>
      </c>
      <c r="H42" s="587">
        <f t="shared" si="5"/>
        <v>-34246.790328000061</v>
      </c>
      <c r="L42" s="740">
        <f t="shared" si="1"/>
        <v>779395.809672</v>
      </c>
      <c r="N42" s="384" t="s">
        <v>2332</v>
      </c>
      <c r="O42" s="779">
        <v>5.8899999999999994E-2</v>
      </c>
      <c r="P42" s="779" t="str">
        <f t="shared" si="2"/>
        <v>Y</v>
      </c>
      <c r="R42" s="779">
        <v>5.8900000000000001E-2</v>
      </c>
      <c r="S42" s="808"/>
    </row>
    <row r="43" spans="1:19">
      <c r="A43" s="735" t="s">
        <v>1455</v>
      </c>
      <c r="B43" s="736">
        <v>63199.69</v>
      </c>
      <c r="C43" s="737">
        <v>5.3400000000000003E-2</v>
      </c>
      <c r="D43" s="736">
        <v>280.95</v>
      </c>
      <c r="E43" s="737">
        <f t="shared" si="0"/>
        <v>8.4000000000000005E-2</v>
      </c>
      <c r="F43" s="738">
        <f t="shared" si="6"/>
        <v>442.39783</v>
      </c>
      <c r="G43" s="739">
        <f t="shared" si="4"/>
        <v>161.44783000000001</v>
      </c>
      <c r="H43" s="587">
        <f t="shared" si="5"/>
        <v>1937.3739600000001</v>
      </c>
      <c r="I43" s="584">
        <v>33</v>
      </c>
      <c r="J43" s="584">
        <v>30</v>
      </c>
      <c r="K43" s="736">
        <v>0</v>
      </c>
      <c r="L43" s="740">
        <f t="shared" si="1"/>
        <v>5308.7739600000004</v>
      </c>
      <c r="N43" s="384" t="s">
        <v>1455</v>
      </c>
      <c r="O43" s="779">
        <v>8.4000000000000005E-2</v>
      </c>
      <c r="P43" s="779" t="str">
        <f t="shared" si="2"/>
        <v>Y</v>
      </c>
      <c r="R43" s="779">
        <v>8.4000000000000005E-2</v>
      </c>
      <c r="S43" s="808"/>
    </row>
    <row r="44" spans="1:19">
      <c r="A44" s="735" t="s">
        <v>1456</v>
      </c>
      <c r="B44" s="736">
        <v>7034460.8100000005</v>
      </c>
      <c r="C44" s="737">
        <v>3.56E-2</v>
      </c>
      <c r="D44" s="736">
        <v>20859.3</v>
      </c>
      <c r="E44" s="737">
        <f t="shared" si="0"/>
        <v>0.1066</v>
      </c>
      <c r="F44" s="738">
        <f t="shared" si="6"/>
        <v>53716.40855966667</v>
      </c>
      <c r="G44" s="739">
        <f t="shared" si="4"/>
        <v>32857.108559666667</v>
      </c>
      <c r="H44" s="587">
        <f t="shared" si="5"/>
        <v>394285.30271600001</v>
      </c>
      <c r="I44" s="584">
        <v>31</v>
      </c>
      <c r="J44" s="584">
        <v>20</v>
      </c>
      <c r="K44" s="736">
        <v>-987585.55</v>
      </c>
      <c r="L44" s="740">
        <f t="shared" si="1"/>
        <v>644596.9027160001</v>
      </c>
      <c r="N44" s="384" t="s">
        <v>1456</v>
      </c>
      <c r="O44" s="779">
        <v>0.1066</v>
      </c>
      <c r="P44" s="779" t="str">
        <f t="shared" si="2"/>
        <v>Y</v>
      </c>
      <c r="R44" s="779">
        <v>0.1066</v>
      </c>
      <c r="S44" s="808"/>
    </row>
    <row r="45" spans="1:19">
      <c r="A45" s="735" t="s">
        <v>1465</v>
      </c>
      <c r="B45" s="736">
        <v>131231.01999999999</v>
      </c>
      <c r="C45" s="737">
        <v>1.84E-2</v>
      </c>
      <c r="D45" s="736">
        <v>201.22</v>
      </c>
      <c r="E45" s="737">
        <f t="shared" si="0"/>
        <v>1.52E-2</v>
      </c>
      <c r="F45" s="738">
        <f t="shared" si="6"/>
        <v>166.22595866666666</v>
      </c>
      <c r="G45" s="739">
        <f t="shared" si="4"/>
        <v>-34.994041333333342</v>
      </c>
      <c r="H45" s="587">
        <f t="shared" si="5"/>
        <v>-419.92849600000011</v>
      </c>
      <c r="I45" s="584"/>
      <c r="J45" s="584"/>
      <c r="K45" s="736"/>
      <c r="L45" s="740">
        <f t="shared" si="1"/>
        <v>1994.7115039999999</v>
      </c>
      <c r="N45" s="384" t="s">
        <v>1465</v>
      </c>
      <c r="O45" s="779">
        <v>1.52E-2</v>
      </c>
      <c r="P45" s="779" t="str">
        <f t="shared" si="2"/>
        <v>Y</v>
      </c>
      <c r="R45" s="779">
        <v>1.52E-2</v>
      </c>
      <c r="S45" s="808"/>
    </row>
    <row r="46" spans="1:19">
      <c r="A46" s="735" t="s">
        <v>1457</v>
      </c>
      <c r="B46" s="736">
        <v>68747.38</v>
      </c>
      <c r="C46" s="737">
        <v>4.5999999999999999E-2</v>
      </c>
      <c r="D46" s="736">
        <v>263.14</v>
      </c>
      <c r="E46" s="737">
        <f t="shared" si="0"/>
        <v>0.14550000000000002</v>
      </c>
      <c r="F46" s="738">
        <f t="shared" si="6"/>
        <v>461.94176625000017</v>
      </c>
      <c r="G46" s="739">
        <f t="shared" si="4"/>
        <v>198.80176625000018</v>
      </c>
      <c r="H46" s="587">
        <f t="shared" si="5"/>
        <v>2385.6211950000024</v>
      </c>
      <c r="I46" s="584">
        <v>25</v>
      </c>
      <c r="J46" s="584">
        <v>20</v>
      </c>
      <c r="K46" s="736">
        <v>-30649.09</v>
      </c>
      <c r="L46" s="740">
        <f t="shared" si="1"/>
        <v>5543.3011950000018</v>
      </c>
      <c r="N46" s="384" t="s">
        <v>1457</v>
      </c>
      <c r="O46" s="779">
        <v>0.14550000000000002</v>
      </c>
      <c r="P46" s="779" t="str">
        <f t="shared" si="2"/>
        <v>Y</v>
      </c>
      <c r="R46" s="779">
        <v>0.14549999999999999</v>
      </c>
      <c r="S46" s="808"/>
    </row>
    <row r="47" spans="1:19">
      <c r="A47" s="735" t="s">
        <v>2333</v>
      </c>
      <c r="B47" s="736">
        <v>2028370.8599999999</v>
      </c>
      <c r="C47" s="737">
        <v>5.1799999999999999E-2</v>
      </c>
      <c r="D47" s="736">
        <v>8756.2900000000009</v>
      </c>
      <c r="E47" s="737">
        <f t="shared" si="0"/>
        <v>9.6300000000000011E-2</v>
      </c>
      <c r="F47" s="738">
        <f t="shared" si="6"/>
        <v>16277.676151500002</v>
      </c>
      <c r="G47" s="739">
        <f t="shared" si="4"/>
        <v>7521.3861515000008</v>
      </c>
      <c r="H47" s="587">
        <f t="shared" si="5"/>
        <v>90256.633818000002</v>
      </c>
      <c r="L47" s="740">
        <f t="shared" si="1"/>
        <v>195332.11381800001</v>
      </c>
      <c r="N47" s="384" t="s">
        <v>2333</v>
      </c>
      <c r="O47" s="779">
        <v>9.6300000000000011E-2</v>
      </c>
      <c r="P47" s="779" t="str">
        <f t="shared" si="2"/>
        <v>Y</v>
      </c>
      <c r="R47" s="779">
        <v>9.6299999999999997E-2</v>
      </c>
      <c r="S47" s="808"/>
    </row>
    <row r="48" spans="1:19">
      <c r="A48" s="735" t="s">
        <v>2334</v>
      </c>
      <c r="B48" s="736">
        <v>553326.53</v>
      </c>
      <c r="C48" s="737">
        <v>3.1199999999999999E-2</v>
      </c>
      <c r="D48" s="736">
        <v>1438.65</v>
      </c>
      <c r="E48" s="737">
        <f t="shared" si="0"/>
        <v>2.6099999999999998E-2</v>
      </c>
      <c r="F48" s="738">
        <f t="shared" si="6"/>
        <v>1203.4852027499999</v>
      </c>
      <c r="G48" s="739">
        <f t="shared" si="4"/>
        <v>-235.16479725000022</v>
      </c>
      <c r="H48" s="587">
        <f t="shared" si="5"/>
        <v>-2821.9775670000026</v>
      </c>
      <c r="L48" s="740">
        <f t="shared" si="1"/>
        <v>14441.822432999998</v>
      </c>
      <c r="N48" s="384" t="s">
        <v>2334</v>
      </c>
      <c r="O48" s="779">
        <v>2.6099999999999998E-2</v>
      </c>
      <c r="P48" s="779" t="str">
        <f t="shared" si="2"/>
        <v>Y</v>
      </c>
      <c r="R48" s="779">
        <v>2.9700000000000001E-2</v>
      </c>
      <c r="S48" s="808"/>
    </row>
    <row r="49" spans="1:19">
      <c r="A49" s="735" t="s">
        <v>1458</v>
      </c>
      <c r="B49" s="736">
        <v>194717.3</v>
      </c>
      <c r="C49" s="737">
        <v>4.5600000000000002E-2</v>
      </c>
      <c r="D49" s="736">
        <v>739.93</v>
      </c>
      <c r="E49" s="737">
        <f t="shared" si="0"/>
        <v>5.3499999999999999E-2</v>
      </c>
      <c r="F49" s="738">
        <f t="shared" si="6"/>
        <v>543.53106541666659</v>
      </c>
      <c r="G49" s="739">
        <f t="shared" si="4"/>
        <v>-196.39893458333336</v>
      </c>
      <c r="H49" s="587">
        <f t="shared" si="5"/>
        <v>-2356.7872150000003</v>
      </c>
      <c r="I49" s="584" t="s">
        <v>2335</v>
      </c>
      <c r="J49" s="584">
        <v>15</v>
      </c>
      <c r="K49" s="736">
        <v>-72803.789999999994</v>
      </c>
      <c r="L49" s="740">
        <f t="shared" si="1"/>
        <v>6522.3727849999996</v>
      </c>
      <c r="N49" s="384" t="s">
        <v>1458</v>
      </c>
      <c r="O49" s="779">
        <v>5.3499999999999999E-2</v>
      </c>
      <c r="P49" s="779" t="str">
        <f t="shared" si="2"/>
        <v>Y</v>
      </c>
      <c r="R49" s="779">
        <v>5.3499999999999999E-2</v>
      </c>
      <c r="S49" s="808"/>
    </row>
    <row r="50" spans="1:19">
      <c r="A50" s="735" t="s">
        <v>1459</v>
      </c>
      <c r="B50" s="736">
        <v>939552.66999999993</v>
      </c>
      <c r="C50" s="737">
        <v>9.3700000000000006E-2</v>
      </c>
      <c r="D50" s="736">
        <v>7336.1600000000008</v>
      </c>
      <c r="E50" s="737">
        <f t="shared" si="0"/>
        <v>6.9900000000000004E-2</v>
      </c>
      <c r="F50" s="738">
        <f>(B50+K50)*(E50/12)</f>
        <v>5472.89430275</v>
      </c>
      <c r="G50" s="739">
        <f t="shared" si="4"/>
        <v>-1863.2656972500008</v>
      </c>
      <c r="H50" s="587">
        <f t="shared" si="5"/>
        <v>-22359.18836700001</v>
      </c>
      <c r="I50" s="584">
        <v>12</v>
      </c>
      <c r="J50" s="584">
        <v>15</v>
      </c>
      <c r="K50" s="736">
        <v>0</v>
      </c>
      <c r="L50" s="740">
        <f t="shared" si="1"/>
        <v>65674.731633000003</v>
      </c>
      <c r="N50" s="384" t="s">
        <v>1459</v>
      </c>
      <c r="O50" s="779">
        <v>6.9900000000000004E-2</v>
      </c>
      <c r="P50" s="779" t="str">
        <f t="shared" si="2"/>
        <v>Y</v>
      </c>
      <c r="R50" s="779">
        <v>6.9900000000000004E-2</v>
      </c>
      <c r="S50" s="808"/>
    </row>
    <row r="51" spans="1:19">
      <c r="A51" s="735" t="s">
        <v>1460</v>
      </c>
      <c r="B51" s="736">
        <v>4114182.71</v>
      </c>
      <c r="C51" s="737">
        <v>1.2999999999999999E-3</v>
      </c>
      <c r="D51" s="736">
        <v>445.54999999999995</v>
      </c>
      <c r="E51" s="737">
        <f t="shared" si="0"/>
        <v>5.5300000000000002E-2</v>
      </c>
      <c r="F51" s="738">
        <f>(B51+K51)*(E51/12)</f>
        <v>10602.882227583334</v>
      </c>
      <c r="G51" s="739">
        <f t="shared" si="4"/>
        <v>10157.332227583334</v>
      </c>
      <c r="H51" s="587">
        <f t="shared" si="5"/>
        <v>121887.98673100001</v>
      </c>
      <c r="I51" s="584" t="s">
        <v>2335</v>
      </c>
      <c r="J51" s="584">
        <v>15</v>
      </c>
      <c r="K51" s="736">
        <v>-1813376.44</v>
      </c>
      <c r="L51" s="740">
        <f t="shared" si="1"/>
        <v>127234.586731</v>
      </c>
      <c r="N51" s="384" t="s">
        <v>1460</v>
      </c>
      <c r="O51" s="779">
        <v>5.5300000000000002E-2</v>
      </c>
      <c r="P51" s="779" t="str">
        <f t="shared" si="2"/>
        <v>Y</v>
      </c>
      <c r="R51" s="779">
        <v>5.5300000000000002E-2</v>
      </c>
      <c r="S51" s="808"/>
    </row>
    <row r="52" spans="1:19">
      <c r="A52" s="735" t="s">
        <v>1461</v>
      </c>
      <c r="B52" s="736">
        <v>422419.49999999994</v>
      </c>
      <c r="C52" s="737">
        <v>9.1800000000000007E-2</v>
      </c>
      <c r="D52" s="736">
        <v>3230.27</v>
      </c>
      <c r="E52" s="737">
        <f t="shared" si="0"/>
        <v>0.2162</v>
      </c>
      <c r="F52" s="738">
        <f>(B52+K52)*(E52/12)</f>
        <v>7610.5913249999994</v>
      </c>
      <c r="G52" s="739">
        <f t="shared" si="4"/>
        <v>4380.321324999999</v>
      </c>
      <c r="H52" s="587">
        <f t="shared" si="5"/>
        <v>52563.855899999988</v>
      </c>
      <c r="I52" s="584" t="s">
        <v>2335</v>
      </c>
      <c r="J52" s="584">
        <v>15</v>
      </c>
      <c r="K52" s="736">
        <v>0</v>
      </c>
      <c r="L52" s="740">
        <f t="shared" si="1"/>
        <v>91327.095899999986</v>
      </c>
      <c r="N52" s="384" t="s">
        <v>1461</v>
      </c>
      <c r="O52" s="779">
        <v>0.2162</v>
      </c>
      <c r="P52" s="779" t="str">
        <f t="shared" si="2"/>
        <v>Y</v>
      </c>
      <c r="R52" s="779">
        <v>0.2162</v>
      </c>
      <c r="S52" s="808"/>
    </row>
    <row r="53" spans="1:19">
      <c r="A53" s="735" t="s">
        <v>1462</v>
      </c>
      <c r="B53" s="736">
        <v>58988.85</v>
      </c>
      <c r="C53" s="737">
        <v>0.1051</v>
      </c>
      <c r="D53" s="736">
        <v>516.02</v>
      </c>
      <c r="E53" s="737">
        <f t="shared" si="0"/>
        <v>4.3499999999999997E-2</v>
      </c>
      <c r="F53" s="738">
        <f>(B53+K53)*(E53/12)</f>
        <v>213.83458124999999</v>
      </c>
      <c r="G53" s="739">
        <f t="shared" si="4"/>
        <v>-302.18541875</v>
      </c>
      <c r="H53" s="587">
        <f t="shared" si="5"/>
        <v>-3626.2250249999997</v>
      </c>
      <c r="L53" s="740">
        <f t="shared" si="1"/>
        <v>2566.014975</v>
      </c>
      <c r="N53" s="384" t="s">
        <v>1462</v>
      </c>
      <c r="O53" s="779">
        <v>4.3499999999999997E-2</v>
      </c>
      <c r="P53" s="779" t="str">
        <f t="shared" si="2"/>
        <v>Y</v>
      </c>
      <c r="R53" s="779">
        <v>4.3499999999999997E-2</v>
      </c>
      <c r="S53" s="808"/>
    </row>
    <row r="54" spans="1:19">
      <c r="A54" s="729" t="s">
        <v>2336</v>
      </c>
      <c r="B54" s="742">
        <f>SUM(B12:B53)</f>
        <v>866945220.73000002</v>
      </c>
      <c r="C54" s="743"/>
      <c r="D54" s="744">
        <f>SUM(D12:D53)</f>
        <v>2244953.62</v>
      </c>
      <c r="E54" s="744"/>
      <c r="F54" s="744">
        <f>SUM(F12:F53)</f>
        <v>2235469.1299561667</v>
      </c>
      <c r="G54" s="744">
        <f>SUM(G12:G53)</f>
        <v>-9484.4900438333443</v>
      </c>
      <c r="H54" s="744">
        <f>SUM(H12:H53)</f>
        <v>-113813.88052600026</v>
      </c>
      <c r="I54" s="584"/>
      <c r="J54" s="584"/>
      <c r="L54" s="744">
        <f>F54*12</f>
        <v>26825629.559473999</v>
      </c>
    </row>
    <row r="55" spans="1:19">
      <c r="A55" s="745"/>
      <c r="B55" s="736"/>
      <c r="C55" s="727"/>
      <c r="D55" s="588" t="s">
        <v>2337</v>
      </c>
      <c r="E55" s="746">
        <f>+(D54+G54)</f>
        <v>2235469.1299561667</v>
      </c>
      <c r="F55" s="727"/>
      <c r="G55" s="728"/>
      <c r="I55" s="584"/>
      <c r="J55" s="584"/>
      <c r="R55" s="779"/>
    </row>
    <row r="56" spans="1:19">
      <c r="C56" s="727"/>
      <c r="D56" s="584" t="s">
        <v>2327</v>
      </c>
      <c r="E56" s="746">
        <f>+E55*12</f>
        <v>26825629.559473999</v>
      </c>
      <c r="F56" s="727"/>
      <c r="G56" s="728"/>
      <c r="I56" s="584"/>
      <c r="J56" s="584"/>
      <c r="L56" s="587"/>
    </row>
    <row r="57" spans="1:19">
      <c r="C57" s="727"/>
      <c r="D57" s="584" t="s">
        <v>2338</v>
      </c>
      <c r="E57" s="747">
        <f>+'Exh 6, ROO Summary'!E25</f>
        <v>24915117.609999999</v>
      </c>
      <c r="F57" s="727"/>
      <c r="G57" s="728"/>
      <c r="I57" s="584"/>
      <c r="J57" s="584"/>
      <c r="K57" s="587"/>
    </row>
    <row r="58" spans="1:19">
      <c r="C58" s="727"/>
      <c r="D58" s="584" t="s">
        <v>2339</v>
      </c>
      <c r="E58" s="748">
        <f>+E56-E57</f>
        <v>1910511.9494739994</v>
      </c>
      <c r="F58" s="727"/>
      <c r="G58" s="728"/>
      <c r="I58" s="584"/>
      <c r="J58" s="584"/>
    </row>
  </sheetData>
  <mergeCells count="5">
    <mergeCell ref="A1:M1"/>
    <mergeCell ref="A2:M2"/>
    <mergeCell ref="A3:M3"/>
    <mergeCell ref="A4:M4"/>
    <mergeCell ref="A5:M5"/>
  </mergeCells>
  <dataValidations count="1">
    <dataValidation type="list" allowBlank="1" showInputMessage="1" showErrorMessage="1" sqref="R8" xr:uid="{92D502D8-46E4-4C91-800B-308443785E6C}">
      <formula1>"Filed, UG200278"</formula1>
    </dataValidation>
  </dataValidation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7" tint="0.79998168889431442"/>
  </sheetPr>
  <dimension ref="A1:S121"/>
  <sheetViews>
    <sheetView view="pageBreakPreview" zoomScale="80" zoomScaleNormal="100" zoomScaleSheetLayoutView="80" workbookViewId="0">
      <pane xSplit="3" topLeftCell="G1" activePane="topRight" state="frozen"/>
      <selection activeCell="F27" sqref="F27"/>
      <selection pane="topRight" activeCell="M15" sqref="M15"/>
    </sheetView>
  </sheetViews>
  <sheetFormatPr defaultColWidth="9.109375" defaultRowHeight="15.6"/>
  <cols>
    <col min="1" max="1" width="10.109375" style="5" customWidth="1"/>
    <col min="2" max="2" width="43.6640625" style="3" bestFit="1" customWidth="1"/>
    <col min="3" max="3" width="9.5546875" style="3" bestFit="1" customWidth="1"/>
    <col min="4" max="4" width="16.109375" style="3" bestFit="1" customWidth="1"/>
    <col min="5" max="5" width="12.6640625" style="3" bestFit="1" customWidth="1"/>
    <col min="6" max="6" width="19" style="3" bestFit="1" customWidth="1"/>
    <col min="7" max="7" width="8.109375" style="3" bestFit="1" customWidth="1"/>
    <col min="8" max="8" width="17.5546875" style="3" customWidth="1"/>
    <col min="9" max="9" width="19" style="3" customWidth="1"/>
    <col min="10" max="10" width="13.33203125" style="3" customWidth="1"/>
    <col min="11" max="11" width="19.5546875" style="3" customWidth="1"/>
    <col min="12" max="12" width="18.44140625" style="3" customWidth="1"/>
    <col min="13" max="13" width="8.88671875" style="3" bestFit="1" customWidth="1"/>
    <col min="14" max="14" width="19" style="3" bestFit="1" customWidth="1"/>
    <col min="15" max="15" width="17.88671875" style="3" bestFit="1" customWidth="1"/>
    <col min="16" max="16" width="17.88671875" style="3" customWidth="1"/>
    <col min="17" max="17" width="22.109375" style="3" bestFit="1" customWidth="1"/>
    <col min="18" max="16384" width="9.109375" style="3"/>
  </cols>
  <sheetData>
    <row r="1" spans="1:19">
      <c r="C1" s="189"/>
      <c r="D1" s="189"/>
      <c r="E1" s="1926" t="s">
        <v>52</v>
      </c>
      <c r="F1" s="1926"/>
      <c r="G1" s="1926"/>
      <c r="H1" s="1926"/>
      <c r="I1" s="1926"/>
      <c r="J1" s="1926"/>
      <c r="K1" s="1926"/>
      <c r="L1" s="1926"/>
      <c r="N1" s="189"/>
      <c r="O1" s="189"/>
      <c r="P1" s="189"/>
      <c r="Q1" s="189"/>
    </row>
    <row r="2" spans="1:19">
      <c r="C2" s="228"/>
      <c r="D2" s="228"/>
      <c r="E2" s="1926" t="s">
        <v>1824</v>
      </c>
      <c r="F2" s="1926"/>
      <c r="G2" s="1926"/>
      <c r="H2" s="1926"/>
      <c r="I2" s="1926"/>
      <c r="J2" s="1926"/>
      <c r="K2" s="1926"/>
      <c r="L2" s="1926"/>
      <c r="N2" s="358"/>
      <c r="O2" s="1707">
        <v>554816.87453149993</v>
      </c>
      <c r="P2" s="228"/>
      <c r="Q2" s="228"/>
    </row>
    <row r="3" spans="1:19">
      <c r="C3" s="228"/>
      <c r="D3" s="228"/>
      <c r="E3" s="1926" t="s">
        <v>1272</v>
      </c>
      <c r="F3" s="1926"/>
      <c r="G3" s="1926"/>
      <c r="H3" s="1926"/>
      <c r="I3" s="1926"/>
      <c r="J3" s="1926"/>
      <c r="K3" s="1926"/>
      <c r="L3" s="1926"/>
      <c r="N3" s="1706"/>
      <c r="O3" s="1707">
        <f>K42+K111</f>
        <v>554816.87453149993</v>
      </c>
      <c r="P3" s="228"/>
      <c r="Q3" s="228"/>
    </row>
    <row r="4" spans="1:19">
      <c r="C4" s="228"/>
      <c r="D4" s="228"/>
      <c r="E4" s="1926" t="s">
        <v>1816</v>
      </c>
      <c r="F4" s="1926"/>
      <c r="G4" s="1926"/>
      <c r="H4" s="1926"/>
      <c r="I4" s="1926"/>
      <c r="J4" s="1926"/>
      <c r="K4" s="1926"/>
      <c r="L4" s="1926"/>
      <c r="M4" s="1687">
        <v>2021</v>
      </c>
      <c r="N4" s="228"/>
      <c r="O4" s="1707">
        <f>O2-O3</f>
        <v>0</v>
      </c>
      <c r="P4" s="228"/>
      <c r="Q4" s="228"/>
    </row>
    <row r="5" spans="1:19">
      <c r="C5" s="229"/>
      <c r="D5" s="229"/>
      <c r="E5" s="1926" t="s">
        <v>1823</v>
      </c>
      <c r="F5" s="1926"/>
      <c r="G5" s="1926"/>
      <c r="H5" s="1926"/>
      <c r="I5" s="1926"/>
      <c r="J5" s="1926"/>
      <c r="K5" s="1926"/>
      <c r="L5" s="1926"/>
      <c r="M5" s="1591" t="s">
        <v>3255</v>
      </c>
      <c r="N5" s="230"/>
      <c r="O5" s="230"/>
      <c r="P5" s="230"/>
      <c r="Q5" s="230"/>
    </row>
    <row r="6" spans="1:19">
      <c r="C6" s="229"/>
      <c r="D6" s="229"/>
      <c r="E6" s="229"/>
      <c r="F6" s="439"/>
      <c r="G6" s="439"/>
      <c r="H6" s="439"/>
      <c r="I6" s="439"/>
      <c r="J6" s="439"/>
      <c r="K6" s="439"/>
      <c r="L6" s="439"/>
      <c r="M6" s="18"/>
      <c r="N6" s="230"/>
      <c r="O6" s="230"/>
      <c r="P6" s="230"/>
      <c r="Q6" s="230"/>
    </row>
    <row r="7" spans="1:19" s="5" customFormat="1">
      <c r="B7" s="15" t="s">
        <v>778</v>
      </c>
      <c r="C7" s="15" t="s">
        <v>776</v>
      </c>
      <c r="D7" s="15" t="s">
        <v>777</v>
      </c>
      <c r="E7" s="15" t="s">
        <v>780</v>
      </c>
      <c r="F7" s="15" t="s">
        <v>781</v>
      </c>
      <c r="G7" s="15" t="s">
        <v>782</v>
      </c>
      <c r="H7" s="15" t="s">
        <v>783</v>
      </c>
      <c r="I7" s="231" t="s">
        <v>784</v>
      </c>
      <c r="J7" s="231" t="s">
        <v>785</v>
      </c>
      <c r="K7" s="231" t="s">
        <v>786</v>
      </c>
      <c r="L7" s="231" t="s">
        <v>787</v>
      </c>
      <c r="M7" s="231" t="s">
        <v>788</v>
      </c>
      <c r="N7" s="231" t="s">
        <v>789</v>
      </c>
      <c r="O7" s="231" t="s">
        <v>790</v>
      </c>
      <c r="P7" s="231" t="s">
        <v>791</v>
      </c>
      <c r="Q7" s="231" t="s">
        <v>1252</v>
      </c>
    </row>
    <row r="8" spans="1:19">
      <c r="B8" s="14"/>
      <c r="C8" s="14"/>
      <c r="D8" s="14" t="s">
        <v>671</v>
      </c>
      <c r="E8" s="14" t="s">
        <v>672</v>
      </c>
      <c r="F8" s="14" t="s">
        <v>673</v>
      </c>
      <c r="G8" s="15"/>
      <c r="H8" s="14" t="s">
        <v>674</v>
      </c>
      <c r="I8" s="14"/>
      <c r="J8" s="14"/>
      <c r="K8" s="14"/>
      <c r="L8" s="14"/>
      <c r="M8" s="14"/>
      <c r="N8" s="14"/>
      <c r="O8" s="14"/>
      <c r="P8" s="14" t="s">
        <v>51</v>
      </c>
      <c r="Q8" s="14" t="s">
        <v>51</v>
      </c>
    </row>
    <row r="9" spans="1:19">
      <c r="B9" s="14"/>
      <c r="C9" s="14" t="s">
        <v>69</v>
      </c>
      <c r="D9" s="15" t="s">
        <v>2170</v>
      </c>
      <c r="E9" s="14" t="s">
        <v>59</v>
      </c>
      <c r="F9" s="14" t="s">
        <v>1074</v>
      </c>
      <c r="G9" s="15" t="s">
        <v>1075</v>
      </c>
      <c r="H9" s="14" t="s">
        <v>2177</v>
      </c>
      <c r="I9" s="14" t="s">
        <v>92</v>
      </c>
      <c r="J9" s="14" t="s">
        <v>1254</v>
      </c>
      <c r="K9" s="14" t="s">
        <v>1254</v>
      </c>
      <c r="L9" s="14" t="s">
        <v>2171</v>
      </c>
      <c r="M9" s="14"/>
      <c r="N9" s="14" t="s">
        <v>2172</v>
      </c>
      <c r="O9" s="14" t="s">
        <v>2172</v>
      </c>
      <c r="P9" s="14" t="s">
        <v>1253</v>
      </c>
      <c r="Q9" s="14" t="s">
        <v>1252</v>
      </c>
    </row>
    <row r="10" spans="1:19">
      <c r="A10" s="9" t="s">
        <v>775</v>
      </c>
      <c r="B10" s="14"/>
      <c r="C10" s="14" t="s">
        <v>675</v>
      </c>
      <c r="D10" s="14" t="s">
        <v>676</v>
      </c>
      <c r="E10" s="14" t="s">
        <v>677</v>
      </c>
      <c r="F10" s="14" t="s">
        <v>678</v>
      </c>
      <c r="G10" s="14"/>
      <c r="H10" s="14" t="s">
        <v>679</v>
      </c>
      <c r="I10" s="14"/>
      <c r="J10" s="14" t="s">
        <v>1076</v>
      </c>
      <c r="K10" s="14" t="s">
        <v>59</v>
      </c>
      <c r="L10" s="14" t="s">
        <v>95</v>
      </c>
      <c r="M10" s="14"/>
      <c r="N10" s="14" t="s">
        <v>59</v>
      </c>
      <c r="O10" s="14" t="s">
        <v>95</v>
      </c>
      <c r="P10" s="14" t="s">
        <v>54</v>
      </c>
      <c r="Q10" s="14" t="s">
        <v>54</v>
      </c>
    </row>
    <row r="11" spans="1:19">
      <c r="A11" s="5">
        <v>1</v>
      </c>
      <c r="B11" s="14" t="s">
        <v>680</v>
      </c>
      <c r="C11" s="14"/>
      <c r="D11" s="357">
        <f>D42</f>
        <v>9796448.2129999977</v>
      </c>
      <c r="E11" s="14" t="s">
        <v>2173</v>
      </c>
      <c r="F11" s="357">
        <v>0</v>
      </c>
      <c r="G11" s="232">
        <v>0.04</v>
      </c>
      <c r="H11" s="357">
        <f>+F11*G11</f>
        <v>0</v>
      </c>
      <c r="I11" s="357">
        <f>+D11+H11</f>
        <v>9796448.2129999977</v>
      </c>
      <c r="J11" s="816">
        <f>IF($M$5="No", 3.55%, 4%)</f>
        <v>3.5499999999999997E-2</v>
      </c>
      <c r="K11" s="357">
        <f>+I11*J11</f>
        <v>347773.91156149987</v>
      </c>
      <c r="L11" s="357">
        <f>+I11+K11</f>
        <v>10144222.124561498</v>
      </c>
      <c r="M11" s="816">
        <f>IF($M$5="No", 0%, 4%)</f>
        <v>0</v>
      </c>
      <c r="N11" s="358">
        <f>+L11*M11</f>
        <v>0</v>
      </c>
      <c r="O11" s="358">
        <f>+L11+N11</f>
        <v>10144222.124561498</v>
      </c>
      <c r="P11" s="358">
        <f>+H11</f>
        <v>0</v>
      </c>
      <c r="Q11" s="357">
        <f>+N11+K11</f>
        <v>347773.91156149987</v>
      </c>
      <c r="S11" s="3">
        <f>Q11/Q15</f>
        <v>0.53107272960216234</v>
      </c>
    </row>
    <row r="12" spans="1:19">
      <c r="A12" s="5">
        <v>2</v>
      </c>
      <c r="B12" s="14"/>
      <c r="C12" s="14"/>
      <c r="D12" s="357"/>
      <c r="E12" s="14"/>
      <c r="F12" s="357"/>
      <c r="G12" s="232"/>
      <c r="H12" s="357"/>
      <c r="I12" s="357"/>
      <c r="J12" s="232"/>
      <c r="K12" s="357"/>
      <c r="L12" s="357"/>
      <c r="M12" s="232"/>
      <c r="N12" s="358"/>
      <c r="O12" s="14"/>
      <c r="P12" s="14"/>
      <c r="Q12" s="14"/>
    </row>
    <row r="13" spans="1:19" ht="16.2" thickBot="1">
      <c r="A13" s="5">
        <v>3</v>
      </c>
      <c r="B13" s="14" t="s">
        <v>681</v>
      </c>
      <c r="C13" s="14"/>
      <c r="D13" s="359">
        <f>D66</f>
        <v>10155364.93</v>
      </c>
      <c r="E13" s="721" t="s">
        <v>2174</v>
      </c>
      <c r="F13" s="359">
        <f>+F66</f>
        <v>2685444.8200000008</v>
      </c>
      <c r="G13" s="360">
        <v>0.03</v>
      </c>
      <c r="H13" s="359">
        <f>+F13*G13</f>
        <v>80563.344600000026</v>
      </c>
      <c r="I13" s="359">
        <f>+D13+H13</f>
        <v>10235928.274599999</v>
      </c>
      <c r="J13" s="360">
        <v>0.03</v>
      </c>
      <c r="K13" s="359">
        <f>+I13*J13</f>
        <v>307077.84823799995</v>
      </c>
      <c r="L13" s="359">
        <f>+I13+K13</f>
        <v>10543006.122838</v>
      </c>
      <c r="M13" s="817">
        <f>IF($M$5="No", 0%, 3%)</f>
        <v>0</v>
      </c>
      <c r="N13" s="361">
        <f>+L13*M13</f>
        <v>0</v>
      </c>
      <c r="O13" s="361">
        <f>+L13+N13</f>
        <v>10543006.122838</v>
      </c>
      <c r="P13" s="361">
        <f>+H13</f>
        <v>80563.344600000026</v>
      </c>
      <c r="Q13" s="359">
        <f>+N13+K13</f>
        <v>307077.84823799995</v>
      </c>
      <c r="S13" s="3">
        <f>Q13/Q15</f>
        <v>0.46892727039783777</v>
      </c>
    </row>
    <row r="14" spans="1:19">
      <c r="A14" s="5">
        <v>4</v>
      </c>
      <c r="B14" s="14"/>
      <c r="C14" s="14"/>
      <c r="D14" s="357"/>
      <c r="E14" s="14"/>
      <c r="F14" s="357"/>
      <c r="G14" s="232"/>
      <c r="H14" s="357"/>
      <c r="I14" s="357"/>
      <c r="J14" s="232"/>
      <c r="K14" s="357"/>
      <c r="L14" s="357"/>
      <c r="M14" s="232"/>
      <c r="N14" s="358"/>
      <c r="O14" s="14"/>
      <c r="P14" s="14"/>
      <c r="Q14" s="14"/>
    </row>
    <row r="15" spans="1:19" ht="16.2" thickBot="1">
      <c r="A15" s="5">
        <v>5</v>
      </c>
      <c r="B15" s="14"/>
      <c r="C15" s="14"/>
      <c r="D15" s="357">
        <f>+D13+D11</f>
        <v>19951813.142999999</v>
      </c>
      <c r="E15" s="14"/>
      <c r="F15" s="357">
        <f>+F13+F11</f>
        <v>2685444.8200000008</v>
      </c>
      <c r="G15" s="232"/>
      <c r="H15" s="362">
        <f>+H11+H13</f>
        <v>80563.344600000026</v>
      </c>
      <c r="I15" s="357">
        <f>+I11+I13</f>
        <v>20032376.487599999</v>
      </c>
      <c r="J15" s="232"/>
      <c r="K15" s="362">
        <f>+K11+K13</f>
        <v>654851.75979949976</v>
      </c>
      <c r="L15" s="357">
        <f>+L11+L13</f>
        <v>20687228.247399498</v>
      </c>
      <c r="M15" s="14"/>
      <c r="N15" s="362">
        <f>+N11+N13</f>
        <v>0</v>
      </c>
      <c r="O15" s="14"/>
      <c r="P15" s="363">
        <f>+P11+P13</f>
        <v>80563.344600000026</v>
      </c>
      <c r="Q15" s="363">
        <f>+Q11+Q13</f>
        <v>654851.75979949976</v>
      </c>
    </row>
    <row r="16" spans="1:19" ht="16.2" thickTop="1">
      <c r="A16" s="5">
        <v>6</v>
      </c>
      <c r="B16" s="14"/>
      <c r="C16" s="14"/>
      <c r="D16" s="357"/>
      <c r="E16" s="14"/>
      <c r="F16" s="357"/>
      <c r="G16" s="232"/>
      <c r="H16" s="362"/>
      <c r="I16" s="357"/>
      <c r="J16" s="232"/>
      <c r="K16" s="362"/>
      <c r="L16" s="357"/>
      <c r="M16" s="14"/>
      <c r="N16" s="362"/>
      <c r="O16" s="14"/>
      <c r="P16" s="14"/>
      <c r="Q16" s="364"/>
    </row>
    <row r="17" spans="1:17">
      <c r="A17" s="5">
        <v>7</v>
      </c>
      <c r="B17" s="14" t="s">
        <v>703</v>
      </c>
      <c r="C17" s="14"/>
      <c r="D17" s="357"/>
      <c r="E17" s="14"/>
      <c r="F17" s="357"/>
      <c r="G17" s="232"/>
      <c r="H17" s="362"/>
      <c r="I17" s="357"/>
      <c r="J17" s="232"/>
      <c r="K17" s="362"/>
      <c r="L17" s="357"/>
      <c r="M17" s="14"/>
      <c r="N17" s="362"/>
      <c r="O17" s="232">
        <v>7.6499999999999999E-2</v>
      </c>
      <c r="P17" s="364">
        <f>+P15*O17</f>
        <v>6163.0958619000021</v>
      </c>
      <c r="Q17" s="364">
        <f>+Q15*O17</f>
        <v>50096.159624661734</v>
      </c>
    </row>
    <row r="18" spans="1:17">
      <c r="A18" s="5">
        <v>8</v>
      </c>
      <c r="B18" s="14"/>
      <c r="C18" s="14"/>
      <c r="D18" s="357"/>
      <c r="E18" s="14"/>
      <c r="F18" s="14"/>
      <c r="G18" s="232"/>
      <c r="H18" s="14"/>
      <c r="I18" s="14"/>
      <c r="J18" s="14"/>
      <c r="K18" s="357"/>
      <c r="L18" s="357"/>
      <c r="M18" s="14"/>
      <c r="N18" s="358"/>
      <c r="O18" s="14"/>
      <c r="P18" s="14"/>
      <c r="Q18" s="14"/>
    </row>
    <row r="19" spans="1:17">
      <c r="A19" s="5">
        <v>9</v>
      </c>
      <c r="B19" s="14" t="s">
        <v>680</v>
      </c>
      <c r="C19" s="14"/>
      <c r="D19" s="14"/>
      <c r="E19" s="14"/>
      <c r="F19" s="14"/>
      <c r="G19" s="14"/>
      <c r="H19" s="14"/>
      <c r="I19" s="14"/>
      <c r="J19" s="14"/>
      <c r="K19" s="14"/>
      <c r="L19" s="14"/>
      <c r="M19" s="14"/>
      <c r="N19" s="14"/>
      <c r="O19" s="14"/>
      <c r="P19" s="14"/>
      <c r="Q19" s="14"/>
    </row>
    <row r="20" spans="1:17" s="14" customFormat="1">
      <c r="A20" s="15">
        <v>10</v>
      </c>
      <c r="B20" s="14" t="s">
        <v>1288</v>
      </c>
      <c r="C20" s="722" t="s">
        <v>682</v>
      </c>
      <c r="D20" s="365">
        <v>162147.76999999999</v>
      </c>
      <c r="G20" s="232"/>
      <c r="H20" s="357">
        <f>+F20*G20</f>
        <v>0</v>
      </c>
      <c r="I20" s="357">
        <f t="shared" ref="I20:I41" si="0">+D20+H20</f>
        <v>162147.76999999999</v>
      </c>
      <c r="J20" s="232">
        <f>J11</f>
        <v>3.5499999999999997E-2</v>
      </c>
      <c r="K20" s="357">
        <f t="shared" ref="K20:K25" si="1">+I20*J20</f>
        <v>5756.2458349999988</v>
      </c>
      <c r="L20" s="357">
        <f>+I20+K20</f>
        <v>167904.015835</v>
      </c>
      <c r="M20" s="232">
        <f>M11</f>
        <v>0</v>
      </c>
      <c r="N20" s="358">
        <f t="shared" ref="N20:N41" si="2">+L20*M20</f>
        <v>0</v>
      </c>
      <c r="O20" s="357">
        <f>+N20+L20</f>
        <v>167904.015835</v>
      </c>
      <c r="P20" s="357">
        <f>+H20</f>
        <v>0</v>
      </c>
      <c r="Q20" s="357">
        <f>+N20+K20</f>
        <v>5756.2458349999988</v>
      </c>
    </row>
    <row r="21" spans="1:17" s="14" customFormat="1">
      <c r="A21" s="5">
        <v>11</v>
      </c>
      <c r="B21" s="14" t="s">
        <v>2181</v>
      </c>
      <c r="C21" s="722">
        <v>28410</v>
      </c>
      <c r="D21" s="365">
        <v>631.48</v>
      </c>
      <c r="G21" s="232"/>
      <c r="H21" s="357">
        <f t="shared" ref="H21:H41" si="3">+F21*G21</f>
        <v>0</v>
      </c>
      <c r="I21" s="357">
        <f t="shared" si="0"/>
        <v>631.48</v>
      </c>
      <c r="J21" s="232">
        <f>J20</f>
        <v>3.5499999999999997E-2</v>
      </c>
      <c r="K21" s="357">
        <f t="shared" si="1"/>
        <v>22.417539999999999</v>
      </c>
      <c r="L21" s="357">
        <f t="shared" ref="L21:L41" si="4">+I21+K21</f>
        <v>653.89754000000005</v>
      </c>
      <c r="M21" s="232">
        <f>M20</f>
        <v>0</v>
      </c>
      <c r="N21" s="358">
        <f t="shared" si="2"/>
        <v>0</v>
      </c>
      <c r="O21" s="357">
        <f t="shared" ref="O21:O41" si="5">+N21+L21</f>
        <v>653.89754000000005</v>
      </c>
      <c r="P21" s="357">
        <f t="shared" ref="P21:P41" si="6">+H21</f>
        <v>0</v>
      </c>
      <c r="Q21" s="357">
        <f t="shared" ref="Q21:Q41" si="7">+N21+K21</f>
        <v>22.417539999999999</v>
      </c>
    </row>
    <row r="22" spans="1:17" s="14" customFormat="1">
      <c r="A22" s="5">
        <v>12</v>
      </c>
      <c r="B22" s="14" t="s">
        <v>1287</v>
      </c>
      <c r="C22" s="722" t="s">
        <v>683</v>
      </c>
      <c r="D22" s="365">
        <v>1680934.36</v>
      </c>
      <c r="G22" s="232"/>
      <c r="H22" s="357">
        <f t="shared" si="3"/>
        <v>0</v>
      </c>
      <c r="I22" s="357">
        <f t="shared" si="0"/>
        <v>1680934.36</v>
      </c>
      <c r="J22" s="232">
        <f t="shared" ref="J22:J41" si="8">J21</f>
        <v>3.5499999999999997E-2</v>
      </c>
      <c r="K22" s="357">
        <f t="shared" si="1"/>
        <v>59673.169779999997</v>
      </c>
      <c r="L22" s="357">
        <f t="shared" si="4"/>
        <v>1740607.52978</v>
      </c>
      <c r="M22" s="232">
        <f t="shared" ref="M22:M41" si="9">M21</f>
        <v>0</v>
      </c>
      <c r="N22" s="358">
        <f t="shared" si="2"/>
        <v>0</v>
      </c>
      <c r="O22" s="357">
        <f t="shared" si="5"/>
        <v>1740607.52978</v>
      </c>
      <c r="P22" s="357">
        <f t="shared" si="6"/>
        <v>0</v>
      </c>
      <c r="Q22" s="357">
        <f t="shared" si="7"/>
        <v>59673.169779999997</v>
      </c>
    </row>
    <row r="23" spans="1:17" s="14" customFormat="1">
      <c r="A23" s="15">
        <v>13</v>
      </c>
      <c r="B23" s="14" t="s">
        <v>182</v>
      </c>
      <c r="C23" s="722" t="s">
        <v>684</v>
      </c>
      <c r="D23" s="365">
        <v>206774.76</v>
      </c>
      <c r="G23" s="232"/>
      <c r="H23" s="357">
        <f t="shared" si="3"/>
        <v>0</v>
      </c>
      <c r="I23" s="357">
        <f t="shared" si="0"/>
        <v>206774.76</v>
      </c>
      <c r="J23" s="232">
        <f t="shared" si="8"/>
        <v>3.5499999999999997E-2</v>
      </c>
      <c r="K23" s="357">
        <f t="shared" si="1"/>
        <v>7340.5039799999995</v>
      </c>
      <c r="L23" s="357">
        <f t="shared" si="4"/>
        <v>214115.26398000002</v>
      </c>
      <c r="M23" s="232">
        <f t="shared" si="9"/>
        <v>0</v>
      </c>
      <c r="N23" s="358">
        <f t="shared" si="2"/>
        <v>0</v>
      </c>
      <c r="O23" s="357">
        <f t="shared" si="5"/>
        <v>214115.26398000002</v>
      </c>
      <c r="P23" s="357">
        <f t="shared" si="6"/>
        <v>0</v>
      </c>
      <c r="Q23" s="357">
        <f t="shared" si="7"/>
        <v>7340.5039799999995</v>
      </c>
    </row>
    <row r="24" spans="1:17" s="14" customFormat="1">
      <c r="A24" s="5">
        <v>14</v>
      </c>
      <c r="B24" s="14" t="s">
        <v>1280</v>
      </c>
      <c r="C24" s="722" t="s">
        <v>685</v>
      </c>
      <c r="D24" s="365">
        <v>353792.99</v>
      </c>
      <c r="G24" s="232"/>
      <c r="H24" s="357">
        <f t="shared" si="3"/>
        <v>0</v>
      </c>
      <c r="I24" s="357">
        <f t="shared" si="0"/>
        <v>353792.99</v>
      </c>
      <c r="J24" s="232">
        <f t="shared" si="8"/>
        <v>3.5499999999999997E-2</v>
      </c>
      <c r="K24" s="357">
        <f t="shared" si="1"/>
        <v>12559.651144999998</v>
      </c>
      <c r="L24" s="357">
        <f t="shared" si="4"/>
        <v>366352.641145</v>
      </c>
      <c r="M24" s="232">
        <f t="shared" si="9"/>
        <v>0</v>
      </c>
      <c r="N24" s="358">
        <f t="shared" si="2"/>
        <v>0</v>
      </c>
      <c r="O24" s="357">
        <f t="shared" si="5"/>
        <v>366352.641145</v>
      </c>
      <c r="P24" s="357">
        <f t="shared" si="6"/>
        <v>0</v>
      </c>
      <c r="Q24" s="357">
        <f t="shared" si="7"/>
        <v>12559.651144999998</v>
      </c>
    </row>
    <row r="25" spans="1:17" s="14" customFormat="1">
      <c r="A25" s="5">
        <v>15</v>
      </c>
      <c r="B25" s="14" t="s">
        <v>1293</v>
      </c>
      <c r="C25" s="722">
        <v>28750</v>
      </c>
      <c r="D25" s="365">
        <v>367.8</v>
      </c>
      <c r="G25" s="232"/>
      <c r="H25" s="357">
        <f t="shared" si="3"/>
        <v>0</v>
      </c>
      <c r="I25" s="357">
        <f t="shared" si="0"/>
        <v>367.8</v>
      </c>
      <c r="J25" s="232">
        <f t="shared" si="8"/>
        <v>3.5499999999999997E-2</v>
      </c>
      <c r="K25" s="357">
        <f t="shared" si="1"/>
        <v>13.056899999999999</v>
      </c>
      <c r="L25" s="357">
        <f t="shared" si="4"/>
        <v>380.8569</v>
      </c>
      <c r="M25" s="232">
        <f t="shared" si="9"/>
        <v>0</v>
      </c>
      <c r="N25" s="358">
        <f t="shared" si="2"/>
        <v>0</v>
      </c>
      <c r="O25" s="357">
        <f t="shared" si="5"/>
        <v>380.8569</v>
      </c>
      <c r="P25" s="357">
        <f t="shared" si="6"/>
        <v>0</v>
      </c>
      <c r="Q25" s="357">
        <f t="shared" si="7"/>
        <v>13.056899999999999</v>
      </c>
    </row>
    <row r="26" spans="1:17" s="14" customFormat="1">
      <c r="A26" s="15">
        <v>16</v>
      </c>
      <c r="B26" s="14" t="s">
        <v>1281</v>
      </c>
      <c r="C26" s="722" t="s">
        <v>688</v>
      </c>
      <c r="D26" s="365">
        <v>415608.43</v>
      </c>
      <c r="G26" s="232"/>
      <c r="H26" s="357">
        <f t="shared" si="3"/>
        <v>0</v>
      </c>
      <c r="I26" s="357">
        <f t="shared" si="0"/>
        <v>415608.43</v>
      </c>
      <c r="J26" s="232">
        <f t="shared" si="8"/>
        <v>3.5499999999999997E-2</v>
      </c>
      <c r="K26" s="357">
        <f t="shared" ref="K26:K41" si="10">+I26*J26</f>
        <v>14754.099264999999</v>
      </c>
      <c r="L26" s="357">
        <f t="shared" si="4"/>
        <v>430362.52926500002</v>
      </c>
      <c r="M26" s="232">
        <f t="shared" si="9"/>
        <v>0</v>
      </c>
      <c r="N26" s="358">
        <f t="shared" si="2"/>
        <v>0</v>
      </c>
      <c r="O26" s="357">
        <f t="shared" si="5"/>
        <v>430362.52926500002</v>
      </c>
      <c r="P26" s="357">
        <f t="shared" si="6"/>
        <v>0</v>
      </c>
      <c r="Q26" s="357">
        <f t="shared" si="7"/>
        <v>14754.099264999999</v>
      </c>
    </row>
    <row r="27" spans="1:17" s="14" customFormat="1">
      <c r="A27" s="5">
        <v>17</v>
      </c>
      <c r="B27" s="14" t="s">
        <v>1289</v>
      </c>
      <c r="C27" s="722">
        <v>28850</v>
      </c>
      <c r="D27" s="365">
        <v>899501.76</v>
      </c>
      <c r="G27" s="232"/>
      <c r="H27" s="357">
        <f t="shared" si="3"/>
        <v>0</v>
      </c>
      <c r="I27" s="357">
        <f t="shared" si="0"/>
        <v>899501.76</v>
      </c>
      <c r="J27" s="232">
        <f t="shared" si="8"/>
        <v>3.5499999999999997E-2</v>
      </c>
      <c r="K27" s="357">
        <f t="shared" si="10"/>
        <v>31932.312479999997</v>
      </c>
      <c r="L27" s="357">
        <f t="shared" si="4"/>
        <v>931434.07247999997</v>
      </c>
      <c r="M27" s="232">
        <f t="shared" si="9"/>
        <v>0</v>
      </c>
      <c r="N27" s="358">
        <f t="shared" si="2"/>
        <v>0</v>
      </c>
      <c r="O27" s="357">
        <f t="shared" si="5"/>
        <v>931434.07247999997</v>
      </c>
      <c r="P27" s="357">
        <f t="shared" si="6"/>
        <v>0</v>
      </c>
      <c r="Q27" s="357">
        <f t="shared" si="7"/>
        <v>31932.312479999997</v>
      </c>
    </row>
    <row r="28" spans="1:17" s="14" customFormat="1">
      <c r="A28" s="5">
        <v>18</v>
      </c>
      <c r="B28" s="14" t="s">
        <v>1282</v>
      </c>
      <c r="C28" s="722" t="s">
        <v>689</v>
      </c>
      <c r="D28" s="365">
        <v>4395.5</v>
      </c>
      <c r="G28" s="232"/>
      <c r="H28" s="357">
        <f t="shared" si="3"/>
        <v>0</v>
      </c>
      <c r="I28" s="357">
        <f t="shared" si="0"/>
        <v>4395.5</v>
      </c>
      <c r="J28" s="232">
        <f t="shared" si="8"/>
        <v>3.5499999999999997E-2</v>
      </c>
      <c r="K28" s="357">
        <f t="shared" si="10"/>
        <v>156.04024999999999</v>
      </c>
      <c r="L28" s="357">
        <f t="shared" si="4"/>
        <v>4551.54025</v>
      </c>
      <c r="M28" s="232">
        <f t="shared" si="9"/>
        <v>0</v>
      </c>
      <c r="N28" s="358">
        <f t="shared" si="2"/>
        <v>0</v>
      </c>
      <c r="O28" s="357">
        <f t="shared" si="5"/>
        <v>4551.54025</v>
      </c>
      <c r="P28" s="357">
        <f t="shared" si="6"/>
        <v>0</v>
      </c>
      <c r="Q28" s="357">
        <f t="shared" si="7"/>
        <v>156.04024999999999</v>
      </c>
    </row>
    <row r="29" spans="1:17" s="14" customFormat="1">
      <c r="A29" s="15">
        <v>19</v>
      </c>
      <c r="B29" s="14" t="s">
        <v>2180</v>
      </c>
      <c r="C29" s="722" t="s">
        <v>2175</v>
      </c>
      <c r="D29" s="365">
        <v>3604.92</v>
      </c>
      <c r="G29" s="232"/>
      <c r="H29" s="357">
        <f t="shared" si="3"/>
        <v>0</v>
      </c>
      <c r="I29" s="357">
        <f t="shared" si="0"/>
        <v>3604.92</v>
      </c>
      <c r="J29" s="232">
        <f t="shared" si="8"/>
        <v>3.5499999999999997E-2</v>
      </c>
      <c r="K29" s="357">
        <f t="shared" si="10"/>
        <v>127.97465999999999</v>
      </c>
      <c r="L29" s="357">
        <f t="shared" si="4"/>
        <v>3732.8946599999999</v>
      </c>
      <c r="M29" s="232">
        <f t="shared" si="9"/>
        <v>0</v>
      </c>
      <c r="N29" s="358">
        <f t="shared" si="2"/>
        <v>0</v>
      </c>
      <c r="O29" s="357">
        <f t="shared" si="5"/>
        <v>3732.8946599999999</v>
      </c>
      <c r="P29" s="357">
        <f t="shared" si="6"/>
        <v>0</v>
      </c>
      <c r="Q29" s="357">
        <f t="shared" si="7"/>
        <v>127.97465999999999</v>
      </c>
    </row>
    <row r="30" spans="1:17" s="14" customFormat="1">
      <c r="A30" s="5">
        <v>20</v>
      </c>
      <c r="B30" s="14" t="s">
        <v>1283</v>
      </c>
      <c r="C30" s="722">
        <v>28890</v>
      </c>
      <c r="D30" s="365">
        <v>1386.53</v>
      </c>
      <c r="G30" s="232"/>
      <c r="H30" s="357">
        <f t="shared" si="3"/>
        <v>0</v>
      </c>
      <c r="I30" s="357">
        <f t="shared" si="0"/>
        <v>1386.53</v>
      </c>
      <c r="J30" s="232">
        <f t="shared" si="8"/>
        <v>3.5499999999999997E-2</v>
      </c>
      <c r="K30" s="357">
        <f t="shared" si="10"/>
        <v>49.221814999999992</v>
      </c>
      <c r="L30" s="357">
        <f t="shared" si="4"/>
        <v>1435.7518150000001</v>
      </c>
      <c r="M30" s="232">
        <f t="shared" si="9"/>
        <v>0</v>
      </c>
      <c r="N30" s="358">
        <f t="shared" si="2"/>
        <v>0</v>
      </c>
      <c r="O30" s="357">
        <f t="shared" si="5"/>
        <v>1435.7518150000001</v>
      </c>
      <c r="P30" s="357">
        <f t="shared" si="6"/>
        <v>0</v>
      </c>
      <c r="Q30" s="357">
        <f t="shared" si="7"/>
        <v>49.221814999999992</v>
      </c>
    </row>
    <row r="31" spans="1:17" s="14" customFormat="1">
      <c r="A31" s="5">
        <v>21</v>
      </c>
      <c r="B31" s="14" t="s">
        <v>1297</v>
      </c>
      <c r="C31" s="722" t="s">
        <v>692</v>
      </c>
      <c r="D31" s="365">
        <v>51071.97</v>
      </c>
      <c r="G31" s="232"/>
      <c r="H31" s="357">
        <f t="shared" si="3"/>
        <v>0</v>
      </c>
      <c r="I31" s="357">
        <f t="shared" si="0"/>
        <v>51071.97</v>
      </c>
      <c r="J31" s="232">
        <f t="shared" si="8"/>
        <v>3.5499999999999997E-2</v>
      </c>
      <c r="K31" s="357">
        <f t="shared" si="10"/>
        <v>1813.0549349999999</v>
      </c>
      <c r="L31" s="357">
        <f t="shared" si="4"/>
        <v>52885.024935000001</v>
      </c>
      <c r="M31" s="232">
        <f t="shared" si="9"/>
        <v>0</v>
      </c>
      <c r="N31" s="358">
        <f t="shared" si="2"/>
        <v>0</v>
      </c>
      <c r="O31" s="357">
        <f t="shared" si="5"/>
        <v>52885.024935000001</v>
      </c>
      <c r="P31" s="357">
        <f t="shared" si="6"/>
        <v>0</v>
      </c>
      <c r="Q31" s="357">
        <f t="shared" si="7"/>
        <v>1813.0549349999999</v>
      </c>
    </row>
    <row r="32" spans="1:17" s="14" customFormat="1">
      <c r="A32" s="15">
        <v>22</v>
      </c>
      <c r="B32" s="14" t="s">
        <v>1292</v>
      </c>
      <c r="C32" s="722">
        <v>28940</v>
      </c>
      <c r="D32" s="365">
        <v>18930.04</v>
      </c>
      <c r="G32" s="232"/>
      <c r="H32" s="357">
        <f t="shared" si="3"/>
        <v>0</v>
      </c>
      <c r="I32" s="357">
        <f t="shared" si="0"/>
        <v>18930.04</v>
      </c>
      <c r="J32" s="232">
        <f t="shared" si="8"/>
        <v>3.5499999999999997E-2</v>
      </c>
      <c r="K32" s="357">
        <f t="shared" si="10"/>
        <v>672.01641999999993</v>
      </c>
      <c r="L32" s="357">
        <f t="shared" si="4"/>
        <v>19602.056420000001</v>
      </c>
      <c r="M32" s="232">
        <f t="shared" si="9"/>
        <v>0</v>
      </c>
      <c r="N32" s="358">
        <f t="shared" si="2"/>
        <v>0</v>
      </c>
      <c r="O32" s="357">
        <f t="shared" si="5"/>
        <v>19602.056420000001</v>
      </c>
      <c r="P32" s="357">
        <f t="shared" si="6"/>
        <v>0</v>
      </c>
      <c r="Q32" s="357">
        <f t="shared" si="7"/>
        <v>672.01641999999993</v>
      </c>
    </row>
    <row r="33" spans="1:17" s="14" customFormat="1">
      <c r="A33" s="5">
        <v>23</v>
      </c>
      <c r="B33" s="14" t="s">
        <v>1290</v>
      </c>
      <c r="C33" s="722">
        <v>29010</v>
      </c>
      <c r="D33" s="365">
        <v>93952.320000000007</v>
      </c>
      <c r="G33" s="232"/>
      <c r="H33" s="357">
        <f t="shared" si="3"/>
        <v>0</v>
      </c>
      <c r="I33" s="357">
        <f t="shared" si="0"/>
        <v>93952.320000000007</v>
      </c>
      <c r="J33" s="232">
        <f t="shared" si="8"/>
        <v>3.5499999999999997E-2</v>
      </c>
      <c r="K33" s="357">
        <f t="shared" si="10"/>
        <v>3335.3073599999998</v>
      </c>
      <c r="L33" s="357">
        <f t="shared" si="4"/>
        <v>97287.627360000013</v>
      </c>
      <c r="M33" s="232">
        <f t="shared" si="9"/>
        <v>0</v>
      </c>
      <c r="N33" s="358">
        <f t="shared" si="2"/>
        <v>0</v>
      </c>
      <c r="O33" s="357">
        <f t="shared" si="5"/>
        <v>97287.627360000013</v>
      </c>
      <c r="P33" s="357">
        <f t="shared" si="6"/>
        <v>0</v>
      </c>
      <c r="Q33" s="357">
        <f t="shared" si="7"/>
        <v>3335.3073599999998</v>
      </c>
    </row>
    <row r="34" spans="1:17" s="14" customFormat="1">
      <c r="A34" s="5">
        <v>24</v>
      </c>
      <c r="B34" s="14" t="s">
        <v>1284</v>
      </c>
      <c r="C34" s="722">
        <v>29020</v>
      </c>
      <c r="D34" s="365">
        <v>91331.83</v>
      </c>
      <c r="G34" s="232"/>
      <c r="H34" s="357">
        <f t="shared" si="3"/>
        <v>0</v>
      </c>
      <c r="I34" s="357">
        <f t="shared" si="0"/>
        <v>91331.83</v>
      </c>
      <c r="J34" s="232">
        <f t="shared" si="8"/>
        <v>3.5499999999999997E-2</v>
      </c>
      <c r="K34" s="357">
        <f t="shared" si="10"/>
        <v>3242.2799649999997</v>
      </c>
      <c r="L34" s="357">
        <f t="shared" si="4"/>
        <v>94574.109964999996</v>
      </c>
      <c r="M34" s="232">
        <f t="shared" si="9"/>
        <v>0</v>
      </c>
      <c r="N34" s="358">
        <f t="shared" si="2"/>
        <v>0</v>
      </c>
      <c r="O34" s="357">
        <f t="shared" si="5"/>
        <v>94574.109964999996</v>
      </c>
      <c r="P34" s="357">
        <f t="shared" si="6"/>
        <v>0</v>
      </c>
      <c r="Q34" s="357">
        <f t="shared" si="7"/>
        <v>3242.2799649999997</v>
      </c>
    </row>
    <row r="35" spans="1:17" s="14" customFormat="1">
      <c r="A35" s="15">
        <v>25</v>
      </c>
      <c r="B35" s="14" t="s">
        <v>1285</v>
      </c>
      <c r="C35" s="722" t="s">
        <v>695</v>
      </c>
      <c r="D35" s="723">
        <v>2313680.7000000002</v>
      </c>
      <c r="G35" s="232"/>
      <c r="H35" s="357">
        <f t="shared" si="3"/>
        <v>0</v>
      </c>
      <c r="I35" s="357">
        <f t="shared" si="0"/>
        <v>2313680.7000000002</v>
      </c>
      <c r="J35" s="232">
        <f t="shared" si="8"/>
        <v>3.5499999999999997E-2</v>
      </c>
      <c r="K35" s="357">
        <f t="shared" si="10"/>
        <v>82135.664850000001</v>
      </c>
      <c r="L35" s="357">
        <f t="shared" si="4"/>
        <v>2395816.36485</v>
      </c>
      <c r="M35" s="232">
        <f t="shared" si="9"/>
        <v>0</v>
      </c>
      <c r="N35" s="358">
        <f t="shared" si="2"/>
        <v>0</v>
      </c>
      <c r="O35" s="357">
        <f t="shared" si="5"/>
        <v>2395816.36485</v>
      </c>
      <c r="P35" s="357">
        <f t="shared" si="6"/>
        <v>0</v>
      </c>
      <c r="Q35" s="357">
        <f t="shared" si="7"/>
        <v>82135.664850000001</v>
      </c>
    </row>
    <row r="36" spans="1:17" s="14" customFormat="1">
      <c r="A36" s="5">
        <v>26</v>
      </c>
      <c r="B36" s="14" t="s">
        <v>1300</v>
      </c>
      <c r="C36" s="722">
        <v>29080</v>
      </c>
      <c r="D36" s="723">
        <v>461845.34</v>
      </c>
      <c r="G36" s="232"/>
      <c r="H36" s="357">
        <f t="shared" si="3"/>
        <v>0</v>
      </c>
      <c r="I36" s="357">
        <f t="shared" si="0"/>
        <v>461845.34</v>
      </c>
      <c r="J36" s="232">
        <f t="shared" si="8"/>
        <v>3.5499999999999997E-2</v>
      </c>
      <c r="K36" s="357">
        <f t="shared" si="10"/>
        <v>16395.509569999998</v>
      </c>
      <c r="L36" s="357">
        <f t="shared" si="4"/>
        <v>478240.84957000002</v>
      </c>
      <c r="M36" s="232">
        <f t="shared" si="9"/>
        <v>0</v>
      </c>
      <c r="N36" s="358">
        <f t="shared" si="2"/>
        <v>0</v>
      </c>
      <c r="O36" s="357">
        <f t="shared" si="5"/>
        <v>478240.84957000002</v>
      </c>
      <c r="P36" s="357">
        <f t="shared" si="6"/>
        <v>0</v>
      </c>
      <c r="Q36" s="357">
        <f t="shared" si="7"/>
        <v>16395.509569999998</v>
      </c>
    </row>
    <row r="37" spans="1:17" s="14" customFormat="1">
      <c r="A37" s="5">
        <v>27</v>
      </c>
      <c r="B37" s="14" t="s">
        <v>1298</v>
      </c>
      <c r="C37" s="722">
        <v>29100</v>
      </c>
      <c r="D37" s="723">
        <v>237878.66</v>
      </c>
      <c r="G37" s="232"/>
      <c r="H37" s="357">
        <f t="shared" si="3"/>
        <v>0</v>
      </c>
      <c r="I37" s="357">
        <f t="shared" si="0"/>
        <v>237878.66</v>
      </c>
      <c r="J37" s="232">
        <f t="shared" si="8"/>
        <v>3.5499999999999997E-2</v>
      </c>
      <c r="K37" s="357">
        <f t="shared" si="10"/>
        <v>8444.6924299999991</v>
      </c>
      <c r="L37" s="357">
        <f t="shared" si="4"/>
        <v>246323.35243</v>
      </c>
      <c r="M37" s="232">
        <f t="shared" si="9"/>
        <v>0</v>
      </c>
      <c r="N37" s="358">
        <f t="shared" si="2"/>
        <v>0</v>
      </c>
      <c r="O37" s="357">
        <f t="shared" si="5"/>
        <v>246323.35243</v>
      </c>
      <c r="P37" s="357">
        <f t="shared" si="6"/>
        <v>0</v>
      </c>
      <c r="Q37" s="357">
        <f t="shared" si="7"/>
        <v>8444.6924299999991</v>
      </c>
    </row>
    <row r="38" spans="1:17" s="14" customFormat="1">
      <c r="A38" s="15">
        <v>28</v>
      </c>
      <c r="B38" s="14" t="s">
        <v>2179</v>
      </c>
      <c r="C38" s="722">
        <v>29120</v>
      </c>
      <c r="D38" s="723">
        <v>2672</v>
      </c>
      <c r="G38" s="232"/>
      <c r="H38" s="357">
        <f t="shared" si="3"/>
        <v>0</v>
      </c>
      <c r="I38" s="357">
        <f t="shared" si="0"/>
        <v>2672</v>
      </c>
      <c r="J38" s="232">
        <f t="shared" si="8"/>
        <v>3.5499999999999997E-2</v>
      </c>
      <c r="K38" s="357">
        <f t="shared" si="10"/>
        <v>94.855999999999995</v>
      </c>
      <c r="L38" s="357">
        <f t="shared" si="4"/>
        <v>2766.8559999999998</v>
      </c>
      <c r="M38" s="232">
        <f t="shared" si="9"/>
        <v>0</v>
      </c>
      <c r="N38" s="358">
        <f t="shared" si="2"/>
        <v>0</v>
      </c>
      <c r="O38" s="357">
        <f t="shared" si="5"/>
        <v>2766.8559999999998</v>
      </c>
      <c r="P38" s="357">
        <f t="shared" si="6"/>
        <v>0</v>
      </c>
      <c r="Q38" s="357">
        <f t="shared" si="7"/>
        <v>94.855999999999995</v>
      </c>
    </row>
    <row r="39" spans="1:17" s="14" customFormat="1">
      <c r="A39" s="5">
        <v>29</v>
      </c>
      <c r="B39" s="14" t="s">
        <v>1286</v>
      </c>
      <c r="C39" s="722" t="s">
        <v>696</v>
      </c>
      <c r="D39" s="723">
        <v>2791420.733</v>
      </c>
      <c r="G39" s="232"/>
      <c r="H39" s="357">
        <f t="shared" si="3"/>
        <v>0</v>
      </c>
      <c r="I39" s="357">
        <f t="shared" si="0"/>
        <v>2791420.733</v>
      </c>
      <c r="J39" s="232">
        <f t="shared" si="8"/>
        <v>3.5499999999999997E-2</v>
      </c>
      <c r="K39" s="357">
        <f t="shared" si="10"/>
        <v>99095.436021499991</v>
      </c>
      <c r="L39" s="357">
        <f t="shared" si="4"/>
        <v>2890516.1690214998</v>
      </c>
      <c r="M39" s="232">
        <f t="shared" si="9"/>
        <v>0</v>
      </c>
      <c r="N39" s="358">
        <f t="shared" si="2"/>
        <v>0</v>
      </c>
      <c r="O39" s="357">
        <f t="shared" si="5"/>
        <v>2890516.1690214998</v>
      </c>
      <c r="P39" s="357">
        <f t="shared" si="6"/>
        <v>0</v>
      </c>
      <c r="Q39" s="357">
        <f t="shared" si="7"/>
        <v>99095.436021499991</v>
      </c>
    </row>
    <row r="40" spans="1:17" s="14" customFormat="1">
      <c r="A40" s="5">
        <v>30</v>
      </c>
      <c r="B40" s="14" t="s">
        <v>2178</v>
      </c>
      <c r="C40" s="722">
        <v>29210</v>
      </c>
      <c r="D40" s="723">
        <v>371.45</v>
      </c>
      <c r="G40" s="232"/>
      <c r="H40" s="357">
        <f t="shared" si="3"/>
        <v>0</v>
      </c>
      <c r="I40" s="357">
        <f t="shared" si="0"/>
        <v>371.45</v>
      </c>
      <c r="J40" s="232">
        <f t="shared" si="8"/>
        <v>3.5499999999999997E-2</v>
      </c>
      <c r="K40" s="357">
        <f t="shared" si="10"/>
        <v>13.186474999999998</v>
      </c>
      <c r="L40" s="357">
        <f t="shared" si="4"/>
        <v>384.63647499999996</v>
      </c>
      <c r="M40" s="232">
        <f t="shared" si="9"/>
        <v>0</v>
      </c>
      <c r="N40" s="358">
        <f t="shared" si="2"/>
        <v>0</v>
      </c>
      <c r="O40" s="357">
        <f t="shared" si="5"/>
        <v>384.63647499999996</v>
      </c>
      <c r="P40" s="357">
        <f t="shared" si="6"/>
        <v>0</v>
      </c>
      <c r="Q40" s="357">
        <f t="shared" si="7"/>
        <v>13.186474999999998</v>
      </c>
    </row>
    <row r="41" spans="1:17">
      <c r="A41" s="15">
        <v>31</v>
      </c>
      <c r="B41" s="14" t="s">
        <v>1301</v>
      </c>
      <c r="C41" s="722">
        <v>29260</v>
      </c>
      <c r="D41" s="400">
        <v>4146.87</v>
      </c>
      <c r="E41" s="14"/>
      <c r="F41" s="14"/>
      <c r="G41" s="232"/>
      <c r="H41" s="357">
        <f t="shared" si="3"/>
        <v>0</v>
      </c>
      <c r="I41" s="368">
        <f t="shared" si="0"/>
        <v>4146.87</v>
      </c>
      <c r="J41" s="232">
        <f t="shared" si="8"/>
        <v>3.5499999999999997E-2</v>
      </c>
      <c r="K41" s="357">
        <f t="shared" si="10"/>
        <v>147.21388499999998</v>
      </c>
      <c r="L41" s="357">
        <f t="shared" si="4"/>
        <v>4294.083885</v>
      </c>
      <c r="M41" s="232">
        <f t="shared" si="9"/>
        <v>0</v>
      </c>
      <c r="N41" s="358">
        <f t="shared" si="2"/>
        <v>0</v>
      </c>
      <c r="O41" s="357">
        <f t="shared" si="5"/>
        <v>4294.083885</v>
      </c>
      <c r="P41" s="357">
        <f t="shared" si="6"/>
        <v>0</v>
      </c>
      <c r="Q41" s="357">
        <f t="shared" si="7"/>
        <v>147.21388499999998</v>
      </c>
    </row>
    <row r="42" spans="1:17">
      <c r="A42" s="5">
        <v>32</v>
      </c>
      <c r="B42" s="14"/>
      <c r="C42" s="14"/>
      <c r="D42" s="366">
        <f>SUM(D20:D41)</f>
        <v>9796448.2129999977</v>
      </c>
      <c r="E42" s="14"/>
      <c r="F42" s="366">
        <f>SUM(F20:F41)</f>
        <v>0</v>
      </c>
      <c r="G42" s="14"/>
      <c r="H42" s="366">
        <f>SUM(H20:H41)</f>
        <v>0</v>
      </c>
      <c r="I42" s="366">
        <f>SUM(I20:I41)</f>
        <v>9796448.2129999977</v>
      </c>
      <c r="J42" s="14"/>
      <c r="K42" s="366">
        <f>SUM(K20:K41)</f>
        <v>347773.91156149993</v>
      </c>
      <c r="L42" s="366">
        <f>SUM(L20:L41)</f>
        <v>10144222.124561498</v>
      </c>
      <c r="M42" s="14"/>
      <c r="N42" s="366">
        <f>SUM(N20:N41)</f>
        <v>0</v>
      </c>
      <c r="O42" s="366">
        <f>SUM(O20:O41)</f>
        <v>10144222.124561498</v>
      </c>
      <c r="P42" s="366">
        <f>SUM(P20:P41)</f>
        <v>0</v>
      </c>
      <c r="Q42" s="366">
        <f>SUM(Q20:Q41)</f>
        <v>347773.91156149993</v>
      </c>
    </row>
    <row r="43" spans="1:17">
      <c r="A43" s="5" t="s">
        <v>775</v>
      </c>
      <c r="B43" s="14" t="s">
        <v>681</v>
      </c>
      <c r="C43" s="14"/>
      <c r="D43" s="14"/>
      <c r="E43" s="14"/>
      <c r="F43" s="14"/>
      <c r="G43" s="14"/>
      <c r="H43" s="14"/>
      <c r="I43" s="14"/>
      <c r="J43" s="14"/>
      <c r="K43" s="14"/>
      <c r="L43" s="14"/>
      <c r="M43" s="14"/>
      <c r="N43" s="14"/>
      <c r="O43" s="14"/>
      <c r="P43" s="14"/>
      <c r="Q43" s="14"/>
    </row>
    <row r="44" spans="1:17" s="14" customFormat="1">
      <c r="A44" s="15">
        <v>33</v>
      </c>
      <c r="B44" s="14" t="s">
        <v>1287</v>
      </c>
      <c r="C44" s="724">
        <v>28700</v>
      </c>
      <c r="D44" s="366">
        <v>1287.03</v>
      </c>
      <c r="F44" s="14">
        <v>0</v>
      </c>
      <c r="G44" s="232">
        <v>0.03</v>
      </c>
      <c r="H44" s="357">
        <f t="shared" ref="H44:H49" si="11">+F44*G44</f>
        <v>0</v>
      </c>
      <c r="I44" s="357">
        <f>+D44+H44</f>
        <v>1287.03</v>
      </c>
      <c r="J44" s="232">
        <v>0.03</v>
      </c>
      <c r="K44" s="357">
        <f>+I44*J44</f>
        <v>38.610900000000001</v>
      </c>
      <c r="L44" s="357">
        <f>+I44+K44</f>
        <v>1325.6408999999999</v>
      </c>
      <c r="M44" s="232">
        <f>M13</f>
        <v>0</v>
      </c>
      <c r="N44" s="358">
        <f>+L44*M44</f>
        <v>0</v>
      </c>
      <c r="O44" s="358">
        <f>+L44+N44</f>
        <v>1325.6408999999999</v>
      </c>
      <c r="P44" s="357">
        <f>+H44</f>
        <v>0</v>
      </c>
      <c r="Q44" s="357">
        <f>+N44+K44</f>
        <v>38.610900000000001</v>
      </c>
    </row>
    <row r="45" spans="1:17" s="14" customFormat="1">
      <c r="A45" s="15">
        <v>34</v>
      </c>
      <c r="B45" s="14" t="s">
        <v>182</v>
      </c>
      <c r="C45" s="724" t="s">
        <v>684</v>
      </c>
      <c r="D45" s="365">
        <v>48252.92</v>
      </c>
      <c r="F45" s="239">
        <v>19377.68</v>
      </c>
      <c r="G45" s="232">
        <v>0.03</v>
      </c>
      <c r="H45" s="357">
        <f t="shared" si="11"/>
        <v>581.33039999999994</v>
      </c>
      <c r="I45" s="357">
        <f t="shared" ref="I45:I65" si="12">+D45+H45</f>
        <v>48834.250399999997</v>
      </c>
      <c r="J45" s="232">
        <v>0.03</v>
      </c>
      <c r="K45" s="357">
        <f t="shared" ref="K45:K65" si="13">+I45*J45</f>
        <v>1465.0275119999999</v>
      </c>
      <c r="L45" s="357">
        <f t="shared" ref="L45:L64" si="14">+I45+K45</f>
        <v>50299.277911999998</v>
      </c>
      <c r="M45" s="232">
        <f>M44</f>
        <v>0</v>
      </c>
      <c r="N45" s="358">
        <f t="shared" ref="N45:N64" si="15">+L45*M45</f>
        <v>0</v>
      </c>
      <c r="O45" s="358">
        <f>+L45+N45</f>
        <v>50299.277911999998</v>
      </c>
      <c r="P45" s="357">
        <f t="shared" ref="P45:P65" si="16">+H45</f>
        <v>581.33039999999994</v>
      </c>
      <c r="Q45" s="357">
        <f>+N45+K45</f>
        <v>1465.0275119999999</v>
      </c>
    </row>
    <row r="46" spans="1:17" s="14" customFormat="1">
      <c r="A46" s="15">
        <v>35</v>
      </c>
      <c r="B46" s="14" t="s">
        <v>1303</v>
      </c>
      <c r="C46" s="724" t="s">
        <v>697</v>
      </c>
      <c r="D46" s="365">
        <v>21804.45</v>
      </c>
      <c r="F46" s="239">
        <v>4790.26</v>
      </c>
      <c r="G46" s="232">
        <v>0.03</v>
      </c>
      <c r="H46" s="357">
        <f t="shared" si="11"/>
        <v>143.70779999999999</v>
      </c>
      <c r="I46" s="357">
        <f t="shared" si="12"/>
        <v>21948.157800000001</v>
      </c>
      <c r="J46" s="232">
        <v>0.03</v>
      </c>
      <c r="K46" s="357">
        <f t="shared" si="13"/>
        <v>658.44473400000004</v>
      </c>
      <c r="L46" s="357">
        <f t="shared" si="14"/>
        <v>22606.602534000001</v>
      </c>
      <c r="M46" s="232">
        <f t="shared" ref="M46:M65" si="17">M45</f>
        <v>0</v>
      </c>
      <c r="N46" s="358">
        <f t="shared" si="15"/>
        <v>0</v>
      </c>
      <c r="O46" s="358">
        <f t="shared" ref="O46:O61" si="18">+L46+N46</f>
        <v>22606.602534000001</v>
      </c>
      <c r="P46" s="357">
        <f t="shared" si="16"/>
        <v>143.70779999999999</v>
      </c>
      <c r="Q46" s="357">
        <f t="shared" ref="Q46:Q65" si="19">+N46+K46</f>
        <v>658.44473400000004</v>
      </c>
    </row>
    <row r="47" spans="1:17" s="14" customFormat="1">
      <c r="A47" s="15">
        <v>36</v>
      </c>
      <c r="B47" s="14" t="str">
        <f>+B24</f>
        <v>Routine Main/Service Operation</v>
      </c>
      <c r="C47" s="724" t="s">
        <v>685</v>
      </c>
      <c r="D47" s="365">
        <v>2108300.17</v>
      </c>
      <c r="F47" s="239">
        <v>519275.66</v>
      </c>
      <c r="G47" s="232">
        <v>0.03</v>
      </c>
      <c r="H47" s="357">
        <f t="shared" si="11"/>
        <v>15578.269799999998</v>
      </c>
      <c r="I47" s="357">
        <f t="shared" si="12"/>
        <v>2123878.4397999998</v>
      </c>
      <c r="J47" s="232">
        <v>0.03</v>
      </c>
      <c r="K47" s="357">
        <f t="shared" si="13"/>
        <v>63716.353193999996</v>
      </c>
      <c r="L47" s="357">
        <f t="shared" si="14"/>
        <v>2187594.792994</v>
      </c>
      <c r="M47" s="232">
        <f t="shared" si="17"/>
        <v>0</v>
      </c>
      <c r="N47" s="358">
        <f t="shared" si="15"/>
        <v>0</v>
      </c>
      <c r="O47" s="358">
        <f t="shared" si="18"/>
        <v>2187594.792994</v>
      </c>
      <c r="P47" s="357">
        <f t="shared" si="16"/>
        <v>15578.269799999998</v>
      </c>
      <c r="Q47" s="357">
        <f t="shared" si="19"/>
        <v>63716.353193999996</v>
      </c>
    </row>
    <row r="48" spans="1:17" s="14" customFormat="1">
      <c r="A48" s="15">
        <v>37</v>
      </c>
      <c r="B48" s="14" t="s">
        <v>1293</v>
      </c>
      <c r="C48" s="724" t="s">
        <v>698</v>
      </c>
      <c r="D48" s="365">
        <v>166198.94</v>
      </c>
      <c r="F48" s="239">
        <v>50169.81</v>
      </c>
      <c r="G48" s="232">
        <v>0.03</v>
      </c>
      <c r="H48" s="357">
        <f t="shared" si="11"/>
        <v>1505.0943</v>
      </c>
      <c r="I48" s="357">
        <f t="shared" si="12"/>
        <v>167704.0343</v>
      </c>
      <c r="J48" s="232">
        <v>0.03</v>
      </c>
      <c r="K48" s="357">
        <f t="shared" si="13"/>
        <v>5031.1210289999999</v>
      </c>
      <c r="L48" s="357">
        <f t="shared" si="14"/>
        <v>172735.155329</v>
      </c>
      <c r="M48" s="232">
        <f t="shared" si="17"/>
        <v>0</v>
      </c>
      <c r="N48" s="358">
        <f t="shared" si="15"/>
        <v>0</v>
      </c>
      <c r="O48" s="358">
        <f t="shared" si="18"/>
        <v>172735.155329</v>
      </c>
      <c r="P48" s="357">
        <f t="shared" si="16"/>
        <v>1505.0943</v>
      </c>
      <c r="Q48" s="357">
        <f t="shared" si="19"/>
        <v>5031.1210289999999</v>
      </c>
    </row>
    <row r="49" spans="1:17" s="14" customFormat="1">
      <c r="A49" s="15">
        <v>38</v>
      </c>
      <c r="B49" s="14" t="s">
        <v>1294</v>
      </c>
      <c r="C49" s="724" t="s">
        <v>699</v>
      </c>
      <c r="D49" s="365">
        <v>87276.54</v>
      </c>
      <c r="F49" s="239">
        <v>23467.43</v>
      </c>
      <c r="G49" s="232">
        <v>0.03</v>
      </c>
      <c r="H49" s="357">
        <f t="shared" si="11"/>
        <v>704.02289999999994</v>
      </c>
      <c r="I49" s="357">
        <f t="shared" si="12"/>
        <v>87980.56289999999</v>
      </c>
      <c r="J49" s="232">
        <v>0.03</v>
      </c>
      <c r="K49" s="357">
        <f t="shared" si="13"/>
        <v>2639.4168869999994</v>
      </c>
      <c r="L49" s="357">
        <f t="shared" si="14"/>
        <v>90619.979786999989</v>
      </c>
      <c r="M49" s="232">
        <f t="shared" si="17"/>
        <v>0</v>
      </c>
      <c r="N49" s="358">
        <f t="shared" si="15"/>
        <v>0</v>
      </c>
      <c r="O49" s="358">
        <f t="shared" si="18"/>
        <v>90619.979786999989</v>
      </c>
      <c r="P49" s="357">
        <f t="shared" si="16"/>
        <v>704.02289999999994</v>
      </c>
      <c r="Q49" s="357">
        <f t="shared" si="19"/>
        <v>2639.4168869999994</v>
      </c>
    </row>
    <row r="50" spans="1:17" s="14" customFormat="1">
      <c r="A50" s="15">
        <v>39</v>
      </c>
      <c r="B50" s="14" t="s">
        <v>1295</v>
      </c>
      <c r="C50" s="724" t="s">
        <v>686</v>
      </c>
      <c r="D50" s="365">
        <v>915293.16</v>
      </c>
      <c r="F50" s="239">
        <v>229776.52</v>
      </c>
      <c r="G50" s="232">
        <v>0.03</v>
      </c>
      <c r="H50" s="357">
        <f t="shared" ref="H50:H65" si="20">+F50*G50</f>
        <v>6893.2955999999995</v>
      </c>
      <c r="I50" s="357">
        <f t="shared" si="12"/>
        <v>922186.45559999999</v>
      </c>
      <c r="J50" s="232">
        <v>0.03</v>
      </c>
      <c r="K50" s="357">
        <f t="shared" si="13"/>
        <v>27665.593667999998</v>
      </c>
      <c r="L50" s="357">
        <f t="shared" si="14"/>
        <v>949852.04926799994</v>
      </c>
      <c r="M50" s="232">
        <f t="shared" si="17"/>
        <v>0</v>
      </c>
      <c r="N50" s="358">
        <f t="shared" si="15"/>
        <v>0</v>
      </c>
      <c r="O50" s="358">
        <f t="shared" si="18"/>
        <v>949852.04926799994</v>
      </c>
      <c r="P50" s="357">
        <f t="shared" si="16"/>
        <v>6893.2955999999995</v>
      </c>
      <c r="Q50" s="357">
        <f t="shared" si="19"/>
        <v>27665.593667999998</v>
      </c>
    </row>
    <row r="51" spans="1:17" s="14" customFormat="1">
      <c r="A51" s="15">
        <v>40</v>
      </c>
      <c r="B51" s="14" t="s">
        <v>1296</v>
      </c>
      <c r="C51" s="724" t="s">
        <v>687</v>
      </c>
      <c r="D51" s="365">
        <v>615370.34</v>
      </c>
      <c r="F51" s="239">
        <v>179612.83</v>
      </c>
      <c r="G51" s="232">
        <v>0.03</v>
      </c>
      <c r="H51" s="357">
        <f t="shared" si="20"/>
        <v>5388.3848999999991</v>
      </c>
      <c r="I51" s="357">
        <f t="shared" si="12"/>
        <v>620758.72489999991</v>
      </c>
      <c r="J51" s="232">
        <v>0.03</v>
      </c>
      <c r="K51" s="357">
        <f t="shared" si="13"/>
        <v>18622.761746999997</v>
      </c>
      <c r="L51" s="357">
        <f t="shared" si="14"/>
        <v>639381.48664699995</v>
      </c>
      <c r="M51" s="232">
        <f t="shared" si="17"/>
        <v>0</v>
      </c>
      <c r="N51" s="358">
        <f t="shared" si="15"/>
        <v>0</v>
      </c>
      <c r="O51" s="358">
        <f t="shared" si="18"/>
        <v>639381.48664699995</v>
      </c>
      <c r="P51" s="357">
        <f t="shared" si="16"/>
        <v>5388.3848999999991</v>
      </c>
      <c r="Q51" s="357">
        <f t="shared" si="19"/>
        <v>18622.761746999997</v>
      </c>
    </row>
    <row r="52" spans="1:17" s="14" customFormat="1">
      <c r="A52" s="15">
        <v>41</v>
      </c>
      <c r="B52" s="14" t="s">
        <v>1281</v>
      </c>
      <c r="C52" s="724" t="s">
        <v>688</v>
      </c>
      <c r="D52" s="365">
        <v>2535799.42</v>
      </c>
      <c r="F52" s="239">
        <v>706560.89</v>
      </c>
      <c r="G52" s="232">
        <v>0.03</v>
      </c>
      <c r="H52" s="357">
        <f t="shared" si="20"/>
        <v>21196.826700000001</v>
      </c>
      <c r="I52" s="357">
        <f t="shared" si="12"/>
        <v>2556996.2467</v>
      </c>
      <c r="J52" s="232">
        <v>0.03</v>
      </c>
      <c r="K52" s="357">
        <f t="shared" si="13"/>
        <v>76709.887401</v>
      </c>
      <c r="L52" s="357">
        <f t="shared" si="14"/>
        <v>2633706.1341010001</v>
      </c>
      <c r="M52" s="232">
        <f t="shared" si="17"/>
        <v>0</v>
      </c>
      <c r="N52" s="358">
        <f t="shared" si="15"/>
        <v>0</v>
      </c>
      <c r="O52" s="358">
        <f t="shared" si="18"/>
        <v>2633706.1341010001</v>
      </c>
      <c r="P52" s="357">
        <f t="shared" si="16"/>
        <v>21196.826700000001</v>
      </c>
      <c r="Q52" s="357">
        <f t="shared" si="19"/>
        <v>76709.887401</v>
      </c>
    </row>
    <row r="53" spans="1:17" s="14" customFormat="1">
      <c r="A53" s="15">
        <v>42</v>
      </c>
      <c r="B53" s="14" t="str">
        <f>+B28</f>
        <v>Mains-Maintenance</v>
      </c>
      <c r="C53" s="724" t="s">
        <v>689</v>
      </c>
      <c r="D53" s="365">
        <v>525265.23</v>
      </c>
      <c r="F53" s="239">
        <v>126660.95</v>
      </c>
      <c r="G53" s="232">
        <v>0.03</v>
      </c>
      <c r="H53" s="357">
        <f t="shared" si="20"/>
        <v>3799.8284999999996</v>
      </c>
      <c r="I53" s="357">
        <f t="shared" si="12"/>
        <v>529065.05849999993</v>
      </c>
      <c r="J53" s="232">
        <v>0.03</v>
      </c>
      <c r="K53" s="357">
        <f t="shared" si="13"/>
        <v>15871.951754999996</v>
      </c>
      <c r="L53" s="357">
        <f t="shared" si="14"/>
        <v>544937.01025499997</v>
      </c>
      <c r="M53" s="232">
        <f t="shared" si="17"/>
        <v>0</v>
      </c>
      <c r="N53" s="358">
        <f t="shared" si="15"/>
        <v>0</v>
      </c>
      <c r="O53" s="358">
        <f t="shared" si="18"/>
        <v>544937.01025499997</v>
      </c>
      <c r="P53" s="357">
        <f t="shared" si="16"/>
        <v>3799.8284999999996</v>
      </c>
      <c r="Q53" s="357">
        <f t="shared" si="19"/>
        <v>15871.951754999996</v>
      </c>
    </row>
    <row r="54" spans="1:17" s="14" customFormat="1">
      <c r="A54" s="15">
        <v>43</v>
      </c>
      <c r="B54" s="14" t="s">
        <v>1302</v>
      </c>
      <c r="C54" s="724" t="s">
        <v>700</v>
      </c>
      <c r="D54" s="365">
        <v>56815.88</v>
      </c>
      <c r="F54" s="239">
        <v>13653.52</v>
      </c>
      <c r="G54" s="232">
        <v>0.03</v>
      </c>
      <c r="H54" s="357">
        <f t="shared" si="20"/>
        <v>409.60559999999998</v>
      </c>
      <c r="I54" s="357">
        <f t="shared" si="12"/>
        <v>57225.4856</v>
      </c>
      <c r="J54" s="232">
        <v>0.03</v>
      </c>
      <c r="K54" s="357">
        <f t="shared" si="13"/>
        <v>1716.7645679999998</v>
      </c>
      <c r="L54" s="357">
        <f t="shared" si="14"/>
        <v>58942.250167999999</v>
      </c>
      <c r="M54" s="232">
        <f t="shared" si="17"/>
        <v>0</v>
      </c>
      <c r="N54" s="358">
        <f t="shared" si="15"/>
        <v>0</v>
      </c>
      <c r="O54" s="358">
        <f t="shared" si="18"/>
        <v>58942.250167999999</v>
      </c>
      <c r="P54" s="357">
        <f t="shared" si="16"/>
        <v>409.60559999999998</v>
      </c>
      <c r="Q54" s="357">
        <f t="shared" si="19"/>
        <v>1716.7645679999998</v>
      </c>
    </row>
    <row r="55" spans="1:17" s="14" customFormat="1">
      <c r="A55" s="15">
        <v>44</v>
      </c>
      <c r="B55" s="14" t="str">
        <f>+B30</f>
        <v>Station &amp; Odorizer Station</v>
      </c>
      <c r="C55" s="724" t="s">
        <v>690</v>
      </c>
      <c r="D55" s="365">
        <v>235823.44</v>
      </c>
      <c r="F55" s="239">
        <v>71401.27</v>
      </c>
      <c r="G55" s="232">
        <v>0.03</v>
      </c>
      <c r="H55" s="357">
        <f t="shared" si="20"/>
        <v>2142.0381000000002</v>
      </c>
      <c r="I55" s="357">
        <f t="shared" si="12"/>
        <v>237965.47810000001</v>
      </c>
      <c r="J55" s="232">
        <v>0.03</v>
      </c>
      <c r="K55" s="357">
        <f t="shared" si="13"/>
        <v>7138.9643429999996</v>
      </c>
      <c r="L55" s="357">
        <f t="shared" si="14"/>
        <v>245104.44244300001</v>
      </c>
      <c r="M55" s="232">
        <f t="shared" si="17"/>
        <v>0</v>
      </c>
      <c r="N55" s="358">
        <f t="shared" si="15"/>
        <v>0</v>
      </c>
      <c r="O55" s="358">
        <f t="shared" si="18"/>
        <v>245104.44244300001</v>
      </c>
      <c r="P55" s="357">
        <f t="shared" si="16"/>
        <v>2142.0381000000002</v>
      </c>
      <c r="Q55" s="357">
        <f t="shared" si="19"/>
        <v>7138.9643429999996</v>
      </c>
    </row>
    <row r="56" spans="1:17" s="14" customFormat="1">
      <c r="A56" s="15">
        <v>45</v>
      </c>
      <c r="B56" s="14" t="s">
        <v>1299</v>
      </c>
      <c r="C56" s="724" t="s">
        <v>691</v>
      </c>
      <c r="D56" s="365">
        <v>25640.68</v>
      </c>
      <c r="F56" s="239">
        <v>3020.59</v>
      </c>
      <c r="G56" s="232">
        <v>0.03</v>
      </c>
      <c r="H56" s="357">
        <f t="shared" si="20"/>
        <v>90.617699999999999</v>
      </c>
      <c r="I56" s="357">
        <f t="shared" si="12"/>
        <v>25731.297699999999</v>
      </c>
      <c r="J56" s="232">
        <v>0.03</v>
      </c>
      <c r="K56" s="357">
        <f t="shared" si="13"/>
        <v>771.93893099999991</v>
      </c>
      <c r="L56" s="357">
        <f t="shared" si="14"/>
        <v>26503.236631</v>
      </c>
      <c r="M56" s="232">
        <f t="shared" si="17"/>
        <v>0</v>
      </c>
      <c r="N56" s="358">
        <f t="shared" si="15"/>
        <v>0</v>
      </c>
      <c r="O56" s="358">
        <f t="shared" si="18"/>
        <v>26503.236631</v>
      </c>
      <c r="P56" s="357">
        <f t="shared" si="16"/>
        <v>90.617699999999999</v>
      </c>
      <c r="Q56" s="357">
        <f t="shared" si="19"/>
        <v>771.93893099999991</v>
      </c>
    </row>
    <row r="57" spans="1:17" s="14" customFormat="1">
      <c r="A57" s="15">
        <v>46</v>
      </c>
      <c r="B57" s="14" t="str">
        <f>+B31</f>
        <v>Service</v>
      </c>
      <c r="C57" s="724" t="s">
        <v>692</v>
      </c>
      <c r="D57" s="365">
        <v>793387.64</v>
      </c>
      <c r="F57" s="239">
        <v>204008.03</v>
      </c>
      <c r="G57" s="232">
        <v>0.03</v>
      </c>
      <c r="H57" s="357">
        <f t="shared" si="20"/>
        <v>6120.2408999999998</v>
      </c>
      <c r="I57" s="357">
        <f t="shared" si="12"/>
        <v>799507.88089999999</v>
      </c>
      <c r="J57" s="232">
        <v>0.03</v>
      </c>
      <c r="K57" s="357">
        <f t="shared" si="13"/>
        <v>23985.236427</v>
      </c>
      <c r="L57" s="357">
        <f t="shared" si="14"/>
        <v>823493.11732700001</v>
      </c>
      <c r="M57" s="232">
        <f t="shared" si="17"/>
        <v>0</v>
      </c>
      <c r="N57" s="358">
        <f t="shared" si="15"/>
        <v>0</v>
      </c>
      <c r="O57" s="358">
        <f t="shared" si="18"/>
        <v>823493.11732700001</v>
      </c>
      <c r="P57" s="357">
        <f t="shared" si="16"/>
        <v>6120.2408999999998</v>
      </c>
      <c r="Q57" s="357">
        <f t="shared" si="19"/>
        <v>23985.236427</v>
      </c>
    </row>
    <row r="58" spans="1:17" s="14" customFormat="1">
      <c r="A58" s="15">
        <v>47</v>
      </c>
      <c r="B58" s="14" t="s">
        <v>1291</v>
      </c>
      <c r="C58" s="724" t="s">
        <v>693</v>
      </c>
      <c r="D58" s="365">
        <v>689855.71</v>
      </c>
      <c r="F58" s="239">
        <v>170799.2</v>
      </c>
      <c r="G58" s="232">
        <v>0.03</v>
      </c>
      <c r="H58" s="357">
        <f t="shared" si="20"/>
        <v>5123.9760000000006</v>
      </c>
      <c r="I58" s="357">
        <f t="shared" si="12"/>
        <v>694979.68599999999</v>
      </c>
      <c r="J58" s="232">
        <v>0.03</v>
      </c>
      <c r="K58" s="357">
        <f t="shared" si="13"/>
        <v>20849.390579999999</v>
      </c>
      <c r="L58" s="357">
        <f t="shared" si="14"/>
        <v>715829.07657999999</v>
      </c>
      <c r="M58" s="232">
        <f t="shared" si="17"/>
        <v>0</v>
      </c>
      <c r="N58" s="358">
        <f t="shared" si="15"/>
        <v>0</v>
      </c>
      <c r="O58" s="358">
        <f t="shared" si="18"/>
        <v>715829.07657999999</v>
      </c>
      <c r="P58" s="357">
        <f t="shared" si="16"/>
        <v>5123.9760000000006</v>
      </c>
      <c r="Q58" s="357">
        <f t="shared" si="19"/>
        <v>20849.390579999999</v>
      </c>
    </row>
    <row r="59" spans="1:17" s="14" customFormat="1">
      <c r="A59" s="15">
        <v>48</v>
      </c>
      <c r="B59" s="14" t="str">
        <f>+B32</f>
        <v>Maintenance of Other</v>
      </c>
      <c r="C59" s="724" t="s">
        <v>701</v>
      </c>
      <c r="D59" s="365">
        <v>857430.33</v>
      </c>
      <c r="F59" s="239">
        <v>249586.68</v>
      </c>
      <c r="G59" s="232">
        <v>0.03</v>
      </c>
      <c r="H59" s="357">
        <f t="shared" si="20"/>
        <v>7487.6003999999994</v>
      </c>
      <c r="I59" s="357">
        <f t="shared" si="12"/>
        <v>864917.93039999995</v>
      </c>
      <c r="J59" s="232">
        <v>0.03</v>
      </c>
      <c r="K59" s="357">
        <f t="shared" si="13"/>
        <v>25947.537911999996</v>
      </c>
      <c r="L59" s="357">
        <f t="shared" si="14"/>
        <v>890865.46831199992</v>
      </c>
      <c r="M59" s="232">
        <f t="shared" si="17"/>
        <v>0</v>
      </c>
      <c r="N59" s="358">
        <f t="shared" si="15"/>
        <v>0</v>
      </c>
      <c r="O59" s="358">
        <f t="shared" si="18"/>
        <v>890865.46831199992</v>
      </c>
      <c r="P59" s="357">
        <f t="shared" si="16"/>
        <v>7487.6003999999994</v>
      </c>
      <c r="Q59" s="357">
        <f t="shared" si="19"/>
        <v>25947.537911999996</v>
      </c>
    </row>
    <row r="60" spans="1:17" s="14" customFormat="1">
      <c r="A60" s="15">
        <v>49</v>
      </c>
      <c r="B60" s="14" t="str">
        <f>+B34</f>
        <v>Routine Meter Reading</v>
      </c>
      <c r="C60" s="724" t="s">
        <v>694</v>
      </c>
      <c r="D60" s="365">
        <v>346337.29</v>
      </c>
      <c r="F60" s="239">
        <v>89063.33</v>
      </c>
      <c r="G60" s="232">
        <v>0.03</v>
      </c>
      <c r="H60" s="357">
        <f t="shared" si="20"/>
        <v>2671.8998999999999</v>
      </c>
      <c r="I60" s="357">
        <f t="shared" si="12"/>
        <v>349009.1899</v>
      </c>
      <c r="J60" s="232">
        <v>0.03</v>
      </c>
      <c r="K60" s="357">
        <f t="shared" si="13"/>
        <v>10470.275696999999</v>
      </c>
      <c r="L60" s="357">
        <f t="shared" si="14"/>
        <v>359479.46559699997</v>
      </c>
      <c r="M60" s="232">
        <f t="shared" si="17"/>
        <v>0</v>
      </c>
      <c r="N60" s="358">
        <f t="shared" si="15"/>
        <v>0</v>
      </c>
      <c r="O60" s="358">
        <f t="shared" si="18"/>
        <v>359479.46559699997</v>
      </c>
      <c r="P60" s="357">
        <f t="shared" si="16"/>
        <v>2671.8998999999999</v>
      </c>
      <c r="Q60" s="357">
        <f t="shared" si="19"/>
        <v>10470.275696999999</v>
      </c>
    </row>
    <row r="61" spans="1:17" s="14" customFormat="1">
      <c r="A61" s="15">
        <v>50</v>
      </c>
      <c r="B61" s="14" t="str">
        <f>+B35</f>
        <v>Customer Collection</v>
      </c>
      <c r="C61" s="724" t="s">
        <v>695</v>
      </c>
      <c r="D61" s="365">
        <v>98505.75</v>
      </c>
      <c r="F61" s="239">
        <v>22918.49</v>
      </c>
      <c r="G61" s="232">
        <v>0.03</v>
      </c>
      <c r="H61" s="357">
        <f>+F61*G61</f>
        <v>687.55470000000003</v>
      </c>
      <c r="I61" s="357">
        <f t="shared" si="12"/>
        <v>99193.304699999993</v>
      </c>
      <c r="J61" s="232">
        <v>0.03</v>
      </c>
      <c r="K61" s="357">
        <f t="shared" si="13"/>
        <v>2975.7991409999995</v>
      </c>
      <c r="L61" s="357">
        <f t="shared" si="14"/>
        <v>102169.10384099999</v>
      </c>
      <c r="M61" s="232">
        <f t="shared" si="17"/>
        <v>0</v>
      </c>
      <c r="N61" s="358">
        <f t="shared" si="15"/>
        <v>0</v>
      </c>
      <c r="O61" s="358">
        <f t="shared" si="18"/>
        <v>102169.10384099999</v>
      </c>
      <c r="P61" s="357">
        <f>+H61</f>
        <v>687.55470000000003</v>
      </c>
      <c r="Q61" s="357">
        <f t="shared" si="19"/>
        <v>2975.7991409999995</v>
      </c>
    </row>
    <row r="62" spans="1:17" s="14" customFormat="1">
      <c r="A62" s="15">
        <v>51</v>
      </c>
      <c r="B62" s="14" t="str">
        <f>+B39</f>
        <v>Administration &amp; General</v>
      </c>
      <c r="C62" s="724" t="s">
        <v>696</v>
      </c>
      <c r="D62" s="365">
        <v>691.57</v>
      </c>
      <c r="F62" s="239">
        <v>0</v>
      </c>
      <c r="G62" s="232">
        <v>0.03</v>
      </c>
      <c r="H62" s="357">
        <f t="shared" si="20"/>
        <v>0</v>
      </c>
      <c r="I62" s="357">
        <f t="shared" si="12"/>
        <v>691.57</v>
      </c>
      <c r="J62" s="232">
        <v>0.03</v>
      </c>
      <c r="K62" s="357">
        <f t="shared" si="13"/>
        <v>20.7471</v>
      </c>
      <c r="L62" s="357">
        <f t="shared" si="14"/>
        <v>712.3171000000001</v>
      </c>
      <c r="M62" s="232">
        <f t="shared" si="17"/>
        <v>0</v>
      </c>
      <c r="N62" s="358">
        <f t="shared" si="15"/>
        <v>0</v>
      </c>
      <c r="O62" s="358">
        <f>+L62+N62</f>
        <v>712.3171000000001</v>
      </c>
      <c r="P62" s="357">
        <f>+H62</f>
        <v>0</v>
      </c>
      <c r="Q62" s="357">
        <f t="shared" si="19"/>
        <v>20.7471</v>
      </c>
    </row>
    <row r="63" spans="1:17" s="14" customFormat="1">
      <c r="A63" s="15">
        <v>52</v>
      </c>
      <c r="B63" s="14" t="s">
        <v>2178</v>
      </c>
      <c r="C63" s="724">
        <v>29210</v>
      </c>
      <c r="D63" s="365">
        <v>361.65</v>
      </c>
      <c r="F63" s="239">
        <v>0</v>
      </c>
      <c r="G63" s="232">
        <v>0.03</v>
      </c>
      <c r="H63" s="357">
        <f t="shared" si="20"/>
        <v>0</v>
      </c>
      <c r="I63" s="357">
        <f t="shared" si="12"/>
        <v>361.65</v>
      </c>
      <c r="J63" s="232">
        <v>0.03</v>
      </c>
      <c r="K63" s="357">
        <f t="shared" si="13"/>
        <v>10.849499999999999</v>
      </c>
      <c r="L63" s="357">
        <f t="shared" si="14"/>
        <v>372.49949999999995</v>
      </c>
      <c r="M63" s="232">
        <f t="shared" si="17"/>
        <v>0</v>
      </c>
      <c r="N63" s="358">
        <f t="shared" si="15"/>
        <v>0</v>
      </c>
      <c r="O63" s="358">
        <f>+L63+N63</f>
        <v>372.49949999999995</v>
      </c>
      <c r="P63" s="357">
        <f t="shared" si="16"/>
        <v>0</v>
      </c>
      <c r="Q63" s="357">
        <f t="shared" si="19"/>
        <v>10.849499999999999</v>
      </c>
    </row>
    <row r="64" spans="1:17">
      <c r="A64" s="15">
        <v>53</v>
      </c>
      <c r="B64" s="14" t="str">
        <f>+B41</f>
        <v>Employee Pensions and Benefits</v>
      </c>
      <c r="C64" s="724">
        <v>29260</v>
      </c>
      <c r="D64" s="365">
        <v>23110.23</v>
      </c>
      <c r="E64" s="14"/>
      <c r="F64" s="239">
        <v>0</v>
      </c>
      <c r="G64" s="232">
        <v>0.03</v>
      </c>
      <c r="H64" s="357">
        <f t="shared" si="20"/>
        <v>0</v>
      </c>
      <c r="I64" s="357">
        <f t="shared" si="12"/>
        <v>23110.23</v>
      </c>
      <c r="J64" s="232">
        <v>0.03</v>
      </c>
      <c r="K64" s="357">
        <f t="shared" si="13"/>
        <v>693.30689999999993</v>
      </c>
      <c r="L64" s="357">
        <f t="shared" si="14"/>
        <v>23803.536899999999</v>
      </c>
      <c r="M64" s="232">
        <f t="shared" si="17"/>
        <v>0</v>
      </c>
      <c r="N64" s="358">
        <f t="shared" si="15"/>
        <v>0</v>
      </c>
      <c r="O64" s="358">
        <f>+L64+N64</f>
        <v>23803.536899999999</v>
      </c>
      <c r="P64" s="357">
        <f t="shared" si="16"/>
        <v>0</v>
      </c>
      <c r="Q64" s="357">
        <f t="shared" si="19"/>
        <v>693.30689999999993</v>
      </c>
    </row>
    <row r="65" spans="1:17">
      <c r="A65" s="15">
        <v>54</v>
      </c>
      <c r="B65" s="14" t="s">
        <v>270</v>
      </c>
      <c r="C65" s="724" t="s">
        <v>702</v>
      </c>
      <c r="D65" s="400">
        <v>2556.56</v>
      </c>
      <c r="E65" s="236"/>
      <c r="F65" s="367">
        <v>1301.68</v>
      </c>
      <c r="G65" s="232">
        <v>0.03</v>
      </c>
      <c r="H65" s="368">
        <f t="shared" si="20"/>
        <v>39.050400000000003</v>
      </c>
      <c r="I65" s="368">
        <f t="shared" si="12"/>
        <v>2595.6104</v>
      </c>
      <c r="J65" s="232">
        <v>0.03</v>
      </c>
      <c r="K65" s="368">
        <f t="shared" si="13"/>
        <v>77.868312000000003</v>
      </c>
      <c r="L65" s="368">
        <f>+I65+K65</f>
        <v>2673.4787120000001</v>
      </c>
      <c r="M65" s="232">
        <f t="shared" si="17"/>
        <v>0</v>
      </c>
      <c r="N65" s="369">
        <f>+L65*M65</f>
        <v>0</v>
      </c>
      <c r="O65" s="369">
        <f>+L65+N65</f>
        <v>2673.4787120000001</v>
      </c>
      <c r="P65" s="368">
        <f t="shared" si="16"/>
        <v>39.050400000000003</v>
      </c>
      <c r="Q65" s="368">
        <f t="shared" si="19"/>
        <v>77.868312000000003</v>
      </c>
    </row>
    <row r="66" spans="1:17">
      <c r="A66" s="15">
        <v>55</v>
      </c>
      <c r="B66" s="14"/>
      <c r="C66" s="14"/>
      <c r="D66" s="366">
        <f>SUM(D44:D65)</f>
        <v>10155364.93</v>
      </c>
      <c r="E66" s="14"/>
      <c r="F66" s="366">
        <f>SUM(F44:F65)</f>
        <v>2685444.8200000008</v>
      </c>
      <c r="G66" s="14"/>
      <c r="H66" s="366">
        <f>SUM(H44:H65)</f>
        <v>80563.344599999982</v>
      </c>
      <c r="I66" s="366">
        <f>SUM(I44:I65)</f>
        <v>10235928.274600001</v>
      </c>
      <c r="J66" s="14"/>
      <c r="K66" s="366">
        <f>SUM(K44:K65)</f>
        <v>307077.84823800001</v>
      </c>
      <c r="L66" s="366">
        <f>SUM(L44:L65)</f>
        <v>10543006.122838002</v>
      </c>
      <c r="M66" s="14"/>
      <c r="N66" s="366">
        <f>SUM(N44:N65)</f>
        <v>0</v>
      </c>
      <c r="O66" s="366">
        <f>SUM(O44:O65)</f>
        <v>10543006.122838002</v>
      </c>
      <c r="P66" s="366">
        <f>SUM(P44:P65)</f>
        <v>80563.344599999982</v>
      </c>
      <c r="Q66" s="366">
        <f>SUM(Q44:Q65)</f>
        <v>307077.84823800001</v>
      </c>
    </row>
    <row r="67" spans="1:17">
      <c r="C67" s="14"/>
      <c r="D67" s="14"/>
      <c r="E67" s="14"/>
      <c r="F67" s="14"/>
      <c r="G67" s="14"/>
      <c r="H67" s="14"/>
      <c r="I67" s="14"/>
      <c r="J67" s="14"/>
      <c r="K67" s="14"/>
      <c r="L67" s="14"/>
      <c r="M67" s="14"/>
      <c r="N67" s="14"/>
      <c r="O67" s="14"/>
      <c r="P67" s="14"/>
      <c r="Q67" s="14"/>
    </row>
    <row r="69" spans="1:17" ht="16.2" thickBot="1">
      <c r="A69" s="15"/>
      <c r="B69" s="14"/>
      <c r="C69" s="14"/>
      <c r="D69" s="14"/>
      <c r="E69" s="14"/>
      <c r="F69" s="14"/>
      <c r="G69" s="14"/>
      <c r="H69" s="14"/>
    </row>
    <row r="70" spans="1:17">
      <c r="A70" s="15"/>
      <c r="B70" s="1962" t="s">
        <v>2176</v>
      </c>
      <c r="C70" s="1963"/>
      <c r="D70" s="1963"/>
      <c r="E70" s="1964"/>
      <c r="F70" s="14"/>
      <c r="G70" s="14"/>
      <c r="H70" s="14"/>
    </row>
    <row r="71" spans="1:17">
      <c r="A71" s="15"/>
      <c r="B71" s="1965"/>
      <c r="C71" s="1966"/>
      <c r="D71" s="1966"/>
      <c r="E71" s="1967"/>
      <c r="F71" s="14"/>
      <c r="G71" s="14"/>
      <c r="H71" s="14"/>
    </row>
    <row r="72" spans="1:17">
      <c r="A72" s="15"/>
      <c r="B72" s="1965"/>
      <c r="C72" s="1966"/>
      <c r="D72" s="1966"/>
      <c r="E72" s="1967"/>
      <c r="F72" s="14"/>
      <c r="G72" s="14"/>
      <c r="H72" s="14"/>
    </row>
    <row r="73" spans="1:17" ht="16.2" thickBot="1">
      <c r="A73" s="15"/>
      <c r="B73" s="1968"/>
      <c r="C73" s="1969"/>
      <c r="D73" s="1969"/>
      <c r="E73" s="1970"/>
      <c r="F73" s="14"/>
      <c r="G73" s="14"/>
      <c r="H73" s="14"/>
    </row>
    <row r="74" spans="1:17">
      <c r="A74" s="429" t="s">
        <v>649</v>
      </c>
      <c r="B74" s="14"/>
      <c r="C74" s="14"/>
      <c r="D74" s="14"/>
      <c r="E74" s="14"/>
      <c r="F74" s="14"/>
      <c r="G74" s="14"/>
      <c r="H74" s="14"/>
    </row>
    <row r="75" spans="1:17">
      <c r="A75" s="15">
        <v>56</v>
      </c>
      <c r="B75" s="720" t="s">
        <v>2183</v>
      </c>
      <c r="C75" s="14"/>
      <c r="D75" s="14"/>
      <c r="E75" s="14"/>
      <c r="F75" s="398">
        <v>87053.82</v>
      </c>
      <c r="G75" s="14"/>
      <c r="H75" s="14"/>
      <c r="J75" s="232">
        <f>J41</f>
        <v>3.5499999999999997E-2</v>
      </c>
      <c r="K75" s="370">
        <f>+F75*J75</f>
        <v>3090.4106099999999</v>
      </c>
      <c r="L75" s="370">
        <f>+F75+K75</f>
        <v>90144.230610000013</v>
      </c>
      <c r="M75" s="232">
        <f>M11</f>
        <v>0</v>
      </c>
      <c r="N75" s="398">
        <f>+L75*M75</f>
        <v>0</v>
      </c>
      <c r="O75" s="370">
        <f>+L75+N75</f>
        <v>90144.230610000013</v>
      </c>
      <c r="P75" s="137">
        <f t="shared" ref="P75:P110" si="21">+H75</f>
        <v>0</v>
      </c>
      <c r="Q75" s="137">
        <f t="shared" ref="Q75:Q110" si="22">+N75+K75</f>
        <v>3090.4106099999999</v>
      </c>
    </row>
    <row r="76" spans="1:17">
      <c r="A76" s="15">
        <v>57</v>
      </c>
      <c r="B76" s="720" t="s">
        <v>2184</v>
      </c>
      <c r="C76" s="14"/>
      <c r="D76" s="14"/>
      <c r="E76" s="14"/>
      <c r="F76" s="398">
        <v>17105.599999999999</v>
      </c>
      <c r="G76" s="14"/>
      <c r="H76" s="14"/>
      <c r="J76" s="232">
        <f>J75</f>
        <v>3.5499999999999997E-2</v>
      </c>
      <c r="K76" s="370">
        <f>+F76*J76</f>
        <v>607.24879999999985</v>
      </c>
      <c r="L76" s="370">
        <f t="shared" ref="L76:L110" si="23">+F76+K76</f>
        <v>17712.8488</v>
      </c>
      <c r="M76" s="232">
        <f>M75</f>
        <v>0</v>
      </c>
      <c r="N76" s="398">
        <f t="shared" ref="N76:N110" si="24">+L76*M76</f>
        <v>0</v>
      </c>
      <c r="O76" s="370">
        <f t="shared" ref="O76:O110" si="25">+L76+N76</f>
        <v>17712.8488</v>
      </c>
      <c r="P76" s="137">
        <f t="shared" si="21"/>
        <v>0</v>
      </c>
      <c r="Q76" s="137">
        <f t="shared" si="22"/>
        <v>607.24879999999985</v>
      </c>
    </row>
    <row r="77" spans="1:17">
      <c r="A77" s="15">
        <v>58</v>
      </c>
      <c r="B77" s="810" t="s">
        <v>735</v>
      </c>
      <c r="C77" s="811"/>
      <c r="D77" s="811"/>
      <c r="E77" s="811"/>
      <c r="F77" s="812">
        <v>1790432.89</v>
      </c>
      <c r="G77" s="14"/>
      <c r="H77" s="365"/>
      <c r="J77" s="232">
        <f t="shared" ref="J77:J110" si="26">J76</f>
        <v>3.5499999999999997E-2</v>
      </c>
      <c r="K77" s="370">
        <f t="shared" ref="K77:K110" si="27">+F77*J77</f>
        <v>63560.367594999989</v>
      </c>
      <c r="L77" s="370">
        <f t="shared" si="23"/>
        <v>1853993.2575949999</v>
      </c>
      <c r="M77" s="232">
        <f t="shared" ref="M77:M110" si="28">M76</f>
        <v>0</v>
      </c>
      <c r="N77" s="398">
        <f t="shared" si="24"/>
        <v>0</v>
      </c>
      <c r="O77" s="370">
        <f t="shared" si="25"/>
        <v>1853993.2575949999</v>
      </c>
      <c r="P77" s="137">
        <f t="shared" si="21"/>
        <v>0</v>
      </c>
      <c r="Q77" s="137">
        <f t="shared" si="22"/>
        <v>63560.367594999989</v>
      </c>
    </row>
    <row r="78" spans="1:17">
      <c r="A78" s="15">
        <v>59</v>
      </c>
      <c r="B78" s="810" t="s">
        <v>1333</v>
      </c>
      <c r="C78" s="811"/>
      <c r="D78" s="811"/>
      <c r="E78" s="811"/>
      <c r="F78" s="812">
        <v>63503.67</v>
      </c>
      <c r="G78" s="14"/>
      <c r="H78" s="14"/>
      <c r="J78" s="232">
        <f t="shared" si="26"/>
        <v>3.5499999999999997E-2</v>
      </c>
      <c r="K78" s="370">
        <f t="shared" si="27"/>
        <v>2254.3802849999997</v>
      </c>
      <c r="L78" s="370">
        <f t="shared" si="23"/>
        <v>65758.050285000005</v>
      </c>
      <c r="M78" s="232">
        <f t="shared" si="28"/>
        <v>0</v>
      </c>
      <c r="N78" s="398">
        <f t="shared" si="24"/>
        <v>0</v>
      </c>
      <c r="O78" s="370">
        <f t="shared" si="25"/>
        <v>65758.050285000005</v>
      </c>
      <c r="P78" s="137">
        <f t="shared" si="21"/>
        <v>0</v>
      </c>
      <c r="Q78" s="137">
        <f t="shared" si="22"/>
        <v>2254.3802849999997</v>
      </c>
    </row>
    <row r="79" spans="1:17">
      <c r="A79" s="15">
        <v>60</v>
      </c>
      <c r="B79" s="720" t="s">
        <v>1334</v>
      </c>
      <c r="C79" s="14"/>
      <c r="D79" s="14"/>
      <c r="E79" s="14"/>
      <c r="F79" s="398">
        <v>46296.31</v>
      </c>
      <c r="G79" s="14"/>
      <c r="H79" s="14"/>
      <c r="J79" s="232">
        <f t="shared" si="26"/>
        <v>3.5499999999999997E-2</v>
      </c>
      <c r="K79" s="370">
        <f t="shared" si="27"/>
        <v>1643.5190049999999</v>
      </c>
      <c r="L79" s="370">
        <f t="shared" si="23"/>
        <v>47939.829005</v>
      </c>
      <c r="M79" s="232">
        <f t="shared" si="28"/>
        <v>0</v>
      </c>
      <c r="N79" s="398">
        <f t="shared" si="24"/>
        <v>0</v>
      </c>
      <c r="O79" s="370">
        <f t="shared" si="25"/>
        <v>47939.829005</v>
      </c>
      <c r="P79" s="137">
        <f t="shared" si="21"/>
        <v>0</v>
      </c>
      <c r="Q79" s="137">
        <f t="shared" si="22"/>
        <v>1643.5190049999999</v>
      </c>
    </row>
    <row r="80" spans="1:17">
      <c r="A80" s="15">
        <v>61</v>
      </c>
      <c r="B80" s="720" t="s">
        <v>2185</v>
      </c>
      <c r="C80" s="14"/>
      <c r="D80" s="14"/>
      <c r="E80" s="14"/>
      <c r="F80" s="398">
        <v>44262.68</v>
      </c>
      <c r="G80" s="14"/>
      <c r="H80" s="14"/>
      <c r="J80" s="232">
        <f t="shared" si="26"/>
        <v>3.5499999999999997E-2</v>
      </c>
      <c r="K80" s="370">
        <f t="shared" si="27"/>
        <v>1571.3251399999999</v>
      </c>
      <c r="L80" s="370">
        <f t="shared" si="23"/>
        <v>45834.005140000001</v>
      </c>
      <c r="M80" s="232">
        <f t="shared" si="28"/>
        <v>0</v>
      </c>
      <c r="N80" s="398">
        <f t="shared" si="24"/>
        <v>0</v>
      </c>
      <c r="O80" s="370">
        <f t="shared" si="25"/>
        <v>45834.005140000001</v>
      </c>
      <c r="P80" s="137">
        <f t="shared" si="21"/>
        <v>0</v>
      </c>
      <c r="Q80" s="137">
        <f t="shared" si="22"/>
        <v>1571.3251399999999</v>
      </c>
    </row>
    <row r="81" spans="1:17">
      <c r="A81" s="15">
        <v>62</v>
      </c>
      <c r="B81" s="720" t="s">
        <v>2186</v>
      </c>
      <c r="C81" s="14"/>
      <c r="D81" s="14"/>
      <c r="E81" s="14"/>
      <c r="F81" s="398">
        <v>178815.01</v>
      </c>
      <c r="G81" s="14"/>
      <c r="H81" s="14"/>
      <c r="J81" s="232">
        <f t="shared" si="26"/>
        <v>3.5499999999999997E-2</v>
      </c>
      <c r="K81" s="370">
        <f t="shared" si="27"/>
        <v>6347.932855</v>
      </c>
      <c r="L81" s="370">
        <f t="shared" si="23"/>
        <v>185162.942855</v>
      </c>
      <c r="M81" s="232">
        <f t="shared" si="28"/>
        <v>0</v>
      </c>
      <c r="N81" s="398">
        <f t="shared" si="24"/>
        <v>0</v>
      </c>
      <c r="O81" s="370">
        <f t="shared" si="25"/>
        <v>185162.942855</v>
      </c>
      <c r="P81" s="137">
        <f t="shared" si="21"/>
        <v>0</v>
      </c>
      <c r="Q81" s="137">
        <f t="shared" si="22"/>
        <v>6347.932855</v>
      </c>
    </row>
    <row r="82" spans="1:17">
      <c r="A82" s="15">
        <v>63</v>
      </c>
      <c r="B82" s="720" t="s">
        <v>2187</v>
      </c>
      <c r="C82" s="14"/>
      <c r="D82" s="14"/>
      <c r="E82" s="14"/>
      <c r="F82" s="398">
        <v>164017.69</v>
      </c>
      <c r="G82" s="14"/>
      <c r="H82" s="14"/>
      <c r="J82" s="232">
        <f t="shared" si="26"/>
        <v>3.5499999999999997E-2</v>
      </c>
      <c r="K82" s="370">
        <f t="shared" si="27"/>
        <v>5822.6279949999998</v>
      </c>
      <c r="L82" s="370">
        <f t="shared" si="23"/>
        <v>169840.31799499999</v>
      </c>
      <c r="M82" s="232">
        <f t="shared" si="28"/>
        <v>0</v>
      </c>
      <c r="N82" s="398">
        <f t="shared" si="24"/>
        <v>0</v>
      </c>
      <c r="O82" s="370">
        <f t="shared" si="25"/>
        <v>169840.31799499999</v>
      </c>
      <c r="P82" s="137">
        <f t="shared" si="21"/>
        <v>0</v>
      </c>
      <c r="Q82" s="137">
        <f t="shared" si="22"/>
        <v>5822.6279949999998</v>
      </c>
    </row>
    <row r="83" spans="1:17">
      <c r="A83" s="15">
        <v>64</v>
      </c>
      <c r="B83" s="720" t="s">
        <v>2188</v>
      </c>
      <c r="C83" s="14"/>
      <c r="D83" s="14"/>
      <c r="E83" s="14"/>
      <c r="F83" s="398">
        <v>50438.05</v>
      </c>
      <c r="G83" s="14"/>
      <c r="H83" s="14"/>
      <c r="J83" s="232">
        <f t="shared" si="26"/>
        <v>3.5499999999999997E-2</v>
      </c>
      <c r="K83" s="370">
        <f t="shared" si="27"/>
        <v>1790.5507749999999</v>
      </c>
      <c r="L83" s="370">
        <f t="shared" si="23"/>
        <v>52228.600775000006</v>
      </c>
      <c r="M83" s="232">
        <f t="shared" si="28"/>
        <v>0</v>
      </c>
      <c r="N83" s="398">
        <f t="shared" si="24"/>
        <v>0</v>
      </c>
      <c r="O83" s="370">
        <f t="shared" si="25"/>
        <v>52228.600775000006</v>
      </c>
      <c r="P83" s="137">
        <f t="shared" si="21"/>
        <v>0</v>
      </c>
      <c r="Q83" s="137">
        <f t="shared" si="22"/>
        <v>1790.5507749999999</v>
      </c>
    </row>
    <row r="84" spans="1:17">
      <c r="A84" s="15">
        <v>65</v>
      </c>
      <c r="B84" s="720" t="s">
        <v>2189</v>
      </c>
      <c r="C84" s="14"/>
      <c r="D84" s="14"/>
      <c r="E84" s="14"/>
      <c r="F84" s="398">
        <v>152593.38</v>
      </c>
      <c r="G84" s="14"/>
      <c r="H84" s="14"/>
      <c r="J84" s="232">
        <f t="shared" si="26"/>
        <v>3.5499999999999997E-2</v>
      </c>
      <c r="K84" s="370">
        <f t="shared" si="27"/>
        <v>5417.0649899999999</v>
      </c>
      <c r="L84" s="370">
        <f t="shared" si="23"/>
        <v>158010.44499000002</v>
      </c>
      <c r="M84" s="232">
        <f t="shared" si="28"/>
        <v>0</v>
      </c>
      <c r="N84" s="398">
        <f t="shared" si="24"/>
        <v>0</v>
      </c>
      <c r="O84" s="370">
        <f t="shared" si="25"/>
        <v>158010.44499000002</v>
      </c>
      <c r="P84" s="137">
        <f t="shared" si="21"/>
        <v>0</v>
      </c>
      <c r="Q84" s="137">
        <f t="shared" si="22"/>
        <v>5417.0649899999999</v>
      </c>
    </row>
    <row r="85" spans="1:17">
      <c r="A85" s="15">
        <v>66</v>
      </c>
      <c r="B85" s="720" t="s">
        <v>1335</v>
      </c>
      <c r="C85" s="14"/>
      <c r="D85" s="14"/>
      <c r="E85" s="14"/>
      <c r="F85" s="398">
        <v>57821.919999999998</v>
      </c>
      <c r="G85" s="14"/>
      <c r="H85" s="14"/>
      <c r="J85" s="232">
        <f t="shared" si="26"/>
        <v>3.5499999999999997E-2</v>
      </c>
      <c r="K85" s="370">
        <f t="shared" si="27"/>
        <v>2052.6781599999999</v>
      </c>
      <c r="L85" s="370">
        <f t="shared" si="23"/>
        <v>59874.598160000001</v>
      </c>
      <c r="M85" s="232">
        <f t="shared" si="28"/>
        <v>0</v>
      </c>
      <c r="N85" s="398">
        <f t="shared" si="24"/>
        <v>0</v>
      </c>
      <c r="O85" s="370">
        <f t="shared" si="25"/>
        <v>59874.598160000001</v>
      </c>
      <c r="P85" s="137">
        <f t="shared" si="21"/>
        <v>0</v>
      </c>
      <c r="Q85" s="137">
        <f t="shared" si="22"/>
        <v>2052.6781599999999</v>
      </c>
    </row>
    <row r="86" spans="1:17">
      <c r="A86" s="15">
        <v>67</v>
      </c>
      <c r="B86" s="720" t="s">
        <v>2190</v>
      </c>
      <c r="C86" s="14"/>
      <c r="D86" s="14"/>
      <c r="E86" s="14"/>
      <c r="F86" s="398">
        <v>219071.45</v>
      </c>
      <c r="G86" s="14"/>
      <c r="H86" s="14"/>
      <c r="J86" s="232">
        <f t="shared" si="26"/>
        <v>3.5499999999999997E-2</v>
      </c>
      <c r="K86" s="370">
        <f t="shared" si="27"/>
        <v>7777.0364749999999</v>
      </c>
      <c r="L86" s="370">
        <f t="shared" si="23"/>
        <v>226848.48647500001</v>
      </c>
      <c r="M86" s="232">
        <f t="shared" si="28"/>
        <v>0</v>
      </c>
      <c r="N86" s="398">
        <f t="shared" si="24"/>
        <v>0</v>
      </c>
      <c r="O86" s="370">
        <f t="shared" si="25"/>
        <v>226848.48647500001</v>
      </c>
      <c r="P86" s="137">
        <f t="shared" si="21"/>
        <v>0</v>
      </c>
      <c r="Q86" s="137">
        <f t="shared" si="22"/>
        <v>7777.0364749999999</v>
      </c>
    </row>
    <row r="87" spans="1:17">
      <c r="A87" s="15">
        <v>68</v>
      </c>
      <c r="B87" s="720" t="s">
        <v>2191</v>
      </c>
      <c r="C87" s="14"/>
      <c r="D87" s="14"/>
      <c r="E87" s="14"/>
      <c r="F87" s="398">
        <v>51766.03</v>
      </c>
      <c r="G87" s="14"/>
      <c r="H87" s="14"/>
      <c r="J87" s="232">
        <f t="shared" si="26"/>
        <v>3.5499999999999997E-2</v>
      </c>
      <c r="K87" s="370">
        <f t="shared" si="27"/>
        <v>1837.6940649999997</v>
      </c>
      <c r="L87" s="370">
        <f t="shared" si="23"/>
        <v>53603.724065000002</v>
      </c>
      <c r="M87" s="232">
        <f t="shared" si="28"/>
        <v>0</v>
      </c>
      <c r="N87" s="398">
        <f t="shared" si="24"/>
        <v>0</v>
      </c>
      <c r="O87" s="370">
        <f t="shared" si="25"/>
        <v>53603.724065000002</v>
      </c>
      <c r="P87" s="137">
        <f t="shared" si="21"/>
        <v>0</v>
      </c>
      <c r="Q87" s="137">
        <f t="shared" si="22"/>
        <v>1837.6940649999997</v>
      </c>
    </row>
    <row r="88" spans="1:17">
      <c r="A88" s="15">
        <v>69</v>
      </c>
      <c r="B88" s="720" t="s">
        <v>1336</v>
      </c>
      <c r="C88" s="14"/>
      <c r="D88" s="14"/>
      <c r="E88" s="14"/>
      <c r="F88" s="398">
        <v>1.13686837721616E-13</v>
      </c>
      <c r="G88" s="14"/>
      <c r="H88" s="14"/>
      <c r="J88" s="232">
        <f t="shared" si="26"/>
        <v>3.5499999999999997E-2</v>
      </c>
      <c r="K88" s="370">
        <f t="shared" si="27"/>
        <v>4.0358827391173679E-15</v>
      </c>
      <c r="L88" s="370">
        <f t="shared" si="23"/>
        <v>1.1772272046073338E-13</v>
      </c>
      <c r="M88" s="232">
        <f t="shared" si="28"/>
        <v>0</v>
      </c>
      <c r="N88" s="398">
        <f t="shared" si="24"/>
        <v>0</v>
      </c>
      <c r="O88" s="370">
        <f t="shared" si="25"/>
        <v>1.1772272046073338E-13</v>
      </c>
      <c r="P88" s="137">
        <f t="shared" si="21"/>
        <v>0</v>
      </c>
      <c r="Q88" s="137">
        <f t="shared" si="22"/>
        <v>4.0358827391173679E-15</v>
      </c>
    </row>
    <row r="89" spans="1:17">
      <c r="A89" s="15">
        <v>70</v>
      </c>
      <c r="B89" s="720" t="s">
        <v>2192</v>
      </c>
      <c r="C89" s="14"/>
      <c r="D89" s="14"/>
      <c r="E89" s="14"/>
      <c r="F89" s="398">
        <v>186138.97</v>
      </c>
      <c r="G89" s="14"/>
      <c r="H89" s="14"/>
      <c r="J89" s="232">
        <f t="shared" si="26"/>
        <v>3.5499999999999997E-2</v>
      </c>
      <c r="K89" s="370">
        <f t="shared" si="27"/>
        <v>6607.933434999999</v>
      </c>
      <c r="L89" s="370">
        <f t="shared" si="23"/>
        <v>192746.90343499999</v>
      </c>
      <c r="M89" s="232">
        <f t="shared" si="28"/>
        <v>0</v>
      </c>
      <c r="N89" s="398">
        <f t="shared" si="24"/>
        <v>0</v>
      </c>
      <c r="O89" s="370">
        <f t="shared" si="25"/>
        <v>192746.90343499999</v>
      </c>
      <c r="P89" s="137">
        <f t="shared" si="21"/>
        <v>0</v>
      </c>
      <c r="Q89" s="137">
        <f t="shared" si="22"/>
        <v>6607.933434999999</v>
      </c>
    </row>
    <row r="90" spans="1:17">
      <c r="A90" s="15">
        <v>71</v>
      </c>
      <c r="B90" s="720" t="s">
        <v>2193</v>
      </c>
      <c r="C90" s="14"/>
      <c r="D90" s="14"/>
      <c r="E90" s="14"/>
      <c r="F90" s="398">
        <v>3655.78</v>
      </c>
      <c r="G90" s="14"/>
      <c r="H90" s="14"/>
      <c r="J90" s="232">
        <f t="shared" si="26"/>
        <v>3.5499999999999997E-2</v>
      </c>
      <c r="K90" s="240">
        <f t="shared" si="27"/>
        <v>129.78019</v>
      </c>
      <c r="L90" s="240">
        <f t="shared" si="23"/>
        <v>3785.5601900000001</v>
      </c>
      <c r="M90" s="232">
        <f t="shared" si="28"/>
        <v>0</v>
      </c>
      <c r="N90" s="398">
        <f t="shared" si="24"/>
        <v>0</v>
      </c>
      <c r="O90" s="240">
        <f t="shared" si="25"/>
        <v>3785.5601900000001</v>
      </c>
      <c r="P90" s="137">
        <f t="shared" si="21"/>
        <v>0</v>
      </c>
      <c r="Q90" s="399">
        <f t="shared" si="22"/>
        <v>129.78019</v>
      </c>
    </row>
    <row r="91" spans="1:17">
      <c r="A91" s="15">
        <v>72</v>
      </c>
      <c r="B91" s="720" t="s">
        <v>2194</v>
      </c>
      <c r="C91" s="14"/>
      <c r="D91" s="14"/>
      <c r="E91" s="14"/>
      <c r="F91" s="398">
        <v>65210.96</v>
      </c>
      <c r="G91" s="14"/>
      <c r="H91" s="14"/>
      <c r="J91" s="232">
        <f t="shared" si="26"/>
        <v>3.5499999999999997E-2</v>
      </c>
      <c r="K91" s="370">
        <f t="shared" si="27"/>
        <v>2314.9890799999998</v>
      </c>
      <c r="L91" s="370">
        <f t="shared" si="23"/>
        <v>67525.949080000006</v>
      </c>
      <c r="M91" s="232">
        <f t="shared" si="28"/>
        <v>0</v>
      </c>
      <c r="N91" s="398">
        <f t="shared" si="24"/>
        <v>0</v>
      </c>
      <c r="O91" s="370">
        <f t="shared" si="25"/>
        <v>67525.949080000006</v>
      </c>
      <c r="P91" s="137">
        <f t="shared" si="21"/>
        <v>0</v>
      </c>
      <c r="Q91" s="137">
        <f t="shared" si="22"/>
        <v>2314.9890799999998</v>
      </c>
    </row>
    <row r="92" spans="1:17">
      <c r="A92" s="15">
        <v>73</v>
      </c>
      <c r="B92" s="720" t="s">
        <v>2195</v>
      </c>
      <c r="C92" s="14"/>
      <c r="D92" s="14"/>
      <c r="E92" s="14"/>
      <c r="F92" s="398">
        <v>956.7</v>
      </c>
      <c r="G92" s="14"/>
      <c r="H92" s="14"/>
      <c r="J92" s="232">
        <f t="shared" si="26"/>
        <v>3.5499999999999997E-2</v>
      </c>
      <c r="K92" s="370">
        <f t="shared" si="27"/>
        <v>33.962849999999996</v>
      </c>
      <c r="L92" s="370">
        <f t="shared" si="23"/>
        <v>990.66285000000005</v>
      </c>
      <c r="M92" s="232">
        <f t="shared" si="28"/>
        <v>0</v>
      </c>
      <c r="N92" s="398">
        <f t="shared" si="24"/>
        <v>0</v>
      </c>
      <c r="O92" s="370">
        <f t="shared" si="25"/>
        <v>990.66285000000005</v>
      </c>
      <c r="P92" s="137">
        <f t="shared" si="21"/>
        <v>0</v>
      </c>
      <c r="Q92" s="137">
        <f t="shared" si="22"/>
        <v>33.962849999999996</v>
      </c>
    </row>
    <row r="93" spans="1:17">
      <c r="A93" s="15">
        <v>74</v>
      </c>
      <c r="B93" s="720" t="s">
        <v>2196</v>
      </c>
      <c r="C93" s="14"/>
      <c r="D93" s="14"/>
      <c r="E93" s="14"/>
      <c r="F93" s="398">
        <v>124549.92</v>
      </c>
      <c r="G93" s="14"/>
      <c r="H93" s="14"/>
      <c r="J93" s="232">
        <f t="shared" si="26"/>
        <v>3.5499999999999997E-2</v>
      </c>
      <c r="K93" s="370">
        <f t="shared" si="27"/>
        <v>4421.5221599999995</v>
      </c>
      <c r="L93" s="370">
        <f t="shared" si="23"/>
        <v>128971.44215999999</v>
      </c>
      <c r="M93" s="232">
        <f t="shared" si="28"/>
        <v>0</v>
      </c>
      <c r="N93" s="398">
        <f t="shared" si="24"/>
        <v>0</v>
      </c>
      <c r="O93" s="370">
        <f t="shared" si="25"/>
        <v>128971.44215999999</v>
      </c>
      <c r="P93" s="137">
        <f t="shared" si="21"/>
        <v>0</v>
      </c>
      <c r="Q93" s="137">
        <f t="shared" si="22"/>
        <v>4421.5221599999995</v>
      </c>
    </row>
    <row r="94" spans="1:17">
      <c r="A94" s="15">
        <v>75</v>
      </c>
      <c r="B94" s="720" t="s">
        <v>2197</v>
      </c>
      <c r="C94" s="14"/>
      <c r="D94" s="14"/>
      <c r="E94" s="14"/>
      <c r="F94" s="398">
        <v>141164.45000000001</v>
      </c>
      <c r="G94" s="14"/>
      <c r="H94" s="14"/>
      <c r="J94" s="232">
        <f t="shared" si="26"/>
        <v>3.5499999999999997E-2</v>
      </c>
      <c r="K94" s="370">
        <f t="shared" si="27"/>
        <v>5011.3379750000004</v>
      </c>
      <c r="L94" s="370">
        <f t="shared" si="23"/>
        <v>146175.78797500001</v>
      </c>
      <c r="M94" s="232">
        <f t="shared" si="28"/>
        <v>0</v>
      </c>
      <c r="N94" s="398">
        <f t="shared" si="24"/>
        <v>0</v>
      </c>
      <c r="O94" s="370">
        <f t="shared" si="25"/>
        <v>146175.78797500001</v>
      </c>
      <c r="P94" s="137">
        <f t="shared" si="21"/>
        <v>0</v>
      </c>
      <c r="Q94" s="137">
        <f t="shared" si="22"/>
        <v>5011.3379750000004</v>
      </c>
    </row>
    <row r="95" spans="1:17">
      <c r="A95" s="15">
        <v>76</v>
      </c>
      <c r="B95" s="720" t="s">
        <v>736</v>
      </c>
      <c r="C95" s="14"/>
      <c r="D95" s="14"/>
      <c r="E95" s="14"/>
      <c r="F95" s="398">
        <v>159195.79999999999</v>
      </c>
      <c r="G95" s="14"/>
      <c r="H95" s="14"/>
      <c r="J95" s="232">
        <f t="shared" si="26"/>
        <v>3.5499999999999997E-2</v>
      </c>
      <c r="K95" s="370">
        <f t="shared" si="27"/>
        <v>5651.4508999999989</v>
      </c>
      <c r="L95" s="370">
        <f t="shared" si="23"/>
        <v>164847.25089999998</v>
      </c>
      <c r="M95" s="232">
        <f t="shared" si="28"/>
        <v>0</v>
      </c>
      <c r="N95" s="398">
        <f t="shared" si="24"/>
        <v>0</v>
      </c>
      <c r="O95" s="370">
        <f t="shared" si="25"/>
        <v>164847.25089999998</v>
      </c>
      <c r="P95" s="137">
        <f t="shared" si="21"/>
        <v>0</v>
      </c>
      <c r="Q95" s="137">
        <f t="shared" si="22"/>
        <v>5651.4508999999989</v>
      </c>
    </row>
    <row r="96" spans="1:17">
      <c r="A96" s="15">
        <v>77</v>
      </c>
      <c r="B96" s="720" t="s">
        <v>2198</v>
      </c>
      <c r="C96" s="14"/>
      <c r="D96" s="14"/>
      <c r="E96" s="14"/>
      <c r="F96" s="398">
        <v>85072.95</v>
      </c>
      <c r="G96" s="14"/>
      <c r="H96" s="14"/>
      <c r="J96" s="232">
        <f t="shared" si="26"/>
        <v>3.5499999999999997E-2</v>
      </c>
      <c r="K96" s="370">
        <f t="shared" si="27"/>
        <v>3020.0897249999998</v>
      </c>
      <c r="L96" s="370">
        <f t="shared" si="23"/>
        <v>88093.039724999995</v>
      </c>
      <c r="M96" s="232">
        <f t="shared" si="28"/>
        <v>0</v>
      </c>
      <c r="N96" s="398">
        <f t="shared" si="24"/>
        <v>0</v>
      </c>
      <c r="O96" s="370">
        <f t="shared" si="25"/>
        <v>88093.039724999995</v>
      </c>
      <c r="P96" s="137">
        <f t="shared" si="21"/>
        <v>0</v>
      </c>
      <c r="Q96" s="137">
        <f t="shared" si="22"/>
        <v>3020.0897249999998</v>
      </c>
    </row>
    <row r="97" spans="1:17">
      <c r="A97" s="15">
        <v>78</v>
      </c>
      <c r="B97" s="720" t="s">
        <v>2199</v>
      </c>
      <c r="C97" s="14"/>
      <c r="D97" s="14"/>
      <c r="E97" s="14"/>
      <c r="F97" s="398">
        <v>875917.72</v>
      </c>
      <c r="G97" s="14"/>
      <c r="H97" s="14"/>
      <c r="J97" s="232">
        <f t="shared" si="26"/>
        <v>3.5499999999999997E-2</v>
      </c>
      <c r="K97" s="370">
        <f t="shared" si="27"/>
        <v>31095.079059999996</v>
      </c>
      <c r="L97" s="370">
        <f t="shared" si="23"/>
        <v>907012.79905999999</v>
      </c>
      <c r="M97" s="232">
        <f t="shared" si="28"/>
        <v>0</v>
      </c>
      <c r="N97" s="398">
        <f t="shared" si="24"/>
        <v>0</v>
      </c>
      <c r="O97" s="370">
        <f t="shared" si="25"/>
        <v>907012.79905999999</v>
      </c>
      <c r="P97" s="137">
        <f t="shared" si="21"/>
        <v>0</v>
      </c>
      <c r="Q97" s="137">
        <f t="shared" si="22"/>
        <v>31095.079059999996</v>
      </c>
    </row>
    <row r="98" spans="1:17">
      <c r="A98" s="15">
        <v>79</v>
      </c>
      <c r="B98" s="720" t="s">
        <v>2200</v>
      </c>
      <c r="C98" s="14"/>
      <c r="D98" s="14"/>
      <c r="E98" s="14"/>
      <c r="F98" s="398">
        <v>287512.96999999997</v>
      </c>
      <c r="G98" s="14"/>
      <c r="H98" s="14"/>
      <c r="J98" s="232">
        <f t="shared" si="26"/>
        <v>3.5499999999999997E-2</v>
      </c>
      <c r="K98" s="370">
        <f t="shared" si="27"/>
        <v>10206.710434999997</v>
      </c>
      <c r="L98" s="370">
        <f t="shared" si="23"/>
        <v>297719.68043499999</v>
      </c>
      <c r="M98" s="232">
        <f t="shared" si="28"/>
        <v>0</v>
      </c>
      <c r="N98" s="398">
        <f t="shared" si="24"/>
        <v>0</v>
      </c>
      <c r="O98" s="370">
        <f t="shared" si="25"/>
        <v>297719.68043499999</v>
      </c>
      <c r="P98" s="137">
        <f t="shared" si="21"/>
        <v>0</v>
      </c>
      <c r="Q98" s="137">
        <f t="shared" si="22"/>
        <v>10206.710434999997</v>
      </c>
    </row>
    <row r="99" spans="1:17">
      <c r="A99" s="15">
        <v>80</v>
      </c>
      <c r="B99" s="720" t="s">
        <v>737</v>
      </c>
      <c r="C99" s="14"/>
      <c r="D99" s="14"/>
      <c r="E99" s="14"/>
      <c r="F99" s="398">
        <v>203880.66</v>
      </c>
      <c r="G99" s="14"/>
      <c r="H99" s="14"/>
      <c r="J99" s="232">
        <f t="shared" si="26"/>
        <v>3.5499999999999997E-2</v>
      </c>
      <c r="K99" s="370">
        <f t="shared" si="27"/>
        <v>7237.7634299999991</v>
      </c>
      <c r="L99" s="370">
        <f t="shared" si="23"/>
        <v>211118.42343</v>
      </c>
      <c r="M99" s="232">
        <f t="shared" si="28"/>
        <v>0</v>
      </c>
      <c r="N99" s="398">
        <f t="shared" si="24"/>
        <v>0</v>
      </c>
      <c r="O99" s="370">
        <f t="shared" si="25"/>
        <v>211118.42343</v>
      </c>
      <c r="P99" s="137">
        <f t="shared" si="21"/>
        <v>0</v>
      </c>
      <c r="Q99" s="137">
        <f t="shared" si="22"/>
        <v>7237.7634299999991</v>
      </c>
    </row>
    <row r="100" spans="1:17">
      <c r="A100" s="15">
        <v>81</v>
      </c>
      <c r="B100" s="720" t="s">
        <v>1337</v>
      </c>
      <c r="C100" s="14"/>
      <c r="D100" s="14"/>
      <c r="E100" s="14"/>
      <c r="F100" s="398">
        <v>17020.080000000002</v>
      </c>
      <c r="G100" s="14"/>
      <c r="H100" s="14"/>
      <c r="J100" s="232">
        <f t="shared" si="26"/>
        <v>3.5499999999999997E-2</v>
      </c>
      <c r="K100" s="370">
        <f t="shared" si="27"/>
        <v>604.21284000000003</v>
      </c>
      <c r="L100" s="370">
        <f t="shared" si="23"/>
        <v>17624.292840000002</v>
      </c>
      <c r="M100" s="232">
        <f t="shared" si="28"/>
        <v>0</v>
      </c>
      <c r="N100" s="398">
        <f t="shared" si="24"/>
        <v>0</v>
      </c>
      <c r="O100" s="370">
        <f t="shared" si="25"/>
        <v>17624.292840000002</v>
      </c>
      <c r="P100" s="137">
        <f t="shared" si="21"/>
        <v>0</v>
      </c>
      <c r="Q100" s="137">
        <f t="shared" si="22"/>
        <v>604.21284000000003</v>
      </c>
    </row>
    <row r="101" spans="1:17">
      <c r="A101" s="15">
        <v>82</v>
      </c>
      <c r="B101" s="720" t="s">
        <v>2201</v>
      </c>
      <c r="C101" s="14"/>
      <c r="D101" s="14"/>
      <c r="E101" s="14"/>
      <c r="F101" s="398">
        <v>35070.400000000001</v>
      </c>
      <c r="G101" s="14"/>
      <c r="H101" s="14"/>
      <c r="J101" s="232">
        <f t="shared" si="26"/>
        <v>3.5499999999999997E-2</v>
      </c>
      <c r="K101" s="370">
        <f t="shared" si="27"/>
        <v>1244.9992</v>
      </c>
      <c r="L101" s="370">
        <f t="shared" si="23"/>
        <v>36315.3992</v>
      </c>
      <c r="M101" s="232">
        <f t="shared" si="28"/>
        <v>0</v>
      </c>
      <c r="N101" s="398">
        <f t="shared" si="24"/>
        <v>0</v>
      </c>
      <c r="O101" s="370">
        <f t="shared" si="25"/>
        <v>36315.3992</v>
      </c>
      <c r="P101" s="137">
        <f t="shared" si="21"/>
        <v>0</v>
      </c>
      <c r="Q101" s="137">
        <f t="shared" si="22"/>
        <v>1244.9992</v>
      </c>
    </row>
    <row r="102" spans="1:17">
      <c r="A102" s="15">
        <v>83</v>
      </c>
      <c r="B102" s="720" t="s">
        <v>738</v>
      </c>
      <c r="C102" s="14"/>
      <c r="D102" s="14"/>
      <c r="E102" s="14"/>
      <c r="F102" s="398">
        <v>787.94</v>
      </c>
      <c r="G102" s="14"/>
      <c r="H102" s="14"/>
      <c r="J102" s="232">
        <f t="shared" si="26"/>
        <v>3.5499999999999997E-2</v>
      </c>
      <c r="K102" s="370">
        <f t="shared" si="27"/>
        <v>27.971869999999999</v>
      </c>
      <c r="L102" s="370">
        <f t="shared" si="23"/>
        <v>815.91187000000002</v>
      </c>
      <c r="M102" s="232">
        <f t="shared" si="28"/>
        <v>0</v>
      </c>
      <c r="N102" s="398">
        <f t="shared" si="24"/>
        <v>0</v>
      </c>
      <c r="O102" s="370">
        <f t="shared" si="25"/>
        <v>815.91187000000002</v>
      </c>
      <c r="P102" s="137">
        <f t="shared" si="21"/>
        <v>0</v>
      </c>
      <c r="Q102" s="137">
        <f t="shared" si="22"/>
        <v>27.971869999999999</v>
      </c>
    </row>
    <row r="103" spans="1:17">
      <c r="A103" s="15">
        <v>84</v>
      </c>
      <c r="B103" s="720" t="s">
        <v>739</v>
      </c>
      <c r="C103" s="14"/>
      <c r="D103" s="14"/>
      <c r="E103" s="14"/>
      <c r="F103" s="398">
        <v>66933.38</v>
      </c>
      <c r="G103" s="14"/>
      <c r="H103" s="14"/>
      <c r="J103" s="232">
        <f t="shared" si="26"/>
        <v>3.5499999999999997E-2</v>
      </c>
      <c r="K103" s="370">
        <f t="shared" si="27"/>
        <v>2376.13499</v>
      </c>
      <c r="L103" s="370">
        <f t="shared" si="23"/>
        <v>69309.514990000011</v>
      </c>
      <c r="M103" s="232">
        <f t="shared" si="28"/>
        <v>0</v>
      </c>
      <c r="N103" s="398">
        <f t="shared" si="24"/>
        <v>0</v>
      </c>
      <c r="O103" s="370">
        <f t="shared" si="25"/>
        <v>69309.514990000011</v>
      </c>
      <c r="P103" s="137">
        <f t="shared" si="21"/>
        <v>0</v>
      </c>
      <c r="Q103" s="137">
        <f t="shared" si="22"/>
        <v>2376.13499</v>
      </c>
    </row>
    <row r="104" spans="1:17">
      <c r="A104" s="15">
        <v>85</v>
      </c>
      <c r="B104" s="720" t="s">
        <v>2202</v>
      </c>
      <c r="C104" s="14"/>
      <c r="D104" s="14"/>
      <c r="E104" s="14"/>
      <c r="F104" s="398">
        <v>73862.3</v>
      </c>
      <c r="G104" s="14"/>
      <c r="H104" s="14"/>
      <c r="J104" s="232">
        <f t="shared" si="26"/>
        <v>3.5499999999999997E-2</v>
      </c>
      <c r="K104" s="370">
        <f t="shared" si="27"/>
        <v>2622.1116499999998</v>
      </c>
      <c r="L104" s="370">
        <f t="shared" si="23"/>
        <v>76484.411650000009</v>
      </c>
      <c r="M104" s="232">
        <f t="shared" si="28"/>
        <v>0</v>
      </c>
      <c r="N104" s="398">
        <f t="shared" si="24"/>
        <v>0</v>
      </c>
      <c r="O104" s="370">
        <f t="shared" si="25"/>
        <v>76484.411650000009</v>
      </c>
      <c r="P104" s="137">
        <f t="shared" si="21"/>
        <v>0</v>
      </c>
      <c r="Q104" s="137">
        <f t="shared" si="22"/>
        <v>2622.1116499999998</v>
      </c>
    </row>
    <row r="105" spans="1:17">
      <c r="A105" s="15">
        <v>86</v>
      </c>
      <c r="B105" s="720" t="s">
        <v>2203</v>
      </c>
      <c r="C105" s="14"/>
      <c r="D105" s="14"/>
      <c r="E105" s="14"/>
      <c r="F105" s="398">
        <v>69084.19</v>
      </c>
      <c r="G105" s="14"/>
      <c r="H105" s="14"/>
      <c r="J105" s="232">
        <f t="shared" si="26"/>
        <v>3.5499999999999997E-2</v>
      </c>
      <c r="K105" s="370">
        <f t="shared" si="27"/>
        <v>2452.4887449999997</v>
      </c>
      <c r="L105" s="370">
        <f t="shared" si="23"/>
        <v>71536.678744999997</v>
      </c>
      <c r="M105" s="232">
        <f t="shared" si="28"/>
        <v>0</v>
      </c>
      <c r="N105" s="398">
        <f t="shared" si="24"/>
        <v>0</v>
      </c>
      <c r="O105" s="370">
        <f t="shared" si="25"/>
        <v>71536.678744999997</v>
      </c>
      <c r="P105" s="137">
        <f t="shared" si="21"/>
        <v>0</v>
      </c>
      <c r="Q105" s="137">
        <f t="shared" si="22"/>
        <v>2452.4887449999997</v>
      </c>
    </row>
    <row r="106" spans="1:17">
      <c r="A106" s="15">
        <v>87</v>
      </c>
      <c r="B106" s="720" t="s">
        <v>2204</v>
      </c>
      <c r="C106" s="14"/>
      <c r="D106" s="14"/>
      <c r="E106" s="14"/>
      <c r="F106" s="398">
        <v>72895.600000000006</v>
      </c>
      <c r="G106" s="14"/>
      <c r="H106" s="14"/>
      <c r="J106" s="232">
        <f t="shared" si="26"/>
        <v>3.5499999999999997E-2</v>
      </c>
      <c r="K106" s="370">
        <f t="shared" si="27"/>
        <v>2587.7937999999999</v>
      </c>
      <c r="L106" s="370">
        <f t="shared" si="23"/>
        <v>75483.393800000005</v>
      </c>
      <c r="M106" s="232">
        <f t="shared" si="28"/>
        <v>0</v>
      </c>
      <c r="N106" s="398">
        <f t="shared" si="24"/>
        <v>0</v>
      </c>
      <c r="O106" s="370">
        <f t="shared" si="25"/>
        <v>75483.393800000005</v>
      </c>
      <c r="P106" s="137">
        <f t="shared" si="21"/>
        <v>0</v>
      </c>
      <c r="Q106" s="137">
        <f t="shared" si="22"/>
        <v>2587.7937999999999</v>
      </c>
    </row>
    <row r="107" spans="1:17">
      <c r="A107" s="15">
        <v>88</v>
      </c>
      <c r="B107" s="720" t="s">
        <v>2205</v>
      </c>
      <c r="C107" s="14"/>
      <c r="D107" s="14"/>
      <c r="E107" s="14"/>
      <c r="F107" s="398">
        <v>108215.66</v>
      </c>
      <c r="G107" s="14"/>
      <c r="H107" s="14"/>
      <c r="J107" s="232">
        <f t="shared" si="26"/>
        <v>3.5499999999999997E-2</v>
      </c>
      <c r="K107" s="370">
        <f t="shared" si="27"/>
        <v>3841.6559299999999</v>
      </c>
      <c r="L107" s="370">
        <f t="shared" si="23"/>
        <v>112057.31593</v>
      </c>
      <c r="M107" s="232">
        <f t="shared" si="28"/>
        <v>0</v>
      </c>
      <c r="N107" s="398">
        <f t="shared" si="24"/>
        <v>0</v>
      </c>
      <c r="O107" s="370">
        <f t="shared" si="25"/>
        <v>112057.31593</v>
      </c>
      <c r="P107" s="137">
        <f t="shared" si="21"/>
        <v>0</v>
      </c>
      <c r="Q107" s="137">
        <f t="shared" si="22"/>
        <v>3841.6559299999999</v>
      </c>
    </row>
    <row r="108" spans="1:17">
      <c r="A108" s="15">
        <v>89</v>
      </c>
      <c r="B108" s="720" t="s">
        <v>1338</v>
      </c>
      <c r="C108" s="14"/>
      <c r="D108" s="14"/>
      <c r="E108" s="14"/>
      <c r="F108" s="398">
        <v>234155.51999999999</v>
      </c>
      <c r="G108" s="14"/>
      <c r="H108" s="14"/>
      <c r="J108" s="232">
        <f t="shared" si="26"/>
        <v>3.5499999999999997E-2</v>
      </c>
      <c r="K108" s="370">
        <f t="shared" si="27"/>
        <v>8312.520959999998</v>
      </c>
      <c r="L108" s="370">
        <f t="shared" si="23"/>
        <v>242468.04095999998</v>
      </c>
      <c r="M108" s="232">
        <f t="shared" si="28"/>
        <v>0</v>
      </c>
      <c r="N108" s="398">
        <f t="shared" si="24"/>
        <v>0</v>
      </c>
      <c r="O108" s="370">
        <f t="shared" si="25"/>
        <v>242468.04095999998</v>
      </c>
      <c r="P108" s="137">
        <f t="shared" si="21"/>
        <v>0</v>
      </c>
      <c r="Q108" s="137">
        <f t="shared" si="22"/>
        <v>8312.520959999998</v>
      </c>
    </row>
    <row r="109" spans="1:17">
      <c r="A109" s="15">
        <v>90</v>
      </c>
      <c r="B109" s="720" t="s">
        <v>2206</v>
      </c>
      <c r="C109" s="14"/>
      <c r="D109" s="14"/>
      <c r="E109" s="14"/>
      <c r="F109" s="398">
        <v>97059.16</v>
      </c>
      <c r="G109" s="14"/>
      <c r="H109" s="14"/>
      <c r="J109" s="232">
        <f t="shared" si="26"/>
        <v>3.5499999999999997E-2</v>
      </c>
      <c r="K109" s="370">
        <f t="shared" si="27"/>
        <v>3445.6001799999999</v>
      </c>
      <c r="L109" s="370">
        <f t="shared" si="23"/>
        <v>100504.76018</v>
      </c>
      <c r="M109" s="232">
        <f t="shared" si="28"/>
        <v>0</v>
      </c>
      <c r="N109" s="398">
        <f t="shared" si="24"/>
        <v>0</v>
      </c>
      <c r="O109" s="370">
        <f t="shared" si="25"/>
        <v>100504.76018</v>
      </c>
      <c r="P109" s="137">
        <f t="shared" si="21"/>
        <v>0</v>
      </c>
      <c r="Q109" s="137">
        <f t="shared" si="22"/>
        <v>3445.6001799999999</v>
      </c>
    </row>
    <row r="110" spans="1:17">
      <c r="A110" s="15">
        <v>91</v>
      </c>
      <c r="B110" s="720" t="s">
        <v>2207</v>
      </c>
      <c r="C110" s="14"/>
      <c r="D110" s="14"/>
      <c r="E110" s="14"/>
      <c r="F110" s="398">
        <v>676.53</v>
      </c>
      <c r="G110" s="14"/>
      <c r="H110" s="14"/>
      <c r="J110" s="232">
        <f t="shared" si="26"/>
        <v>3.5499999999999997E-2</v>
      </c>
      <c r="K110" s="370">
        <f t="shared" si="27"/>
        <v>24.016814999999998</v>
      </c>
      <c r="L110" s="370">
        <f t="shared" si="23"/>
        <v>700.54681499999992</v>
      </c>
      <c r="M110" s="232">
        <f t="shared" si="28"/>
        <v>0</v>
      </c>
      <c r="N110" s="398">
        <f t="shared" si="24"/>
        <v>0</v>
      </c>
      <c r="O110" s="370">
        <f t="shared" si="25"/>
        <v>700.54681499999992</v>
      </c>
      <c r="P110" s="137">
        <f t="shared" si="21"/>
        <v>0</v>
      </c>
      <c r="Q110" s="137">
        <f t="shared" si="22"/>
        <v>24.016814999999998</v>
      </c>
    </row>
    <row r="111" spans="1:17">
      <c r="A111" s="15">
        <v>92</v>
      </c>
      <c r="B111" s="14"/>
      <c r="C111" s="14"/>
      <c r="D111" s="14"/>
      <c r="E111" s="14"/>
      <c r="F111" s="371">
        <f>SUM(F75:F110)</f>
        <v>5832196.1399999997</v>
      </c>
      <c r="G111" s="14"/>
      <c r="H111" s="14"/>
      <c r="J111" s="14"/>
      <c r="K111" s="371">
        <f>SUM(K75:K110)</f>
        <v>207042.96296999999</v>
      </c>
      <c r="L111" s="371">
        <f>SUM(L75:L110)</f>
        <v>6039239.1029700004</v>
      </c>
      <c r="M111" s="14"/>
      <c r="N111" s="371">
        <f>SUM(N75:N110)</f>
        <v>0</v>
      </c>
      <c r="O111" s="371">
        <f>SUM(O75:O110)</f>
        <v>6039239.1029700004</v>
      </c>
      <c r="P111" s="233">
        <f>SUM(P75:P110)</f>
        <v>0</v>
      </c>
      <c r="Q111" s="233">
        <f>SUM(Q75:Q110)</f>
        <v>207042.96296999999</v>
      </c>
    </row>
    <row r="112" spans="1:17">
      <c r="A112" s="15"/>
      <c r="B112" s="14"/>
      <c r="C112" s="14"/>
      <c r="D112" s="14"/>
      <c r="E112" s="14"/>
      <c r="F112" s="14"/>
      <c r="G112" s="14"/>
      <c r="H112" s="14"/>
      <c r="J112" s="14"/>
      <c r="K112" s="370"/>
      <c r="L112" s="14"/>
      <c r="M112" s="14"/>
      <c r="N112" s="14"/>
      <c r="O112" s="14"/>
    </row>
    <row r="113" spans="1:15">
      <c r="A113" s="372" t="s">
        <v>764</v>
      </c>
      <c r="B113" s="14"/>
      <c r="C113" s="14"/>
      <c r="D113" s="14"/>
      <c r="E113" s="14"/>
      <c r="F113" s="14"/>
      <c r="G113" s="14"/>
      <c r="H113" s="14"/>
      <c r="J113" s="14"/>
      <c r="K113" s="14"/>
      <c r="L113" s="14"/>
      <c r="M113" s="14"/>
      <c r="N113" s="14"/>
      <c r="O113" s="14"/>
    </row>
    <row r="114" spans="1:15">
      <c r="A114" s="372" t="s">
        <v>1073</v>
      </c>
      <c r="B114" s="14"/>
      <c r="C114" s="14"/>
      <c r="D114" s="14"/>
      <c r="E114" s="14"/>
      <c r="F114" s="14"/>
      <c r="G114" s="14"/>
      <c r="H114" s="14"/>
      <c r="J114" s="14"/>
      <c r="K114" s="14"/>
      <c r="L114" s="14"/>
      <c r="M114" s="14"/>
      <c r="N114" s="14"/>
      <c r="O114" s="14"/>
    </row>
    <row r="115" spans="1:15">
      <c r="A115" s="372" t="s">
        <v>1279</v>
      </c>
      <c r="B115" s="14"/>
      <c r="C115" s="14"/>
      <c r="D115" s="14"/>
      <c r="E115" s="14"/>
      <c r="F115" s="14"/>
      <c r="G115" s="14"/>
      <c r="H115" s="14"/>
      <c r="I115" s="14"/>
      <c r="J115" s="14"/>
      <c r="K115" s="14"/>
      <c r="L115" s="14"/>
      <c r="M115" s="14"/>
      <c r="N115" s="14"/>
      <c r="O115" s="14"/>
    </row>
    <row r="116" spans="1:15">
      <c r="A116" s="15"/>
      <c r="B116" s="14"/>
      <c r="C116" s="14"/>
      <c r="D116" s="14"/>
      <c r="E116" s="14"/>
      <c r="F116" s="14"/>
      <c r="G116" s="14"/>
      <c r="H116" s="14"/>
      <c r="I116" s="14"/>
    </row>
    <row r="117" spans="1:15">
      <c r="A117" s="15"/>
      <c r="B117" s="14"/>
      <c r="C117" s="14"/>
      <c r="D117" s="14"/>
      <c r="E117" s="14"/>
      <c r="F117" s="14"/>
      <c r="G117" s="14"/>
      <c r="H117" s="14"/>
      <c r="I117" s="14"/>
    </row>
    <row r="118" spans="1:15">
      <c r="A118" s="15"/>
      <c r="B118" s="14"/>
      <c r="C118" s="14"/>
      <c r="D118" s="14"/>
      <c r="E118" s="14"/>
      <c r="F118" s="14"/>
      <c r="G118" s="14"/>
      <c r="H118" s="14"/>
    </row>
    <row r="119" spans="1:15">
      <c r="A119" s="15"/>
      <c r="B119" s="14"/>
      <c r="C119" s="14"/>
      <c r="D119" s="14"/>
      <c r="E119" s="14"/>
      <c r="F119" s="14"/>
      <c r="G119" s="14"/>
      <c r="H119" s="14"/>
    </row>
    <row r="120" spans="1:15">
      <c r="A120" s="15"/>
      <c r="B120" s="14"/>
      <c r="C120" s="14"/>
      <c r="D120" s="14"/>
      <c r="E120" s="14"/>
      <c r="F120" s="14"/>
      <c r="G120" s="14"/>
      <c r="H120" s="14"/>
    </row>
    <row r="121" spans="1:15">
      <c r="A121" s="15"/>
      <c r="B121" s="14"/>
      <c r="C121" s="14"/>
      <c r="D121" s="14"/>
      <c r="E121" s="14"/>
      <c r="F121" s="14"/>
      <c r="G121" s="14"/>
      <c r="H121" s="14"/>
    </row>
  </sheetData>
  <mergeCells count="6">
    <mergeCell ref="B70:E73"/>
    <mergeCell ref="E1:L1"/>
    <mergeCell ref="E2:L2"/>
    <mergeCell ref="E3:L3"/>
    <mergeCell ref="E4:L4"/>
    <mergeCell ref="E5:L5"/>
  </mergeCells>
  <dataValidations count="1">
    <dataValidation type="list" allowBlank="1" showInputMessage="1" showErrorMessage="1" sqref="M5" xr:uid="{78037497-4CF5-47EF-BD84-D8D90B209339}">
      <formula1>"Yes, No"</formula1>
    </dataValidation>
  </dataValidation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6204-572B-4770-8BA7-B09BF588EF3C}">
  <sheetPr>
    <tabColor theme="7" tint="0.79998168889431442"/>
    <pageSetUpPr fitToPage="1"/>
  </sheetPr>
  <dimension ref="A1:G50"/>
  <sheetViews>
    <sheetView view="pageBreakPreview" topLeftCell="A16" zoomScale="80" zoomScaleNormal="100" zoomScaleSheetLayoutView="80" workbookViewId="0">
      <selection activeCell="G45" sqref="G45"/>
    </sheetView>
  </sheetViews>
  <sheetFormatPr defaultColWidth="8.88671875" defaultRowHeight="14.4"/>
  <cols>
    <col min="1" max="1" width="36.88671875" style="613" bestFit="1" customWidth="1"/>
    <col min="2" max="2" width="22.5546875" style="613" customWidth="1"/>
    <col min="3" max="3" width="15.33203125" style="613" bestFit="1" customWidth="1"/>
    <col min="4" max="4" width="11.33203125" style="613" bestFit="1" customWidth="1"/>
    <col min="5" max="5" width="17" style="613" customWidth="1"/>
    <col min="6" max="6" width="15" style="613" customWidth="1"/>
    <col min="7" max="7" width="19.109375" style="613" bestFit="1" customWidth="1"/>
    <col min="8" max="16384" width="8.88671875" style="613"/>
  </cols>
  <sheetData>
    <row r="1" spans="1:5" ht="15.6">
      <c r="A1" s="1971" t="s">
        <v>52</v>
      </c>
      <c r="B1" s="1971"/>
      <c r="C1" s="1971"/>
      <c r="D1" s="1800"/>
      <c r="E1" s="1800"/>
    </row>
    <row r="2" spans="1:5" ht="15.6">
      <c r="A2" s="1971" t="s">
        <v>1824</v>
      </c>
      <c r="B2" s="1971"/>
      <c r="C2" s="1971"/>
      <c r="D2" s="1800"/>
      <c r="E2" s="1800"/>
    </row>
    <row r="3" spans="1:5" ht="15.6">
      <c r="A3" s="1971" t="s">
        <v>1273</v>
      </c>
      <c r="B3" s="1971"/>
      <c r="C3" s="1971"/>
      <c r="D3" s="1800"/>
      <c r="E3" s="1800"/>
    </row>
    <row r="4" spans="1:5" ht="15.6">
      <c r="A4" s="1971" t="s">
        <v>1354</v>
      </c>
      <c r="B4" s="1971"/>
      <c r="C4" s="1971"/>
      <c r="D4" s="1800"/>
      <c r="E4" s="1800"/>
    </row>
    <row r="5" spans="1:5" ht="15.6">
      <c r="A5" s="1971" t="s">
        <v>1823</v>
      </c>
      <c r="B5" s="1971"/>
      <c r="C5" s="1971"/>
      <c r="D5" s="1800"/>
      <c r="E5" s="1800"/>
    </row>
    <row r="10" spans="1:5">
      <c r="B10" s="613" t="s">
        <v>1341</v>
      </c>
      <c r="C10" s="401">
        <f>+B23</f>
        <v>389056.37</v>
      </c>
    </row>
    <row r="11" spans="1:5">
      <c r="B11" s="613" t="s">
        <v>1342</v>
      </c>
      <c r="C11" s="401">
        <f>+B24</f>
        <v>520810.11</v>
      </c>
    </row>
    <row r="12" spans="1:5">
      <c r="B12" s="613" t="s">
        <v>1343</v>
      </c>
      <c r="C12" s="401">
        <f>+B22</f>
        <v>35135.07</v>
      </c>
    </row>
    <row r="13" spans="1:5">
      <c r="B13" s="613" t="s">
        <v>1344</v>
      </c>
      <c r="C13" s="401">
        <f>+B20+B21</f>
        <v>860349.55</v>
      </c>
    </row>
    <row r="14" spans="1:5">
      <c r="B14" s="613" t="s">
        <v>1345</v>
      </c>
      <c r="C14" s="401">
        <f>+B18+B19</f>
        <v>1085270.29</v>
      </c>
    </row>
    <row r="15" spans="1:5" ht="15" thickBot="1">
      <c r="C15" s="402">
        <f>SUM(C10:C14)</f>
        <v>2890621.39</v>
      </c>
    </row>
    <row r="16" spans="1:5" ht="15" thickTop="1"/>
    <row r="17" spans="1:7">
      <c r="E17" s="1809" t="s">
        <v>2433</v>
      </c>
      <c r="F17" s="1809" t="s">
        <v>1807</v>
      </c>
      <c r="G17" s="1810"/>
    </row>
    <row r="18" spans="1:7">
      <c r="A18" s="613" t="s">
        <v>1346</v>
      </c>
      <c r="B18" s="401">
        <v>722274.82</v>
      </c>
      <c r="E18" s="1811">
        <v>722274.82</v>
      </c>
      <c r="F18" s="1811">
        <f t="shared" ref="F18:F25" si="0">E18-B18</f>
        <v>0</v>
      </c>
      <c r="G18" s="1810"/>
    </row>
    <row r="19" spans="1:7">
      <c r="A19" s="613" t="s">
        <v>1347</v>
      </c>
      <c r="B19" s="401">
        <v>362995.47</v>
      </c>
      <c r="E19" s="1811">
        <v>362995.47</v>
      </c>
      <c r="F19" s="1811">
        <f t="shared" si="0"/>
        <v>0</v>
      </c>
      <c r="G19" s="1810"/>
    </row>
    <row r="20" spans="1:7">
      <c r="A20" s="613" t="s">
        <v>1348</v>
      </c>
      <c r="B20" s="401">
        <v>405573.38</v>
      </c>
      <c r="E20" s="1811">
        <v>473325.53</v>
      </c>
      <c r="F20" s="1811">
        <f t="shared" si="0"/>
        <v>67752.150000000023</v>
      </c>
      <c r="G20" s="1810"/>
    </row>
    <row r="21" spans="1:7">
      <c r="A21" s="613" t="s">
        <v>1349</v>
      </c>
      <c r="B21" s="401">
        <v>454776.17</v>
      </c>
      <c r="E21" s="1811">
        <v>387024.02</v>
      </c>
      <c r="F21" s="1811">
        <f t="shared" si="0"/>
        <v>-67752.149999999965</v>
      </c>
      <c r="G21" s="1810"/>
    </row>
    <row r="22" spans="1:7">
      <c r="A22" s="613" t="s">
        <v>1350</v>
      </c>
      <c r="B22" s="401">
        <v>35135.07</v>
      </c>
      <c r="E22" s="1811">
        <v>35135.07</v>
      </c>
      <c r="F22" s="1811">
        <f t="shared" si="0"/>
        <v>0</v>
      </c>
      <c r="G22" s="1810"/>
    </row>
    <row r="23" spans="1:7">
      <c r="A23" s="613" t="s">
        <v>1351</v>
      </c>
      <c r="B23" s="401">
        <v>389056.37</v>
      </c>
      <c r="E23" s="1811">
        <v>389056.37</v>
      </c>
      <c r="F23" s="1811">
        <f t="shared" si="0"/>
        <v>0</v>
      </c>
      <c r="G23" s="1810"/>
    </row>
    <row r="24" spans="1:7">
      <c r="A24" s="613" t="s">
        <v>1352</v>
      </c>
      <c r="B24" s="401">
        <v>520810.11</v>
      </c>
      <c r="E24" s="1811">
        <v>692843.03</v>
      </c>
      <c r="F24" s="1811">
        <f t="shared" si="0"/>
        <v>172032.92000000004</v>
      </c>
      <c r="G24" s="1810"/>
    </row>
    <row r="25" spans="1:7" ht="15" thickBot="1">
      <c r="B25" s="403">
        <f>ROUND(SUM(B18:B24), 2)</f>
        <v>2890621.39</v>
      </c>
      <c r="E25" s="1812">
        <v>3062654.3100000005</v>
      </c>
      <c r="F25" s="1812">
        <f t="shared" si="0"/>
        <v>172032.92000000039</v>
      </c>
      <c r="G25" s="1810"/>
    </row>
    <row r="26" spans="1:7" ht="15" thickTop="1">
      <c r="E26" s="1810"/>
      <c r="F26" s="1810"/>
      <c r="G26" s="1810"/>
    </row>
    <row r="27" spans="1:7">
      <c r="A27" s="613" t="s">
        <v>1353</v>
      </c>
      <c r="B27" s="404">
        <f>+B18+B20+B22</f>
        <v>1162983.27</v>
      </c>
      <c r="C27" s="404"/>
      <c r="E27" s="1813">
        <v>1230735.4200000002</v>
      </c>
      <c r="F27" s="1813">
        <f>E27-B27</f>
        <v>67752.15000000014</v>
      </c>
      <c r="G27" s="1810" t="s">
        <v>3363</v>
      </c>
    </row>
    <row r="28" spans="1:7">
      <c r="E28" s="1810"/>
      <c r="F28" s="1810"/>
      <c r="G28" s="1810"/>
    </row>
    <row r="29" spans="1:7">
      <c r="E29" s="1810"/>
      <c r="F29" s="1810"/>
      <c r="G29" s="1810"/>
    </row>
    <row r="30" spans="1:7">
      <c r="A30" s="613" t="s">
        <v>1355</v>
      </c>
      <c r="B30" s="1814">
        <f>-B27</f>
        <v>-1162983.27</v>
      </c>
      <c r="E30" s="1813">
        <v>-1230735.4200000002</v>
      </c>
      <c r="F30" s="1813">
        <f>E30-B30</f>
        <v>-67752.15000000014</v>
      </c>
      <c r="G30" s="1810"/>
    </row>
    <row r="33" spans="1:7">
      <c r="A33" s="824"/>
      <c r="B33" s="613">
        <v>2015</v>
      </c>
      <c r="C33" s="613">
        <v>2016</v>
      </c>
      <c r="D33" s="613">
        <v>2017</v>
      </c>
      <c r="E33" s="613">
        <v>2018</v>
      </c>
      <c r="F33" s="613">
        <v>2019</v>
      </c>
    </row>
    <row r="34" spans="1:7">
      <c r="A34" s="824" t="s">
        <v>3372</v>
      </c>
      <c r="B34" s="905">
        <v>979487</v>
      </c>
      <c r="C34" s="905">
        <v>1765931</v>
      </c>
      <c r="D34" s="905">
        <v>2404155</v>
      </c>
      <c r="E34" s="905">
        <v>1799605</v>
      </c>
      <c r="F34" s="905">
        <f>B25</f>
        <v>2890621.39</v>
      </c>
    </row>
    <row r="35" spans="1:7">
      <c r="A35" s="824" t="s">
        <v>1354</v>
      </c>
      <c r="B35" s="905">
        <v>502765</v>
      </c>
      <c r="C35" s="905">
        <v>818796</v>
      </c>
      <c r="D35" s="905">
        <v>933400</v>
      </c>
      <c r="E35" s="905">
        <v>894390</v>
      </c>
      <c r="F35" s="905">
        <f>B27</f>
        <v>1162983.27</v>
      </c>
    </row>
    <row r="36" spans="1:7">
      <c r="A36" s="824" t="s">
        <v>3373</v>
      </c>
      <c r="B36" s="905">
        <f>B34-B35</f>
        <v>476722</v>
      </c>
      <c r="C36" s="905">
        <f>C34-C35</f>
        <v>947135</v>
      </c>
      <c r="D36" s="905">
        <f>D34-D35</f>
        <v>1470755</v>
      </c>
      <c r="E36" s="905">
        <f>E34-E35</f>
        <v>905215</v>
      </c>
      <c r="F36" s="905">
        <f>F34-F35</f>
        <v>1727638.12</v>
      </c>
    </row>
    <row r="37" spans="1:7">
      <c r="E37" s="1817"/>
    </row>
    <row r="38" spans="1:7">
      <c r="A38" s="824" t="s">
        <v>3254</v>
      </c>
      <c r="B38" s="905">
        <f>AVERAGE(B36:F36)</f>
        <v>1105493.024</v>
      </c>
      <c r="E38" s="1817"/>
      <c r="F38" s="1821">
        <v>1101969</v>
      </c>
      <c r="G38" s="1825" t="s">
        <v>3375</v>
      </c>
    </row>
    <row r="39" spans="1:7">
      <c r="G39" s="1824"/>
    </row>
    <row r="40" spans="1:7">
      <c r="A40" s="613" t="s">
        <v>3383</v>
      </c>
      <c r="B40" s="1814">
        <f>B38-F36</f>
        <v>-622145.09600000014</v>
      </c>
      <c r="F40" s="1822">
        <f>F38-F36</f>
        <v>-625669.12000000011</v>
      </c>
      <c r="G40" s="1825" t="s">
        <v>3376</v>
      </c>
    </row>
    <row r="42" spans="1:7" ht="43.2">
      <c r="A42" s="613" t="s">
        <v>3374</v>
      </c>
      <c r="B42" s="1815">
        <f>B40+B30</f>
        <v>-1785128.3660000002</v>
      </c>
      <c r="C42" s="1826" t="s">
        <v>3385</v>
      </c>
      <c r="F42" s="1823">
        <f>F40+B30</f>
        <v>-1788652.3900000001</v>
      </c>
      <c r="G42" s="1826" t="s">
        <v>3386</v>
      </c>
    </row>
    <row r="44" spans="1:7">
      <c r="B44" s="1802">
        <f>B25+B30</f>
        <v>1727638.12</v>
      </c>
      <c r="C44" s="1803" t="s">
        <v>3362</v>
      </c>
      <c r="E44" s="404"/>
      <c r="F44" s="404">
        <f>F42-B42</f>
        <v>-3524.0239999999758</v>
      </c>
      <c r="G44" s="613" t="s">
        <v>3387</v>
      </c>
    </row>
    <row r="48" spans="1:7">
      <c r="B48" s="824"/>
      <c r="C48" s="404"/>
      <c r="E48" s="404"/>
      <c r="F48" s="404"/>
    </row>
    <row r="49" spans="2:6">
      <c r="B49" s="824"/>
      <c r="C49" s="404"/>
      <c r="E49" s="404"/>
      <c r="F49" s="404"/>
    </row>
    <row r="50" spans="2:6">
      <c r="B50" s="824"/>
      <c r="C50" s="404"/>
      <c r="E50" s="404"/>
      <c r="F50" s="404"/>
    </row>
  </sheetData>
  <mergeCells count="5">
    <mergeCell ref="A1:C1"/>
    <mergeCell ref="A2:C2"/>
    <mergeCell ref="A3:C3"/>
    <mergeCell ref="A4:C4"/>
    <mergeCell ref="A5:C5"/>
  </mergeCells>
  <printOptions horizontalCentered="1"/>
  <pageMargins left="0.7" right="0.7" top="0.75" bottom="0.75" header="0.3" footer="0.3"/>
  <pageSetup scale="65" fitToHeight="0" orientation="portrait" r:id="rId1"/>
  <headerFooter scaleWithDoc="0" alignWithMargins="0">
    <oddHeader>&amp;R&amp;P of &amp;N</oddHeader>
    <oddFooter>&amp;LElectronic Tab Name: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7" tint="0.79998168889431442"/>
  </sheetPr>
  <dimension ref="A1:M19"/>
  <sheetViews>
    <sheetView view="pageBreakPreview" zoomScale="80" zoomScaleNormal="100" zoomScaleSheetLayoutView="80" workbookViewId="0">
      <selection activeCell="C16" sqref="C16"/>
    </sheetView>
  </sheetViews>
  <sheetFormatPr defaultColWidth="9.109375" defaultRowHeight="15.6"/>
  <cols>
    <col min="1" max="1" width="9.33203125" style="442" bestFit="1" customWidth="1"/>
    <col min="2" max="2" width="13.5546875" style="443" bestFit="1" customWidth="1"/>
    <col min="3" max="3" width="10.88671875" style="443" bestFit="1" customWidth="1"/>
    <col min="4" max="4" width="12" style="443" bestFit="1" customWidth="1"/>
    <col min="5" max="5" width="15.44140625" style="443" bestFit="1" customWidth="1"/>
    <col min="6" max="6" width="11.5546875" style="443" bestFit="1" customWidth="1"/>
    <col min="7" max="7" width="9.33203125" style="443" bestFit="1" customWidth="1"/>
    <col min="8" max="8" width="12.6640625" style="442" bestFit="1" customWidth="1"/>
    <col min="9" max="9" width="9.109375" style="443"/>
    <col min="10" max="16384" width="9.109375" style="71"/>
  </cols>
  <sheetData>
    <row r="1" spans="1:13">
      <c r="A1" s="1926" t="s">
        <v>52</v>
      </c>
      <c r="B1" s="1926"/>
      <c r="C1" s="1926"/>
      <c r="D1" s="1926"/>
      <c r="E1" s="1926"/>
      <c r="F1" s="1926"/>
      <c r="G1" s="1926"/>
      <c r="H1" s="1926"/>
      <c r="I1" s="2"/>
      <c r="J1" s="2"/>
      <c r="K1" s="219"/>
      <c r="L1" s="219"/>
      <c r="M1" s="219"/>
    </row>
    <row r="2" spans="1:13">
      <c r="A2" s="1926" t="s">
        <v>1258</v>
      </c>
      <c r="B2" s="1926"/>
      <c r="C2" s="1926"/>
      <c r="D2" s="1926"/>
      <c r="E2" s="1926"/>
      <c r="F2" s="1926"/>
      <c r="G2" s="1926"/>
      <c r="H2" s="1926"/>
      <c r="I2" s="2"/>
      <c r="J2" s="2"/>
      <c r="K2" s="219"/>
      <c r="L2" s="219"/>
      <c r="M2" s="219"/>
    </row>
    <row r="3" spans="1:13">
      <c r="A3" s="1926" t="s">
        <v>1274</v>
      </c>
      <c r="B3" s="1926"/>
      <c r="C3" s="1926"/>
      <c r="D3" s="1926"/>
      <c r="E3" s="1926"/>
      <c r="F3" s="1926"/>
      <c r="G3" s="1926"/>
      <c r="H3" s="1926"/>
      <c r="I3" s="2"/>
      <c r="J3" s="2"/>
      <c r="K3" s="219"/>
      <c r="L3" s="219"/>
      <c r="M3" s="219"/>
    </row>
    <row r="4" spans="1:13">
      <c r="A4" s="1926" t="s">
        <v>71</v>
      </c>
      <c r="B4" s="1926"/>
      <c r="C4" s="1926"/>
      <c r="D4" s="1926"/>
      <c r="E4" s="1926"/>
      <c r="F4" s="1926"/>
      <c r="G4" s="1926"/>
      <c r="H4" s="1926"/>
      <c r="I4" s="2"/>
      <c r="J4" s="2"/>
      <c r="K4" s="219"/>
      <c r="L4" s="219"/>
      <c r="M4" s="219"/>
    </row>
    <row r="5" spans="1:13">
      <c r="A5" s="1926" t="s">
        <v>1823</v>
      </c>
      <c r="B5" s="1926"/>
      <c r="C5" s="1926"/>
      <c r="D5" s="1926"/>
      <c r="E5" s="1926"/>
      <c r="F5" s="1926"/>
      <c r="G5" s="1926"/>
      <c r="H5" s="1926"/>
      <c r="I5" s="2"/>
      <c r="J5" s="2"/>
      <c r="K5" s="219"/>
      <c r="L5" s="219"/>
      <c r="M5" s="219"/>
    </row>
    <row r="6" spans="1:13">
      <c r="K6" s="219"/>
      <c r="L6" s="219"/>
      <c r="M6" s="219"/>
    </row>
    <row r="7" spans="1:13">
      <c r="K7" s="219"/>
      <c r="L7" s="219"/>
      <c r="M7" s="219"/>
    </row>
    <row r="8" spans="1:13">
      <c r="K8" s="219"/>
      <c r="L8" s="219"/>
      <c r="M8" s="219"/>
    </row>
    <row r="9" spans="1:13" s="220" customFormat="1">
      <c r="A9" s="442"/>
      <c r="B9" s="442" t="s">
        <v>778</v>
      </c>
      <c r="C9" s="442" t="s">
        <v>776</v>
      </c>
      <c r="D9" s="442" t="s">
        <v>777</v>
      </c>
      <c r="E9" s="442" t="s">
        <v>780</v>
      </c>
      <c r="F9" s="442" t="s">
        <v>781</v>
      </c>
      <c r="G9" s="442" t="s">
        <v>782</v>
      </c>
      <c r="H9" s="442" t="s">
        <v>783</v>
      </c>
      <c r="I9" s="442"/>
      <c r="K9" s="221"/>
      <c r="L9" s="221"/>
      <c r="M9" s="221"/>
    </row>
    <row r="10" spans="1:13">
      <c r="B10" s="444" t="s">
        <v>359</v>
      </c>
      <c r="C10" s="226"/>
      <c r="D10" s="226"/>
      <c r="E10" s="226"/>
      <c r="F10" s="226"/>
      <c r="G10" s="226"/>
      <c r="H10" s="223"/>
      <c r="I10" s="226"/>
      <c r="J10" s="219"/>
    </row>
    <row r="11" spans="1:13">
      <c r="B11" s="226"/>
      <c r="C11" s="226"/>
      <c r="D11" s="226"/>
      <c r="E11" s="445"/>
      <c r="F11" s="226"/>
      <c r="G11" s="226"/>
      <c r="H11" s="223"/>
      <c r="I11" s="226"/>
      <c r="J11" s="219"/>
    </row>
    <row r="12" spans="1:13">
      <c r="A12" s="442" t="s">
        <v>649</v>
      </c>
      <c r="B12" s="226" t="s">
        <v>77</v>
      </c>
      <c r="C12" s="223" t="s">
        <v>78</v>
      </c>
      <c r="D12" s="223"/>
      <c r="E12" s="223" t="s">
        <v>79</v>
      </c>
      <c r="F12" s="223"/>
      <c r="G12" s="223" t="s">
        <v>80</v>
      </c>
      <c r="H12" s="223"/>
      <c r="I12" s="226"/>
      <c r="J12" s="219"/>
    </row>
    <row r="13" spans="1:13">
      <c r="A13" s="442">
        <v>1</v>
      </c>
      <c r="B13" s="446">
        <v>43465</v>
      </c>
      <c r="C13" s="223" t="s">
        <v>81</v>
      </c>
      <c r="D13" s="223" t="s">
        <v>82</v>
      </c>
      <c r="E13" s="223" t="s">
        <v>83</v>
      </c>
      <c r="F13" s="223" t="s">
        <v>54</v>
      </c>
      <c r="G13" s="223" t="s">
        <v>84</v>
      </c>
      <c r="H13" s="222" t="s">
        <v>85</v>
      </c>
      <c r="I13" s="226"/>
      <c r="J13" s="219"/>
    </row>
    <row r="14" spans="1:13">
      <c r="B14" s="446"/>
      <c r="C14" s="223"/>
      <c r="D14" s="223"/>
      <c r="E14" s="223"/>
      <c r="F14" s="223"/>
      <c r="G14" s="447"/>
      <c r="H14" s="223"/>
    </row>
    <row r="15" spans="1:13">
      <c r="B15" s="226"/>
      <c r="C15" s="223"/>
      <c r="D15" s="223"/>
      <c r="E15" s="223"/>
      <c r="F15" s="223"/>
      <c r="G15" s="223"/>
      <c r="H15" s="223"/>
    </row>
    <row r="16" spans="1:13" ht="16.2" thickBot="1">
      <c r="A16" s="442">
        <v>2</v>
      </c>
      <c r="B16" s="224">
        <f>+'Exh 6, ROO Summary'!W38</f>
        <v>409282452.8131454</v>
      </c>
      <c r="C16" s="448">
        <f>+'Capital Structure Calculation'!J11</f>
        <v>2.3359999999999999E-2</v>
      </c>
      <c r="D16" s="223">
        <f>B16*C16</f>
        <v>9560838.0977150761</v>
      </c>
      <c r="E16" s="223">
        <f>+'Operating Report'!G160</f>
        <v>11276371.959999999</v>
      </c>
      <c r="F16" s="223">
        <f>+D16-E16</f>
        <v>-1715533.862284923</v>
      </c>
      <c r="G16" s="225">
        <f>+'Exh 8, Conversion Factor'!C33</f>
        <v>0.21</v>
      </c>
      <c r="H16" s="628">
        <f>+F16*-G16</f>
        <v>360262.11107983382</v>
      </c>
      <c r="K16" s="219"/>
      <c r="L16" s="219"/>
      <c r="M16" s="219"/>
    </row>
    <row r="17" spans="2:13" ht="16.2" thickTop="1">
      <c r="B17" s="226"/>
      <c r="C17" s="226"/>
      <c r="D17" s="226"/>
      <c r="E17" s="226"/>
      <c r="F17" s="226"/>
      <c r="G17" s="449"/>
      <c r="H17" s="223"/>
      <c r="K17" s="219"/>
      <c r="L17" s="227"/>
      <c r="M17" s="219"/>
    </row>
    <row r="18" spans="2:13">
      <c r="B18" s="226"/>
      <c r="C18" s="226"/>
      <c r="D18" s="226"/>
      <c r="E18" s="226"/>
      <c r="F18" s="226"/>
      <c r="I18" s="226"/>
      <c r="J18" s="219"/>
      <c r="K18" s="219"/>
      <c r="L18" s="219"/>
      <c r="M18" s="221"/>
    </row>
    <row r="19" spans="2:13">
      <c r="G19" s="226"/>
      <c r="H19" s="223"/>
      <c r="I19" s="226"/>
      <c r="J19" s="219"/>
      <c r="K19" s="219"/>
      <c r="L19" s="219"/>
      <c r="M19" s="219"/>
    </row>
  </sheetData>
  <mergeCells count="5">
    <mergeCell ref="A1:H1"/>
    <mergeCell ref="A2:H2"/>
    <mergeCell ref="A3:H3"/>
    <mergeCell ref="A4:H4"/>
    <mergeCell ref="A5:H5"/>
  </mergeCells>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7" tint="0.79998168889431442"/>
  </sheetPr>
  <dimension ref="A1:I36"/>
  <sheetViews>
    <sheetView view="pageBreakPreview" topLeftCell="A4" zoomScale="80" zoomScaleNormal="100" zoomScaleSheetLayoutView="80" workbookViewId="0">
      <selection activeCell="E27" sqref="E27"/>
    </sheetView>
  </sheetViews>
  <sheetFormatPr defaultColWidth="9.109375" defaultRowHeight="15.6"/>
  <cols>
    <col min="1" max="1" width="9.44140625" style="5" bestFit="1" customWidth="1"/>
    <col min="2" max="2" width="33" style="3" bestFit="1" customWidth="1"/>
    <col min="3" max="3" width="10.33203125" style="3" bestFit="1" customWidth="1"/>
    <col min="4" max="4" width="27.33203125" style="3" customWidth="1"/>
    <col min="5" max="5" width="18.109375" style="17" bestFit="1" customWidth="1"/>
    <col min="6" max="6" width="13.109375" style="3" bestFit="1" customWidth="1"/>
    <col min="7" max="7" width="10.109375" style="3" bestFit="1" customWidth="1"/>
    <col min="8" max="8" width="13.5546875" style="3" bestFit="1" customWidth="1"/>
    <col min="9" max="9" width="9.109375" style="3"/>
    <col min="10" max="10" width="9.6640625" style="3" bestFit="1" customWidth="1"/>
    <col min="11" max="16384" width="9.109375" style="3"/>
  </cols>
  <sheetData>
    <row r="1" spans="1:9" s="14" customFormat="1">
      <c r="A1" s="15"/>
      <c r="B1" s="1926" t="s">
        <v>52</v>
      </c>
      <c r="C1" s="1926"/>
      <c r="D1" s="1926"/>
      <c r="E1" s="1926"/>
      <c r="F1" s="1926"/>
      <c r="G1" s="2"/>
      <c r="H1" s="2"/>
      <c r="I1" s="2"/>
    </row>
    <row r="2" spans="1:9" s="14" customFormat="1">
      <c r="A2" s="15"/>
      <c r="B2" s="1926" t="s">
        <v>1824</v>
      </c>
      <c r="C2" s="1926"/>
      <c r="D2" s="1926"/>
      <c r="E2" s="1926"/>
      <c r="F2" s="1926"/>
      <c r="G2" s="2"/>
      <c r="H2" s="2"/>
      <c r="I2" s="2"/>
    </row>
    <row r="3" spans="1:9" s="14" customFormat="1">
      <c r="A3" s="15"/>
      <c r="B3" s="1926" t="s">
        <v>1278</v>
      </c>
      <c r="C3" s="1926"/>
      <c r="D3" s="1926"/>
      <c r="E3" s="1926"/>
      <c r="F3" s="1926"/>
      <c r="G3" s="2"/>
      <c r="H3" s="2"/>
      <c r="I3" s="2"/>
    </row>
    <row r="4" spans="1:9" s="14" customFormat="1">
      <c r="A4" s="15"/>
      <c r="B4" s="1926" t="s">
        <v>710</v>
      </c>
      <c r="C4" s="1926"/>
      <c r="D4" s="1926"/>
      <c r="E4" s="1926"/>
      <c r="F4" s="1926"/>
      <c r="G4" s="2"/>
      <c r="H4" s="2"/>
      <c r="I4" s="2"/>
    </row>
    <row r="5" spans="1:9" s="14" customFormat="1">
      <c r="A5" s="15"/>
      <c r="B5" s="1926" t="s">
        <v>1823</v>
      </c>
      <c r="C5" s="1926"/>
      <c r="D5" s="1926"/>
      <c r="E5" s="1926"/>
      <c r="F5" s="1926"/>
      <c r="G5" s="2"/>
      <c r="H5" s="2"/>
      <c r="I5" s="2"/>
    </row>
    <row r="6" spans="1:9" s="14" customFormat="1">
      <c r="A6" s="15"/>
      <c r="E6" s="428"/>
    </row>
    <row r="7" spans="1:9" s="15" customFormat="1">
      <c r="B7" s="15" t="s">
        <v>778</v>
      </c>
      <c r="C7" s="15" t="s">
        <v>776</v>
      </c>
      <c r="D7" s="15" t="s">
        <v>777</v>
      </c>
      <c r="E7" s="15" t="s">
        <v>780</v>
      </c>
      <c r="F7" s="15" t="s">
        <v>781</v>
      </c>
    </row>
    <row r="8" spans="1:9" s="14" customFormat="1">
      <c r="A8" s="429" t="s">
        <v>793</v>
      </c>
      <c r="E8" s="428"/>
    </row>
    <row r="9" spans="1:9" s="14" customFormat="1">
      <c r="A9" s="15">
        <v>1</v>
      </c>
      <c r="B9" s="14" t="s">
        <v>1275</v>
      </c>
      <c r="E9" s="430">
        <f>+'Exh 10, Plant Additions'!H200</f>
        <v>13586826.540000001</v>
      </c>
    </row>
    <row r="10" spans="1:9" s="14" customFormat="1">
      <c r="A10" s="15"/>
    </row>
    <row r="11" spans="1:9" s="14" customFormat="1">
      <c r="A11" s="15">
        <v>2</v>
      </c>
      <c r="B11" s="46" t="s">
        <v>1988</v>
      </c>
      <c r="C11" s="431">
        <f>E32</f>
        <v>1.1581842116175691E-2</v>
      </c>
    </row>
    <row r="12" spans="1:9" s="14" customFormat="1">
      <c r="A12" s="15">
        <v>3</v>
      </c>
      <c r="B12" s="14" t="s">
        <v>705</v>
      </c>
      <c r="E12" s="366">
        <f>+E9*C11</f>
        <v>157360.47984614564</v>
      </c>
    </row>
    <row r="13" spans="1:9" s="14" customFormat="1">
      <c r="A13" s="15"/>
    </row>
    <row r="14" spans="1:9" s="14" customFormat="1">
      <c r="A14" s="15">
        <v>4</v>
      </c>
      <c r="E14" s="432"/>
    </row>
    <row r="15" spans="1:9" s="14" customFormat="1">
      <c r="A15" s="15"/>
    </row>
    <row r="16" spans="1:9" s="14" customFormat="1">
      <c r="A16" s="15">
        <v>5</v>
      </c>
      <c r="B16" s="14" t="s">
        <v>648</v>
      </c>
      <c r="D16" s="14" t="s">
        <v>792</v>
      </c>
      <c r="E16" s="370">
        <f>+E9</f>
        <v>13586826.540000001</v>
      </c>
      <c r="F16" s="370"/>
    </row>
    <row r="17" spans="1:7" s="14" customFormat="1">
      <c r="A17" s="15"/>
      <c r="E17" s="370"/>
      <c r="F17" s="370"/>
    </row>
    <row r="18" spans="1:7" s="14" customFormat="1">
      <c r="A18" s="15">
        <v>6</v>
      </c>
      <c r="B18" s="14" t="s">
        <v>277</v>
      </c>
      <c r="D18" s="14" t="s">
        <v>1463</v>
      </c>
      <c r="E18" s="370">
        <f>+'Exh 10, Plant Additions'!J223</f>
        <v>868217.01335499994</v>
      </c>
      <c r="F18" s="370">
        <f>+E18</f>
        <v>868217.01335499994</v>
      </c>
    </row>
    <row r="19" spans="1:7" s="14" customFormat="1">
      <c r="A19" s="15">
        <v>7</v>
      </c>
      <c r="B19" s="14" t="s">
        <v>650</v>
      </c>
      <c r="D19" s="14" t="s">
        <v>794</v>
      </c>
      <c r="E19" s="370">
        <f>+E18/2</f>
        <v>434108.50667749997</v>
      </c>
      <c r="F19" s="370"/>
    </row>
    <row r="20" spans="1:7" s="14" customFormat="1">
      <c r="A20" s="15">
        <v>8</v>
      </c>
      <c r="B20" s="14" t="s">
        <v>651</v>
      </c>
      <c r="D20" s="14" t="s">
        <v>795</v>
      </c>
      <c r="E20" s="370">
        <f>+E16*0.0375</f>
        <v>509505.99525000004</v>
      </c>
      <c r="F20" s="370"/>
    </row>
    <row r="21" spans="1:7" s="14" customFormat="1">
      <c r="A21" s="15">
        <v>9</v>
      </c>
      <c r="B21" s="14" t="s">
        <v>90</v>
      </c>
      <c r="D21" s="14" t="s">
        <v>1277</v>
      </c>
      <c r="E21" s="370">
        <f>(+E20-E18)*0.21</f>
        <v>-75329.313802049975</v>
      </c>
      <c r="F21" s="370"/>
    </row>
    <row r="22" spans="1:7" s="14" customFormat="1">
      <c r="A22" s="15">
        <v>10</v>
      </c>
      <c r="B22" s="14" t="s">
        <v>652</v>
      </c>
      <c r="D22" s="14" t="s">
        <v>796</v>
      </c>
      <c r="E22" s="370">
        <f>+E21/2</f>
        <v>-37664.656901024988</v>
      </c>
      <c r="F22" s="370"/>
    </row>
    <row r="23" spans="1:7" s="14" customFormat="1">
      <c r="A23" s="15">
        <v>11</v>
      </c>
      <c r="B23" s="14" t="s">
        <v>653</v>
      </c>
      <c r="D23" s="14" t="s">
        <v>1276</v>
      </c>
      <c r="E23" s="370"/>
      <c r="F23" s="370">
        <f>+F18*0.21</f>
        <v>182325.57280454997</v>
      </c>
    </row>
    <row r="24" spans="1:7" s="14" customFormat="1">
      <c r="A24" s="15"/>
      <c r="E24" s="370"/>
      <c r="F24" s="370"/>
    </row>
    <row r="25" spans="1:7" s="14" customFormat="1">
      <c r="A25" s="15">
        <v>12</v>
      </c>
      <c r="B25" s="14" t="s">
        <v>654</v>
      </c>
      <c r="E25" s="370">
        <f>+E16-E22-E19</f>
        <v>13190382.690223526</v>
      </c>
      <c r="F25" s="370"/>
    </row>
    <row r="26" spans="1:7" s="14" customFormat="1">
      <c r="A26" s="15"/>
      <c r="E26" s="370"/>
      <c r="F26" s="370"/>
    </row>
    <row r="27" spans="1:7" s="14" customFormat="1">
      <c r="A27" s="15">
        <v>13</v>
      </c>
      <c r="B27" s="14" t="s">
        <v>2400</v>
      </c>
      <c r="E27" s="1601">
        <f>'Exh 2, Proof of Revenue'!AG589</f>
        <v>0</v>
      </c>
      <c r="F27" s="232"/>
      <c r="G27" s="370"/>
    </row>
    <row r="28" spans="1:7" s="14" customFormat="1">
      <c r="A28" s="15"/>
      <c r="B28" s="1600" t="s">
        <v>2431</v>
      </c>
      <c r="E28" s="428"/>
      <c r="F28" s="232"/>
      <c r="G28" s="370"/>
    </row>
    <row r="29" spans="1:7" s="14" customFormat="1">
      <c r="A29" s="15" t="s">
        <v>764</v>
      </c>
      <c r="E29" s="428"/>
      <c r="F29" s="370"/>
      <c r="G29" s="370"/>
    </row>
    <row r="30" spans="1:7" s="14" customFormat="1">
      <c r="A30" s="433" t="s">
        <v>1077</v>
      </c>
      <c r="B30" s="235" t="s">
        <v>1989</v>
      </c>
      <c r="C30" s="235"/>
      <c r="D30" s="235"/>
      <c r="E30" s="434">
        <v>241152000</v>
      </c>
      <c r="F30" s="370"/>
      <c r="G30" s="370"/>
    </row>
    <row r="31" spans="1:7" s="14" customFormat="1">
      <c r="A31" s="435"/>
      <c r="B31" s="46" t="s">
        <v>1990</v>
      </c>
      <c r="C31" s="46"/>
      <c r="D31" s="46"/>
      <c r="E31" s="436">
        <v>2792984.39</v>
      </c>
      <c r="F31" s="370"/>
      <c r="G31" s="370"/>
    </row>
    <row r="32" spans="1:7" s="14" customFormat="1">
      <c r="A32" s="437"/>
      <c r="B32" s="236" t="s">
        <v>1078</v>
      </c>
      <c r="C32" s="236"/>
      <c r="D32" s="236"/>
      <c r="E32" s="438">
        <f>E31/E30</f>
        <v>1.1581842116175691E-2</v>
      </c>
      <c r="F32" s="370"/>
      <c r="G32" s="370"/>
    </row>
    <row r="33" spans="5:7">
      <c r="E33" s="3"/>
      <c r="F33" s="136"/>
      <c r="G33" s="136"/>
    </row>
    <row r="34" spans="5:7">
      <c r="F34" s="136"/>
      <c r="G34" s="136"/>
    </row>
    <row r="35" spans="5:7">
      <c r="F35" s="136"/>
      <c r="G35" s="136"/>
    </row>
    <row r="36" spans="5:7">
      <c r="F36" s="136"/>
      <c r="G36" s="136"/>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theme="7" tint="0.79998168889431442"/>
    <pageSetUpPr fitToPage="1"/>
  </sheetPr>
  <dimension ref="A1:K20"/>
  <sheetViews>
    <sheetView zoomScale="80" zoomScaleNormal="80" zoomScaleSheetLayoutView="90" workbookViewId="0">
      <selection activeCell="F27" sqref="F27"/>
    </sheetView>
  </sheetViews>
  <sheetFormatPr defaultColWidth="9.109375" defaultRowHeight="15.6"/>
  <cols>
    <col min="1" max="1" width="9.109375" style="71" customWidth="1"/>
    <col min="2" max="2" width="35.109375" style="71" bestFit="1" customWidth="1"/>
    <col min="3" max="3" width="11" style="71" bestFit="1" customWidth="1"/>
    <col min="4" max="4" width="17.5546875" style="71" bestFit="1" customWidth="1"/>
    <col min="5" max="5" width="13.5546875" style="71" bestFit="1" customWidth="1"/>
    <col min="6" max="6" width="19.6640625" style="71" customWidth="1"/>
    <col min="7" max="7" width="27.109375" style="71" bestFit="1" customWidth="1"/>
    <col min="8" max="8" width="10.109375" style="71" bestFit="1" customWidth="1"/>
    <col min="9" max="16384" width="9.109375" style="71"/>
  </cols>
  <sheetData>
    <row r="1" spans="1:11">
      <c r="A1" s="1926" t="s">
        <v>52</v>
      </c>
      <c r="B1" s="1926"/>
      <c r="C1" s="1926"/>
      <c r="D1" s="1926"/>
      <c r="E1" s="1926"/>
      <c r="F1" s="1926"/>
      <c r="G1" s="1926"/>
      <c r="H1" s="2"/>
      <c r="I1" s="2"/>
      <c r="J1" s="2"/>
      <c r="K1" s="2"/>
    </row>
    <row r="2" spans="1:11">
      <c r="A2" s="1926" t="s">
        <v>1824</v>
      </c>
      <c r="B2" s="1926"/>
      <c r="C2" s="1926"/>
      <c r="D2" s="1926"/>
      <c r="E2" s="1926"/>
      <c r="F2" s="1926"/>
      <c r="G2" s="1926"/>
      <c r="H2" s="2"/>
      <c r="I2" s="2"/>
      <c r="J2" s="2"/>
      <c r="K2" s="2"/>
    </row>
    <row r="3" spans="1:11">
      <c r="A3" s="1926" t="s">
        <v>1359</v>
      </c>
      <c r="B3" s="1926"/>
      <c r="C3" s="1926"/>
      <c r="D3" s="1926"/>
      <c r="E3" s="1926"/>
      <c r="F3" s="1926"/>
      <c r="G3" s="1926"/>
      <c r="H3" s="2"/>
      <c r="I3" s="2"/>
      <c r="J3" s="2"/>
      <c r="K3" s="2"/>
    </row>
    <row r="4" spans="1:11">
      <c r="A4" s="1926" t="s">
        <v>726</v>
      </c>
      <c r="B4" s="1926"/>
      <c r="C4" s="1926"/>
      <c r="D4" s="1926"/>
      <c r="E4" s="1926"/>
      <c r="F4" s="1926"/>
      <c r="G4" s="1926"/>
      <c r="H4" s="2"/>
      <c r="I4" s="2"/>
      <c r="J4" s="2"/>
      <c r="K4" s="2"/>
    </row>
    <row r="5" spans="1:11">
      <c r="A5" s="1926" t="s">
        <v>1823</v>
      </c>
      <c r="B5" s="1926"/>
      <c r="C5" s="1926"/>
      <c r="D5" s="1926"/>
      <c r="E5" s="1926"/>
      <c r="F5" s="1926"/>
      <c r="G5" s="1926"/>
      <c r="H5" s="2"/>
      <c r="I5" s="2"/>
      <c r="J5" s="2"/>
      <c r="K5" s="2"/>
    </row>
    <row r="7" spans="1:11">
      <c r="A7" s="234" t="s">
        <v>649</v>
      </c>
      <c r="B7" s="442" t="s">
        <v>778</v>
      </c>
      <c r="C7" s="442"/>
      <c r="D7" s="442" t="s">
        <v>776</v>
      </c>
      <c r="E7" s="442" t="s">
        <v>777</v>
      </c>
      <c r="F7" s="442" t="s">
        <v>780</v>
      </c>
      <c r="G7" s="443" t="s">
        <v>781</v>
      </c>
    </row>
    <row r="8" spans="1:11">
      <c r="A8" s="220">
        <v>1</v>
      </c>
      <c r="B8" s="813" t="s">
        <v>2448</v>
      </c>
      <c r="C8" s="813" t="s">
        <v>2438</v>
      </c>
      <c r="D8" s="814" t="s">
        <v>2440</v>
      </c>
      <c r="E8" s="814" t="s">
        <v>2441</v>
      </c>
      <c r="F8" s="814" t="s">
        <v>722</v>
      </c>
      <c r="G8" s="443" t="s">
        <v>750</v>
      </c>
    </row>
    <row r="9" spans="1:11">
      <c r="A9" s="220">
        <f>A8+1</f>
        <v>2</v>
      </c>
      <c r="B9" s="443" t="s">
        <v>2445</v>
      </c>
      <c r="C9" s="713">
        <v>5423017.3499999996</v>
      </c>
      <c r="D9" s="713">
        <v>4654756.58</v>
      </c>
      <c r="E9" s="443">
        <v>10</v>
      </c>
      <c r="F9" s="440">
        <f>C9/E9</f>
        <v>542301.73499999999</v>
      </c>
      <c r="G9" s="443" t="s">
        <v>2442</v>
      </c>
    </row>
    <row r="10" spans="1:11">
      <c r="A10" s="220">
        <f t="shared" ref="A10:A16" si="0">A9+1</f>
        <v>3</v>
      </c>
      <c r="B10" s="443" t="s">
        <v>2447</v>
      </c>
      <c r="C10" s="440">
        <v>5432080</v>
      </c>
      <c r="D10" s="440">
        <f>C10</f>
        <v>5432080</v>
      </c>
      <c r="E10" s="443">
        <v>10</v>
      </c>
      <c r="F10" s="440">
        <f>D10/E10</f>
        <v>543208</v>
      </c>
      <c r="G10" s="443" t="s">
        <v>2443</v>
      </c>
    </row>
    <row r="11" spans="1:11">
      <c r="A11" s="220">
        <f t="shared" si="0"/>
        <v>4</v>
      </c>
      <c r="B11" s="813" t="s">
        <v>2446</v>
      </c>
      <c r="C11" s="714">
        <v>2571965</v>
      </c>
      <c r="D11" s="714">
        <f>C11</f>
        <v>2571965</v>
      </c>
      <c r="E11" s="443">
        <v>10</v>
      </c>
      <c r="F11" s="714">
        <f>D11/E11</f>
        <v>257196.5</v>
      </c>
      <c r="G11" s="443" t="s">
        <v>2444</v>
      </c>
    </row>
    <row r="12" spans="1:11">
      <c r="A12" s="220">
        <f t="shared" si="0"/>
        <v>5</v>
      </c>
      <c r="B12" s="443" t="s">
        <v>2439</v>
      </c>
      <c r="C12" s="713">
        <f>SUM(C9:C11)</f>
        <v>13427062.35</v>
      </c>
      <c r="D12" s="713">
        <f>SUM(D9:D11)</f>
        <v>12658801.58</v>
      </c>
      <c r="E12" s="443"/>
      <c r="F12" s="713">
        <f>+F9+F10+F11</f>
        <v>1342706.2349999999</v>
      </c>
      <c r="G12" s="443"/>
    </row>
    <row r="13" spans="1:11">
      <c r="A13" s="220">
        <f t="shared" si="0"/>
        <v>6</v>
      </c>
      <c r="B13" s="443"/>
      <c r="C13" s="443"/>
      <c r="D13" s="443"/>
      <c r="E13" s="443"/>
      <c r="F13" s="440"/>
      <c r="G13" s="443"/>
    </row>
    <row r="14" spans="1:11">
      <c r="A14" s="220">
        <f t="shared" si="0"/>
        <v>7</v>
      </c>
      <c r="B14" s="443" t="s">
        <v>2449</v>
      </c>
      <c r="C14" s="443"/>
      <c r="D14" s="443"/>
      <c r="E14" s="443"/>
      <c r="F14" s="815">
        <f>F12</f>
        <v>1342706.2349999999</v>
      </c>
      <c r="G14" s="443"/>
    </row>
    <row r="15" spans="1:11">
      <c r="A15" s="220">
        <f>A14+1</f>
        <v>8</v>
      </c>
      <c r="B15" s="443" t="s">
        <v>2450</v>
      </c>
      <c r="C15" s="443"/>
      <c r="D15" s="443"/>
      <c r="E15" s="443"/>
      <c r="F15" s="716">
        <v>542301.72</v>
      </c>
      <c r="G15" s="443"/>
    </row>
    <row r="16" spans="1:11" ht="16.2" thickBot="1">
      <c r="A16" s="220">
        <f t="shared" si="0"/>
        <v>9</v>
      </c>
      <c r="B16" s="443" t="s">
        <v>2451</v>
      </c>
      <c r="C16" s="443"/>
      <c r="D16" s="443"/>
      <c r="E16" s="443"/>
      <c r="F16" s="715">
        <f>+F14-F15</f>
        <v>800404.5149999999</v>
      </c>
      <c r="G16" s="443"/>
    </row>
    <row r="17" spans="1:7" ht="18" thickTop="1">
      <c r="A17" s="71" t="s">
        <v>1029</v>
      </c>
      <c r="B17" s="443"/>
      <c r="C17" s="443"/>
      <c r="D17" s="443"/>
      <c r="E17" s="443"/>
      <c r="F17" s="443"/>
      <c r="G17" s="443"/>
    </row>
    <row r="18" spans="1:7">
      <c r="B18" s="443"/>
      <c r="C18" s="443"/>
      <c r="D18" s="443"/>
      <c r="E18" s="443"/>
      <c r="F18" s="443"/>
      <c r="G18" s="443"/>
    </row>
    <row r="19" spans="1:7">
      <c r="B19" s="443"/>
      <c r="C19" s="443"/>
      <c r="D19" s="443"/>
      <c r="E19" s="443"/>
      <c r="F19" s="443"/>
      <c r="G19" s="443"/>
    </row>
    <row r="20" spans="1:7">
      <c r="A20" s="220"/>
    </row>
  </sheetData>
  <mergeCells count="5">
    <mergeCell ref="A1:G1"/>
    <mergeCell ref="A2:G2"/>
    <mergeCell ref="A3:G3"/>
    <mergeCell ref="A4:G4"/>
    <mergeCell ref="A5:G5"/>
  </mergeCells>
  <printOptions horizontalCentered="1"/>
  <pageMargins left="0.7" right="0.7" top="0.75" bottom="0.75" header="0.3" footer="0.3"/>
  <pageSetup scale="91" fitToHeight="0" orientation="landscape" r:id="rId1"/>
  <headerFooter scaleWithDoc="0" alignWithMargins="0">
    <oddHeader>&amp;RPage &amp;P of &amp;N</oddHeader>
    <oddFooter>&amp;LElectronic Tab Name:&amp;A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tabColor theme="7" tint="0.79998168889431442"/>
  </sheetPr>
  <dimension ref="A1:AF899"/>
  <sheetViews>
    <sheetView view="pageBreakPreview" topLeftCell="A10" zoomScale="80" zoomScaleNormal="100" zoomScaleSheetLayoutView="80" workbookViewId="0">
      <pane xSplit="5" topLeftCell="F1" activePane="topRight" state="frozen"/>
      <selection activeCell="F27" sqref="F27"/>
      <selection pane="topRight" activeCell="F27" sqref="F27"/>
    </sheetView>
  </sheetViews>
  <sheetFormatPr defaultColWidth="9.109375" defaultRowHeight="14.4"/>
  <cols>
    <col min="1" max="1" width="3.88671875" style="384" customWidth="1"/>
    <col min="2" max="2" width="13.5546875" style="384" customWidth="1"/>
    <col min="3" max="3" width="7.33203125" style="384" customWidth="1"/>
    <col min="4" max="4" width="5.88671875" style="384" customWidth="1"/>
    <col min="5" max="5" width="51" style="384" bestFit="1" customWidth="1"/>
    <col min="6" max="6" width="17.33203125" style="384" customWidth="1"/>
    <col min="7" max="10" width="16.5546875" style="384" customWidth="1"/>
    <col min="11" max="16" width="17.33203125" style="384" bestFit="1" customWidth="1"/>
    <col min="17" max="18" width="17.33203125" style="384" customWidth="1"/>
    <col min="19" max="19" width="20.44140625" style="384" customWidth="1"/>
    <col min="20" max="20" width="9.109375" style="384"/>
    <col min="21" max="21" width="12.33203125" style="384" bestFit="1" customWidth="1"/>
    <col min="22" max="23" width="15.5546875" style="587" bestFit="1" customWidth="1"/>
    <col min="24" max="24" width="16.5546875" style="587" bestFit="1" customWidth="1"/>
    <col min="25" max="25" width="28.44140625" style="587" bestFit="1" customWidth="1"/>
    <col min="26" max="26" width="15.5546875" style="587" bestFit="1" customWidth="1"/>
    <col min="27" max="27" width="12.88671875" style="384" customWidth="1"/>
    <col min="28" max="28" width="15" style="587" bestFit="1" customWidth="1"/>
    <col min="29" max="29" width="15.5546875" style="384" customWidth="1"/>
    <col min="30" max="30" width="14.5546875" style="384" customWidth="1"/>
    <col min="31" max="31" width="41.109375" style="384" customWidth="1"/>
    <col min="32" max="16384" width="9.109375" style="384"/>
  </cols>
  <sheetData>
    <row r="1" spans="1:32" ht="15.6">
      <c r="A1" s="290" t="s">
        <v>52</v>
      </c>
      <c r="B1" s="604"/>
      <c r="C1" s="604"/>
      <c r="D1" s="604"/>
      <c r="E1" s="604"/>
      <c r="F1" s="488" t="s">
        <v>740</v>
      </c>
      <c r="G1" s="488" t="s">
        <v>740</v>
      </c>
      <c r="H1" s="488" t="s">
        <v>740</v>
      </c>
      <c r="I1" s="488" t="s">
        <v>740</v>
      </c>
      <c r="J1" s="488" t="s">
        <v>740</v>
      </c>
      <c r="K1" s="488" t="s">
        <v>740</v>
      </c>
      <c r="L1" s="488" t="s">
        <v>740</v>
      </c>
      <c r="M1" s="488" t="s">
        <v>740</v>
      </c>
      <c r="N1" s="488" t="s">
        <v>740</v>
      </c>
      <c r="O1" s="488" t="s">
        <v>740</v>
      </c>
      <c r="P1" s="488" t="s">
        <v>740</v>
      </c>
      <c r="Q1" s="488" t="s">
        <v>740</v>
      </c>
      <c r="R1" s="488" t="s">
        <v>740</v>
      </c>
      <c r="S1" s="317"/>
      <c r="T1" s="604"/>
      <c r="U1" s="317"/>
      <c r="V1" s="694"/>
      <c r="W1" s="694"/>
      <c r="X1" s="694"/>
      <c r="Y1" s="694"/>
      <c r="Z1" s="694"/>
      <c r="AA1" s="317"/>
      <c r="AB1" s="694"/>
      <c r="AC1" s="604"/>
      <c r="AD1" s="604"/>
      <c r="AE1" s="604"/>
    </row>
    <row r="2" spans="1:32" ht="15.6">
      <c r="A2" s="290" t="s">
        <v>1817</v>
      </c>
      <c r="B2" s="604"/>
      <c r="C2" s="604"/>
      <c r="D2" s="604"/>
      <c r="E2" s="604"/>
      <c r="F2" s="488"/>
      <c r="G2" s="488"/>
      <c r="H2" s="488"/>
      <c r="I2" s="488"/>
      <c r="J2" s="488"/>
      <c r="K2" s="488"/>
      <c r="L2" s="488"/>
      <c r="M2" s="488"/>
      <c r="N2" s="488"/>
      <c r="O2" s="488"/>
      <c r="P2" s="488"/>
      <c r="Q2" s="488"/>
      <c r="R2" s="488"/>
      <c r="S2" s="317"/>
      <c r="T2" s="604"/>
      <c r="U2" s="317"/>
      <c r="V2" s="694"/>
      <c r="W2" s="694"/>
      <c r="X2" s="694"/>
      <c r="Y2" s="694"/>
      <c r="Z2" s="694"/>
      <c r="AA2" s="317"/>
      <c r="AB2" s="694"/>
      <c r="AC2" s="604"/>
      <c r="AD2" s="604"/>
      <c r="AE2" s="604"/>
    </row>
    <row r="3" spans="1:32" ht="15.6">
      <c r="A3" s="290" t="s">
        <v>1828</v>
      </c>
      <c r="B3" s="604"/>
      <c r="C3" s="604"/>
      <c r="D3" s="604"/>
      <c r="E3" s="604"/>
      <c r="F3" s="488"/>
      <c r="G3" s="488"/>
      <c r="H3" s="488"/>
      <c r="I3" s="488"/>
      <c r="J3" s="488"/>
      <c r="K3" s="488"/>
      <c r="L3" s="488"/>
      <c r="M3" s="488"/>
      <c r="N3" s="488"/>
      <c r="O3" s="488"/>
      <c r="P3" s="488"/>
      <c r="Q3" s="488"/>
      <c r="R3" s="488"/>
      <c r="S3" s="317"/>
      <c r="T3" s="604"/>
      <c r="U3" s="317"/>
      <c r="V3" s="694"/>
      <c r="W3" s="694"/>
      <c r="X3" s="694"/>
      <c r="Y3" s="694"/>
      <c r="Z3" s="694"/>
      <c r="AA3" s="317"/>
      <c r="AB3" s="694"/>
      <c r="AC3" s="604"/>
      <c r="AD3" s="604"/>
      <c r="AE3" s="604"/>
    </row>
    <row r="4" spans="1:32" ht="15.6">
      <c r="A4" s="290"/>
      <c r="B4" s="604"/>
      <c r="C4" s="604"/>
      <c r="D4" s="604"/>
      <c r="E4" s="604"/>
      <c r="F4" s="488"/>
      <c r="G4" s="488"/>
      <c r="H4" s="488"/>
      <c r="I4" s="488"/>
      <c r="J4" s="488"/>
      <c r="K4" s="488"/>
      <c r="L4" s="488"/>
      <c r="M4" s="488"/>
      <c r="N4" s="488"/>
      <c r="O4" s="488"/>
      <c r="P4" s="488"/>
      <c r="Q4" s="488"/>
      <c r="R4" s="488"/>
      <c r="S4" s="317"/>
      <c r="T4" s="604"/>
      <c r="U4" s="317"/>
      <c r="V4" s="694"/>
      <c r="W4" s="694"/>
      <c r="X4" s="694"/>
      <c r="Y4" s="694"/>
      <c r="Z4" s="694"/>
      <c r="AA4" s="317"/>
      <c r="AB4" s="694"/>
      <c r="AC4" s="604"/>
      <c r="AD4" s="604"/>
      <c r="AE4" s="604"/>
    </row>
    <row r="5" spans="1:32">
      <c r="A5" s="604"/>
      <c r="B5" s="604"/>
      <c r="C5" s="604"/>
      <c r="D5" s="604"/>
      <c r="E5" s="604"/>
      <c r="F5" s="488" t="s">
        <v>1305</v>
      </c>
      <c r="G5" s="488" t="s">
        <v>1827</v>
      </c>
      <c r="H5" s="488" t="s">
        <v>1827</v>
      </c>
      <c r="I5" s="488" t="s">
        <v>1827</v>
      </c>
      <c r="J5" s="488" t="s">
        <v>1827</v>
      </c>
      <c r="K5" s="488" t="s">
        <v>1827</v>
      </c>
      <c r="L5" s="488" t="s">
        <v>1827</v>
      </c>
      <c r="M5" s="488" t="s">
        <v>1827</v>
      </c>
      <c r="N5" s="488" t="s">
        <v>1827</v>
      </c>
      <c r="O5" s="488" t="s">
        <v>1827</v>
      </c>
      <c r="P5" s="488" t="s">
        <v>1827</v>
      </c>
      <c r="Q5" s="488" t="s">
        <v>1827</v>
      </c>
      <c r="R5" s="488" t="s">
        <v>1827</v>
      </c>
      <c r="S5" s="317"/>
      <c r="T5" s="604"/>
      <c r="U5" s="317"/>
      <c r="V5" s="694"/>
      <c r="W5" s="694"/>
      <c r="X5" s="694"/>
      <c r="Y5" s="694"/>
      <c r="Z5" s="694"/>
      <c r="AA5" s="317"/>
      <c r="AB5" s="694"/>
      <c r="AC5" s="604"/>
      <c r="AD5" s="604"/>
      <c r="AE5" s="604"/>
    </row>
    <row r="6" spans="1:32">
      <c r="A6" s="604"/>
      <c r="B6" s="604"/>
      <c r="C6" s="604"/>
      <c r="D6" s="604"/>
      <c r="E6" s="604"/>
      <c r="F6" s="488" t="s">
        <v>942</v>
      </c>
      <c r="G6" s="488" t="s">
        <v>942</v>
      </c>
      <c r="H6" s="488" t="s">
        <v>942</v>
      </c>
      <c r="I6" s="488" t="s">
        <v>942</v>
      </c>
      <c r="J6" s="488" t="s">
        <v>942</v>
      </c>
      <c r="K6" s="488" t="s">
        <v>942</v>
      </c>
      <c r="L6" s="488" t="s">
        <v>942</v>
      </c>
      <c r="M6" s="488" t="s">
        <v>942</v>
      </c>
      <c r="N6" s="488" t="s">
        <v>942</v>
      </c>
      <c r="O6" s="488" t="s">
        <v>942</v>
      </c>
      <c r="P6" s="488" t="s">
        <v>942</v>
      </c>
      <c r="Q6" s="488" t="s">
        <v>942</v>
      </c>
      <c r="R6" s="488" t="s">
        <v>942</v>
      </c>
      <c r="S6" s="317"/>
      <c r="T6" s="604"/>
      <c r="U6" s="317"/>
      <c r="V6" s="678"/>
      <c r="W6" s="694"/>
      <c r="X6" s="694"/>
      <c r="Y6" s="694" t="s">
        <v>1083</v>
      </c>
      <c r="Z6" s="694"/>
      <c r="AA6" s="317"/>
      <c r="AB6" s="694"/>
      <c r="AC6" s="604"/>
      <c r="AD6" s="604"/>
      <c r="AE6" s="604"/>
    </row>
    <row r="7" spans="1:32">
      <c r="A7" s="604"/>
      <c r="B7" s="604"/>
      <c r="C7" s="604"/>
      <c r="D7" s="604"/>
      <c r="E7" s="604"/>
      <c r="F7" s="488" t="s">
        <v>1084</v>
      </c>
      <c r="G7" s="488" t="s">
        <v>1084</v>
      </c>
      <c r="H7" s="488" t="s">
        <v>1084</v>
      </c>
      <c r="I7" s="488" t="s">
        <v>1084</v>
      </c>
      <c r="J7" s="488" t="s">
        <v>1084</v>
      </c>
      <c r="K7" s="488" t="s">
        <v>1084</v>
      </c>
      <c r="L7" s="488" t="s">
        <v>1084</v>
      </c>
      <c r="M7" s="488" t="s">
        <v>1084</v>
      </c>
      <c r="N7" s="488" t="s">
        <v>1084</v>
      </c>
      <c r="O7" s="488" t="s">
        <v>1084</v>
      </c>
      <c r="P7" s="488" t="s">
        <v>1084</v>
      </c>
      <c r="Q7" s="488" t="s">
        <v>1084</v>
      </c>
      <c r="R7" s="488" t="s">
        <v>1084</v>
      </c>
      <c r="S7" s="317"/>
      <c r="T7" s="604"/>
      <c r="U7" s="317"/>
      <c r="V7" s="678"/>
      <c r="W7" s="694"/>
      <c r="X7" s="694"/>
      <c r="Y7" s="694" t="s">
        <v>93</v>
      </c>
      <c r="Z7" s="678">
        <f>+'State Allocation Formulas'!C21</f>
        <v>0.75170000000000003</v>
      </c>
      <c r="AA7" s="317"/>
      <c r="AB7" s="694"/>
      <c r="AC7" s="604"/>
      <c r="AD7" s="604"/>
      <c r="AE7" s="604"/>
    </row>
    <row r="8" spans="1:32">
      <c r="A8" s="604"/>
      <c r="B8" s="604"/>
      <c r="C8" s="604"/>
      <c r="D8" s="604"/>
      <c r="E8" s="291"/>
      <c r="F8" s="489" t="s">
        <v>460</v>
      </c>
      <c r="G8" s="489" t="s">
        <v>515</v>
      </c>
      <c r="H8" s="489" t="s">
        <v>549</v>
      </c>
      <c r="I8" s="489" t="s">
        <v>550</v>
      </c>
      <c r="J8" s="489" t="s">
        <v>943</v>
      </c>
      <c r="K8" s="489" t="s">
        <v>944</v>
      </c>
      <c r="L8" s="489" t="s">
        <v>945</v>
      </c>
      <c r="M8" s="489" t="s">
        <v>946</v>
      </c>
      <c r="N8" s="489" t="s">
        <v>376</v>
      </c>
      <c r="O8" s="489" t="s">
        <v>947</v>
      </c>
      <c r="P8" s="489" t="s">
        <v>948</v>
      </c>
      <c r="Q8" s="489" t="s">
        <v>949</v>
      </c>
      <c r="R8" s="489" t="s">
        <v>460</v>
      </c>
      <c r="S8" s="317"/>
      <c r="T8" s="604"/>
      <c r="U8" s="317"/>
      <c r="V8" s="694"/>
      <c r="W8" s="694"/>
      <c r="X8" s="694"/>
      <c r="Y8" s="694" t="s">
        <v>70</v>
      </c>
      <c r="Z8" s="678">
        <f>+'State Allocation Formulas'!D21</f>
        <v>0.24829999999999999</v>
      </c>
      <c r="AA8" s="317"/>
      <c r="AB8" s="694"/>
      <c r="AC8" s="604"/>
      <c r="AD8" s="604"/>
      <c r="AE8" s="604"/>
    </row>
    <row r="9" spans="1:32">
      <c r="A9" s="604"/>
      <c r="B9" s="604"/>
      <c r="C9" s="604"/>
      <c r="D9" s="604"/>
      <c r="E9" s="291"/>
      <c r="F9" s="488" t="s">
        <v>712</v>
      </c>
      <c r="G9" s="488" t="s">
        <v>712</v>
      </c>
      <c r="H9" s="488" t="s">
        <v>712</v>
      </c>
      <c r="I9" s="488" t="s">
        <v>712</v>
      </c>
      <c r="J9" s="488" t="s">
        <v>712</v>
      </c>
      <c r="K9" s="488" t="s">
        <v>712</v>
      </c>
      <c r="L9" s="488" t="s">
        <v>712</v>
      </c>
      <c r="M9" s="488" t="s">
        <v>712</v>
      </c>
      <c r="N9" s="488" t="s">
        <v>712</v>
      </c>
      <c r="O9" s="488" t="s">
        <v>712</v>
      </c>
      <c r="P9" s="488" t="s">
        <v>712</v>
      </c>
      <c r="Q9" s="488" t="s">
        <v>712</v>
      </c>
      <c r="R9" s="488" t="s">
        <v>712</v>
      </c>
      <c r="S9" s="317"/>
      <c r="T9" s="604"/>
      <c r="U9" s="317"/>
      <c r="V9" s="694"/>
      <c r="W9" s="694"/>
      <c r="X9" s="694"/>
      <c r="Y9" s="694"/>
      <c r="Z9" s="694"/>
      <c r="AA9" s="317"/>
      <c r="AB9" s="694"/>
      <c r="AC9" s="604"/>
      <c r="AD9" s="604"/>
      <c r="AE9" s="604"/>
    </row>
    <row r="10" spans="1:32">
      <c r="A10" s="604"/>
      <c r="B10" s="604"/>
      <c r="C10" s="604"/>
      <c r="D10" s="604"/>
      <c r="E10" s="291"/>
      <c r="F10" s="488" t="s">
        <v>741</v>
      </c>
      <c r="G10" s="488" t="s">
        <v>741</v>
      </c>
      <c r="H10" s="488" t="s">
        <v>741</v>
      </c>
      <c r="I10" s="488" t="s">
        <v>741</v>
      </c>
      <c r="J10" s="488" t="s">
        <v>741</v>
      </c>
      <c r="K10" s="488" t="s">
        <v>741</v>
      </c>
      <c r="L10" s="488" t="s">
        <v>741</v>
      </c>
      <c r="M10" s="488" t="s">
        <v>741</v>
      </c>
      <c r="N10" s="488" t="s">
        <v>741</v>
      </c>
      <c r="O10" s="488" t="s">
        <v>741</v>
      </c>
      <c r="P10" s="488" t="s">
        <v>741</v>
      </c>
      <c r="Q10" s="488" t="s">
        <v>741</v>
      </c>
      <c r="R10" s="488" t="s">
        <v>741</v>
      </c>
      <c r="S10" s="317"/>
      <c r="T10" s="604"/>
      <c r="U10" s="317"/>
      <c r="V10" s="694"/>
      <c r="W10" s="694"/>
      <c r="X10" s="694"/>
      <c r="Y10" s="694"/>
      <c r="Z10" s="694"/>
      <c r="AA10" s="317"/>
      <c r="AB10" s="694"/>
      <c r="AC10" s="604"/>
      <c r="AD10" s="604"/>
      <c r="AE10" s="604"/>
    </row>
    <row r="11" spans="1:32">
      <c r="A11" s="604"/>
      <c r="B11" s="1972" t="s">
        <v>1085</v>
      </c>
      <c r="C11" s="490"/>
      <c r="D11" s="1972" t="s">
        <v>1086</v>
      </c>
      <c r="E11" s="604"/>
      <c r="F11" s="604"/>
      <c r="G11" s="604"/>
      <c r="H11" s="604"/>
      <c r="I11" s="604"/>
      <c r="J11" s="604"/>
      <c r="K11" s="604"/>
      <c r="L11" s="604"/>
      <c r="M11" s="604"/>
      <c r="N11" s="604"/>
      <c r="O11" s="604"/>
      <c r="P11" s="604"/>
      <c r="Q11" s="604"/>
      <c r="R11" s="604"/>
      <c r="S11" s="317"/>
      <c r="T11" s="604"/>
      <c r="U11" s="317"/>
      <c r="V11" s="694"/>
      <c r="W11" s="694"/>
      <c r="X11" s="694"/>
      <c r="Y11" s="695" t="s">
        <v>1087</v>
      </c>
      <c r="Z11" s="696"/>
      <c r="AA11" s="697"/>
      <c r="AB11" s="694"/>
      <c r="AC11" s="604"/>
      <c r="AD11" s="604"/>
      <c r="AE11" s="604"/>
    </row>
    <row r="12" spans="1:32">
      <c r="A12" s="491" t="s">
        <v>1088</v>
      </c>
      <c r="B12" s="1972"/>
      <c r="C12" s="490" t="s">
        <v>768</v>
      </c>
      <c r="D12" s="1972"/>
      <c r="E12" s="604"/>
      <c r="F12" s="604"/>
      <c r="G12" s="604"/>
      <c r="H12" s="604"/>
      <c r="I12" s="604"/>
      <c r="J12" s="604"/>
      <c r="K12" s="604"/>
      <c r="L12" s="604"/>
      <c r="M12" s="604"/>
      <c r="N12" s="604"/>
      <c r="O12" s="604"/>
      <c r="P12" s="604"/>
      <c r="Q12" s="604"/>
      <c r="R12" s="604"/>
      <c r="S12" s="317"/>
      <c r="T12" s="604"/>
      <c r="U12" s="698" t="s">
        <v>1089</v>
      </c>
      <c r="V12" s="699" t="s">
        <v>1089</v>
      </c>
      <c r="W12" s="699" t="s">
        <v>365</v>
      </c>
      <c r="X12" s="699" t="s">
        <v>51</v>
      </c>
      <c r="Y12" s="694"/>
      <c r="Z12" s="694"/>
      <c r="AA12" s="317"/>
      <c r="AB12" s="694"/>
      <c r="AC12" s="604"/>
      <c r="AD12" s="604"/>
      <c r="AE12" s="604"/>
    </row>
    <row r="13" spans="1:32">
      <c r="A13" s="491" t="s">
        <v>1090</v>
      </c>
      <c r="B13" s="490" t="s">
        <v>1091</v>
      </c>
      <c r="C13" s="490" t="s">
        <v>1090</v>
      </c>
      <c r="D13" s="490" t="s">
        <v>768</v>
      </c>
      <c r="E13" s="604"/>
      <c r="F13" s="292" t="s">
        <v>1375</v>
      </c>
      <c r="G13" s="492" t="s">
        <v>1929</v>
      </c>
      <c r="H13" s="292" t="s">
        <v>1930</v>
      </c>
      <c r="I13" s="292" t="s">
        <v>1931</v>
      </c>
      <c r="J13" s="292" t="s">
        <v>1932</v>
      </c>
      <c r="K13" s="292" t="s">
        <v>1933</v>
      </c>
      <c r="L13" s="292" t="s">
        <v>1934</v>
      </c>
      <c r="M13" s="292" t="s">
        <v>1935</v>
      </c>
      <c r="N13" s="292" t="s">
        <v>1936</v>
      </c>
      <c r="O13" s="292" t="s">
        <v>1937</v>
      </c>
      <c r="P13" s="292" t="s">
        <v>1938</v>
      </c>
      <c r="Q13" s="292" t="s">
        <v>1939</v>
      </c>
      <c r="R13" s="292" t="s">
        <v>1940</v>
      </c>
      <c r="S13" s="293" t="s">
        <v>797</v>
      </c>
      <c r="T13" s="604"/>
      <c r="U13" s="698" t="s">
        <v>1092</v>
      </c>
      <c r="V13" s="699" t="s">
        <v>1093</v>
      </c>
      <c r="W13" s="699" t="s">
        <v>366</v>
      </c>
      <c r="X13" s="699" t="s">
        <v>367</v>
      </c>
      <c r="Y13" s="699" t="s">
        <v>359</v>
      </c>
      <c r="Z13" s="699" t="s">
        <v>721</v>
      </c>
      <c r="AA13" s="698" t="s">
        <v>1094</v>
      </c>
      <c r="AB13" s="699" t="s">
        <v>1095</v>
      </c>
      <c r="AC13" s="604" t="s">
        <v>358</v>
      </c>
      <c r="AD13" s="604" t="s">
        <v>1096</v>
      </c>
      <c r="AE13" s="604"/>
    </row>
    <row r="14" spans="1:32">
      <c r="A14" s="491"/>
      <c r="B14" s="490"/>
      <c r="C14" s="490"/>
      <c r="D14" s="490"/>
      <c r="E14" s="604"/>
      <c r="F14" s="332"/>
      <c r="G14" s="493"/>
      <c r="H14" s="332"/>
      <c r="I14" s="332"/>
      <c r="J14" s="332"/>
      <c r="K14" s="332"/>
      <c r="L14" s="332"/>
      <c r="M14" s="332"/>
      <c r="N14" s="332"/>
      <c r="O14" s="332"/>
      <c r="P14" s="332"/>
      <c r="Q14" s="332"/>
      <c r="R14" s="332"/>
      <c r="S14" s="333" t="s">
        <v>97</v>
      </c>
      <c r="T14" s="604"/>
      <c r="U14" s="700" t="s">
        <v>98</v>
      </c>
      <c r="V14" s="701" t="s">
        <v>1097</v>
      </c>
      <c r="W14" s="701" t="s">
        <v>1098</v>
      </c>
      <c r="X14" s="701" t="s">
        <v>1099</v>
      </c>
      <c r="Y14" s="701" t="s">
        <v>1100</v>
      </c>
      <c r="Z14" s="701" t="s">
        <v>1101</v>
      </c>
      <c r="AA14" s="700"/>
      <c r="AB14" s="701" t="s">
        <v>1102</v>
      </c>
      <c r="AC14" s="643"/>
      <c r="AD14" s="643"/>
      <c r="AE14" s="643"/>
    </row>
    <row r="15" spans="1:32">
      <c r="A15" s="604">
        <v>1</v>
      </c>
      <c r="B15" s="316" t="s">
        <v>956</v>
      </c>
      <c r="C15" s="316" t="s">
        <v>368</v>
      </c>
      <c r="D15" s="604" t="s">
        <v>369</v>
      </c>
      <c r="E15" s="602" t="s">
        <v>370</v>
      </c>
      <c r="F15" s="603">
        <v>1054152346.6799999</v>
      </c>
      <c r="G15" s="603">
        <v>1055924116.6</v>
      </c>
      <c r="H15" s="603">
        <v>1057151346.5</v>
      </c>
      <c r="I15" s="603">
        <v>1056996938.39</v>
      </c>
      <c r="J15" s="603">
        <v>1057817061.09</v>
      </c>
      <c r="K15" s="603">
        <v>1061184611.87</v>
      </c>
      <c r="L15" s="603">
        <v>1061776905.48</v>
      </c>
      <c r="M15" s="603">
        <v>1059049576.8</v>
      </c>
      <c r="N15" s="603">
        <v>1061962190.64</v>
      </c>
      <c r="O15" s="603">
        <v>1063685158.17</v>
      </c>
      <c r="P15" s="603">
        <v>1067686772.83</v>
      </c>
      <c r="Q15" s="603">
        <v>1048741854.72</v>
      </c>
      <c r="R15" s="603">
        <v>1079798325.22</v>
      </c>
      <c r="S15" s="484">
        <f>((F15+R15)+((G15+H15+I15+J15+K15+L15+M15+N15+O15+P15+Q15)*2))/24</f>
        <v>1059912655.7533334</v>
      </c>
      <c r="T15" s="604"/>
      <c r="U15" s="642"/>
      <c r="V15" s="679"/>
      <c r="W15" s="679"/>
      <c r="X15" s="702">
        <f>+S15</f>
        <v>1059912655.7533334</v>
      </c>
      <c r="Y15" s="679">
        <f>+X15*Z7</f>
        <v>796736343.32978082</v>
      </c>
      <c r="Z15" s="679">
        <f>+X15*Z8</f>
        <v>263176312.42355269</v>
      </c>
      <c r="AA15" s="642"/>
      <c r="AB15" s="679"/>
      <c r="AC15" s="643"/>
      <c r="AD15" s="643"/>
      <c r="AE15" s="643" t="s">
        <v>1420</v>
      </c>
      <c r="AF15" s="677">
        <f t="shared" ref="AF15:AF85" si="0">+U15+V15-AD15</f>
        <v>0</v>
      </c>
    </row>
    <row r="16" spans="1:32">
      <c r="A16" s="604">
        <v>2</v>
      </c>
      <c r="B16" s="316" t="s">
        <v>956</v>
      </c>
      <c r="C16" s="316" t="s">
        <v>368</v>
      </c>
      <c r="D16" s="604">
        <v>20</v>
      </c>
      <c r="E16" s="602" t="s">
        <v>1829</v>
      </c>
      <c r="F16" s="603">
        <v>0</v>
      </c>
      <c r="G16" s="603">
        <v>0</v>
      </c>
      <c r="H16" s="603">
        <v>0</v>
      </c>
      <c r="I16" s="603">
        <v>0</v>
      </c>
      <c r="J16" s="603">
        <v>0</v>
      </c>
      <c r="K16" s="603">
        <v>0</v>
      </c>
      <c r="L16" s="603">
        <v>0</v>
      </c>
      <c r="M16" s="603">
        <v>0</v>
      </c>
      <c r="N16" s="603">
        <v>0</v>
      </c>
      <c r="O16" s="603">
        <v>0</v>
      </c>
      <c r="P16" s="603">
        <v>0</v>
      </c>
      <c r="Q16" s="603">
        <v>0</v>
      </c>
      <c r="R16" s="603">
        <v>0</v>
      </c>
      <c r="S16" s="484">
        <f>((F16+R16)+((G16+H16+I16+J16+K16+L16+M16+N16+O16+P16+Q16)*2))/24</f>
        <v>0</v>
      </c>
      <c r="T16" s="604"/>
      <c r="U16" s="642"/>
      <c r="V16" s="679"/>
      <c r="W16" s="679"/>
      <c r="X16" s="702"/>
      <c r="Y16" s="679"/>
      <c r="Z16" s="679"/>
      <c r="AA16" s="642"/>
      <c r="AB16" s="679"/>
      <c r="AC16" s="643"/>
      <c r="AD16" s="643"/>
      <c r="AE16" s="643"/>
      <c r="AF16" s="677"/>
    </row>
    <row r="17" spans="1:32">
      <c r="A17" s="604">
        <v>3</v>
      </c>
      <c r="B17" s="316" t="s">
        <v>956</v>
      </c>
      <c r="C17" s="676">
        <v>1014</v>
      </c>
      <c r="D17" s="604"/>
      <c r="E17" s="602" t="s">
        <v>1830</v>
      </c>
      <c r="F17" s="603">
        <v>0</v>
      </c>
      <c r="G17" s="603">
        <v>0</v>
      </c>
      <c r="H17" s="603">
        <v>0</v>
      </c>
      <c r="I17" s="603">
        <v>0</v>
      </c>
      <c r="J17" s="603">
        <v>0</v>
      </c>
      <c r="K17" s="603">
        <v>0</v>
      </c>
      <c r="L17" s="603">
        <v>0</v>
      </c>
      <c r="M17" s="603">
        <v>0</v>
      </c>
      <c r="N17" s="603">
        <v>0</v>
      </c>
      <c r="O17" s="603">
        <v>0</v>
      </c>
      <c r="P17" s="603">
        <v>0</v>
      </c>
      <c r="Q17" s="603">
        <v>22184758.190000001</v>
      </c>
      <c r="R17" s="603">
        <v>26337831.030000001</v>
      </c>
      <c r="S17" s="484">
        <f>((F17+R17)+((G17+H17+I17+J17+K17+L17+M17+N17+O17+P17+Q17)*2))/24</f>
        <v>2946139.4754166664</v>
      </c>
      <c r="T17" s="604"/>
      <c r="U17" s="642"/>
      <c r="V17" s="679"/>
      <c r="W17" s="679"/>
      <c r="X17" s="702">
        <f>+S17</f>
        <v>2946139.4754166664</v>
      </c>
      <c r="Y17" s="679">
        <f>+X17*Z7</f>
        <v>2214613.0436707083</v>
      </c>
      <c r="Z17" s="679">
        <f>+X17*Z8</f>
        <v>731526.43174595828</v>
      </c>
      <c r="AA17" s="642"/>
      <c r="AB17" s="679"/>
      <c r="AC17" s="643"/>
      <c r="AD17" s="643"/>
      <c r="AE17" s="643"/>
      <c r="AF17" s="677"/>
    </row>
    <row r="18" spans="1:32">
      <c r="A18" s="604">
        <v>4</v>
      </c>
      <c r="B18" s="316" t="s">
        <v>956</v>
      </c>
      <c r="C18" s="316" t="s">
        <v>371</v>
      </c>
      <c r="D18" s="604" t="s">
        <v>369</v>
      </c>
      <c r="E18" s="602" t="s">
        <v>372</v>
      </c>
      <c r="F18" s="603">
        <v>23074397.219999999</v>
      </c>
      <c r="G18" s="603">
        <v>25636100.859999999</v>
      </c>
      <c r="H18" s="603">
        <v>26460002.859999999</v>
      </c>
      <c r="I18" s="603">
        <v>30259467.850000001</v>
      </c>
      <c r="J18" s="603">
        <v>35060804.75</v>
      </c>
      <c r="K18" s="603">
        <v>36694345.130000003</v>
      </c>
      <c r="L18" s="603">
        <v>43280496.119999997</v>
      </c>
      <c r="M18" s="603">
        <v>46425665.93</v>
      </c>
      <c r="N18" s="603">
        <v>47962396.149999999</v>
      </c>
      <c r="O18" s="603">
        <v>53217186.020000003</v>
      </c>
      <c r="P18" s="603">
        <v>58768625.030000001</v>
      </c>
      <c r="Q18" s="603">
        <v>61542284.5</v>
      </c>
      <c r="R18" s="603">
        <v>42079945.729999997</v>
      </c>
      <c r="S18" s="484">
        <f>((F18+R18)+((G18+H18+I18+J18+K18+L18+M18+N18+O18+P18+Q18)*2))/24</f>
        <v>41490378.889583327</v>
      </c>
      <c r="T18" s="604"/>
      <c r="U18" s="642"/>
      <c r="V18" s="679"/>
      <c r="W18" s="679"/>
      <c r="X18" s="702">
        <f>+S18</f>
        <v>41490378.889583327</v>
      </c>
      <c r="Y18" s="679">
        <f>+X18*Z7</f>
        <v>31188317.81129979</v>
      </c>
      <c r="Z18" s="679">
        <f>+X18*Z8</f>
        <v>10302061.078283539</v>
      </c>
      <c r="AA18" s="642"/>
      <c r="AB18" s="679"/>
      <c r="AC18" s="643"/>
      <c r="AD18" s="643"/>
      <c r="AE18" s="643"/>
      <c r="AF18" s="677">
        <f t="shared" si="0"/>
        <v>0</v>
      </c>
    </row>
    <row r="19" spans="1:32">
      <c r="A19" s="604">
        <v>5</v>
      </c>
      <c r="B19" s="316" t="s">
        <v>956</v>
      </c>
      <c r="C19" s="316" t="s">
        <v>1831</v>
      </c>
      <c r="D19" s="316" t="s">
        <v>369</v>
      </c>
      <c r="E19" s="602" t="s">
        <v>373</v>
      </c>
      <c r="F19" s="603">
        <v>12854207.49</v>
      </c>
      <c r="G19" s="603">
        <v>13819507.289999999</v>
      </c>
      <c r="H19" s="603">
        <v>13773216.529999999</v>
      </c>
      <c r="I19" s="603">
        <v>15102320.949999999</v>
      </c>
      <c r="J19" s="603">
        <v>15365374.09</v>
      </c>
      <c r="K19" s="603">
        <v>17755694.91</v>
      </c>
      <c r="L19" s="603">
        <v>18176560.02</v>
      </c>
      <c r="M19" s="603">
        <v>24545725.66</v>
      </c>
      <c r="N19" s="603">
        <v>29893359.829999998</v>
      </c>
      <c r="O19" s="603">
        <v>28173698.039999999</v>
      </c>
      <c r="P19" s="603">
        <v>30659061.289999999</v>
      </c>
      <c r="Q19" s="603">
        <v>35235497.299999997</v>
      </c>
      <c r="R19" s="603">
        <v>31106071.859999999</v>
      </c>
      <c r="S19" s="484">
        <f>((F19+R19)+((G19+H19+I19+J19+K19+L19+M19+N19+O19+P19+Q19)*2))/24</f>
        <v>22040012.965416666</v>
      </c>
      <c r="T19" s="604"/>
      <c r="U19" s="642"/>
      <c r="V19" s="679"/>
      <c r="W19" s="679"/>
      <c r="X19" s="702">
        <f>+S19</f>
        <v>22040012.965416666</v>
      </c>
      <c r="Y19" s="679"/>
      <c r="Z19" s="679"/>
      <c r="AA19" s="642"/>
      <c r="AB19" s="679">
        <f>+S19</f>
        <v>22040012.965416666</v>
      </c>
      <c r="AC19" s="643"/>
      <c r="AD19" s="643"/>
      <c r="AE19" s="643"/>
      <c r="AF19" s="677">
        <f t="shared" si="0"/>
        <v>0</v>
      </c>
    </row>
    <row r="20" spans="1:32">
      <c r="A20" s="604">
        <v>6</v>
      </c>
      <c r="B20" s="604"/>
      <c r="C20" s="604"/>
      <c r="D20" s="604"/>
      <c r="E20" s="602" t="s">
        <v>374</v>
      </c>
      <c r="F20" s="295">
        <f t="shared" ref="F20:S20" si="1">SUM(F15:F19)</f>
        <v>1090080951.3899999</v>
      </c>
      <c r="G20" s="295">
        <f t="shared" si="1"/>
        <v>1095379724.75</v>
      </c>
      <c r="H20" s="295">
        <f t="shared" si="1"/>
        <v>1097384565.8899999</v>
      </c>
      <c r="I20" s="295">
        <f t="shared" si="1"/>
        <v>1102358727.1900001</v>
      </c>
      <c r="J20" s="295">
        <f t="shared" si="1"/>
        <v>1108243239.9300001</v>
      </c>
      <c r="K20" s="295">
        <f t="shared" si="1"/>
        <v>1115634651.9100001</v>
      </c>
      <c r="L20" s="295">
        <f t="shared" si="1"/>
        <v>1123233961.6199999</v>
      </c>
      <c r="M20" s="295">
        <f t="shared" si="1"/>
        <v>1130020968.3900001</v>
      </c>
      <c r="N20" s="295">
        <f t="shared" si="1"/>
        <v>1139817946.6199999</v>
      </c>
      <c r="O20" s="295">
        <f t="shared" si="1"/>
        <v>1145076042.23</v>
      </c>
      <c r="P20" s="295">
        <f t="shared" si="1"/>
        <v>1157114459.1500001</v>
      </c>
      <c r="Q20" s="295">
        <f t="shared" si="1"/>
        <v>1167704394.71</v>
      </c>
      <c r="R20" s="295">
        <f t="shared" si="1"/>
        <v>1179322173.8399999</v>
      </c>
      <c r="S20" s="486">
        <f t="shared" si="1"/>
        <v>1126389187.08375</v>
      </c>
      <c r="T20" s="604"/>
      <c r="U20" s="642"/>
      <c r="V20" s="679"/>
      <c r="W20" s="679"/>
      <c r="X20" s="702"/>
      <c r="Y20" s="679"/>
      <c r="Z20" s="679"/>
      <c r="AA20" s="642"/>
      <c r="AB20" s="679"/>
      <c r="AC20" s="643"/>
      <c r="AD20" s="643"/>
      <c r="AE20" s="643"/>
      <c r="AF20" s="677">
        <f t="shared" si="0"/>
        <v>0</v>
      </c>
    </row>
    <row r="21" spans="1:32">
      <c r="A21" s="604">
        <v>7</v>
      </c>
      <c r="B21" s="604"/>
      <c r="C21" s="604"/>
      <c r="D21" s="604"/>
      <c r="E21" s="602"/>
      <c r="F21" s="296"/>
      <c r="G21" s="494"/>
      <c r="H21" s="594"/>
      <c r="I21" s="594"/>
      <c r="J21" s="297"/>
      <c r="K21" s="598"/>
      <c r="L21" s="298"/>
      <c r="M21" s="299"/>
      <c r="N21" s="300"/>
      <c r="O21" s="301"/>
      <c r="P21" s="302"/>
      <c r="Q21" s="495"/>
      <c r="R21" s="296"/>
      <c r="S21" s="294"/>
      <c r="T21" s="604"/>
      <c r="U21" s="642"/>
      <c r="V21" s="679"/>
      <c r="W21" s="679"/>
      <c r="X21" s="702"/>
      <c r="Y21" s="679"/>
      <c r="Z21" s="679"/>
      <c r="AA21" s="642"/>
      <c r="AB21" s="679"/>
      <c r="AC21" s="643"/>
      <c r="AD21" s="643"/>
      <c r="AE21" s="643"/>
      <c r="AF21" s="677">
        <f t="shared" si="0"/>
        <v>0</v>
      </c>
    </row>
    <row r="22" spans="1:32">
      <c r="A22" s="604">
        <v>8</v>
      </c>
      <c r="B22" s="316" t="s">
        <v>956</v>
      </c>
      <c r="C22" s="316" t="s">
        <v>375</v>
      </c>
      <c r="D22" s="316" t="s">
        <v>376</v>
      </c>
      <c r="E22" s="590" t="s">
        <v>377</v>
      </c>
      <c r="F22" s="603">
        <v>205126.12</v>
      </c>
      <c r="G22" s="603">
        <v>104875.47</v>
      </c>
      <c r="H22" s="603">
        <v>1319478.07</v>
      </c>
      <c r="I22" s="603">
        <v>1339118.55</v>
      </c>
      <c r="J22" s="603">
        <v>1543414.16</v>
      </c>
      <c r="K22" s="603">
        <v>1621814.41</v>
      </c>
      <c r="L22" s="603">
        <v>1714099.23</v>
      </c>
      <c r="M22" s="603">
        <v>1785987.33</v>
      </c>
      <c r="N22" s="603">
        <v>1115790.24</v>
      </c>
      <c r="O22" s="603">
        <v>2019796.58</v>
      </c>
      <c r="P22" s="603">
        <v>2301942.16</v>
      </c>
      <c r="Q22" s="603">
        <v>1860887.28</v>
      </c>
      <c r="R22" s="603">
        <v>4047450.78</v>
      </c>
      <c r="S22" s="484">
        <f t="shared" ref="S22:S27" si="2">((F22+R22)+((G22+H22+I22+J22+K22+L22+M22+N22+O22+P22+Q22)*2))/24</f>
        <v>1571124.3274999999</v>
      </c>
      <c r="T22" s="604"/>
      <c r="U22" s="642"/>
      <c r="V22" s="679"/>
      <c r="W22" s="679"/>
      <c r="X22" s="702">
        <f>+S22</f>
        <v>1571124.3274999999</v>
      </c>
      <c r="Y22" s="679">
        <f>+X22*Z7</f>
        <v>1181014.1569817499</v>
      </c>
      <c r="Z22" s="679">
        <f>+X22*Z8</f>
        <v>390110.17051824997</v>
      </c>
      <c r="AA22" s="642"/>
      <c r="AB22" s="679"/>
      <c r="AC22" s="643"/>
      <c r="AD22" s="643"/>
      <c r="AE22" s="643"/>
      <c r="AF22" s="677">
        <f t="shared" si="0"/>
        <v>0</v>
      </c>
    </row>
    <row r="23" spans="1:32">
      <c r="A23" s="604">
        <v>9</v>
      </c>
      <c r="B23" s="316" t="s">
        <v>956</v>
      </c>
      <c r="C23" s="316" t="s">
        <v>375</v>
      </c>
      <c r="D23" s="316"/>
      <c r="E23" s="602" t="s">
        <v>378</v>
      </c>
      <c r="F23" s="603">
        <v>-333307309.50999999</v>
      </c>
      <c r="G23" s="603">
        <v>-334784379.86000001</v>
      </c>
      <c r="H23" s="603">
        <v>-336111297.52999997</v>
      </c>
      <c r="I23" s="603">
        <v>-337593470.36000001</v>
      </c>
      <c r="J23" s="603">
        <v>-339115841.30000001</v>
      </c>
      <c r="K23" s="603">
        <v>-340567118.13999999</v>
      </c>
      <c r="L23" s="603">
        <v>-342228662.63999999</v>
      </c>
      <c r="M23" s="603">
        <v>-339697837.17000002</v>
      </c>
      <c r="N23" s="603">
        <v>-341480619.95999998</v>
      </c>
      <c r="O23" s="603">
        <v>-343008173.07999998</v>
      </c>
      <c r="P23" s="603">
        <v>-344743995.41000003</v>
      </c>
      <c r="Q23" s="603">
        <v>-341591960.01999998</v>
      </c>
      <c r="R23" s="603">
        <v>-341582191.66000003</v>
      </c>
      <c r="S23" s="484">
        <f t="shared" si="2"/>
        <v>-339864008.83791667</v>
      </c>
      <c r="T23" s="604"/>
      <c r="U23" s="642"/>
      <c r="V23" s="679"/>
      <c r="W23" s="679"/>
      <c r="X23" s="702"/>
      <c r="Y23" s="679"/>
      <c r="Z23" s="679"/>
      <c r="AA23" s="642"/>
      <c r="AB23" s="679"/>
      <c r="AC23" s="643"/>
      <c r="AD23" s="643"/>
      <c r="AE23" s="643"/>
      <c r="AF23" s="677">
        <f t="shared" si="0"/>
        <v>0</v>
      </c>
    </row>
    <row r="24" spans="1:32">
      <c r="A24" s="604">
        <v>10</v>
      </c>
      <c r="B24" s="316" t="s">
        <v>956</v>
      </c>
      <c r="C24" s="316" t="s">
        <v>375</v>
      </c>
      <c r="D24" s="316">
        <v>20</v>
      </c>
      <c r="E24" s="602" t="s">
        <v>1832</v>
      </c>
      <c r="F24" s="603">
        <v>0</v>
      </c>
      <c r="G24" s="603">
        <v>0</v>
      </c>
      <c r="H24" s="603">
        <v>0</v>
      </c>
      <c r="I24" s="603">
        <v>0</v>
      </c>
      <c r="J24" s="603">
        <v>0</v>
      </c>
      <c r="K24" s="603">
        <v>0</v>
      </c>
      <c r="L24" s="603">
        <v>0</v>
      </c>
      <c r="M24" s="603">
        <v>0</v>
      </c>
      <c r="N24" s="603">
        <v>0</v>
      </c>
      <c r="O24" s="603">
        <v>0</v>
      </c>
      <c r="P24" s="603">
        <v>0</v>
      </c>
      <c r="Q24" s="603">
        <v>0</v>
      </c>
      <c r="R24" s="603">
        <v>0</v>
      </c>
      <c r="S24" s="484">
        <f t="shared" si="2"/>
        <v>0</v>
      </c>
      <c r="T24" s="604"/>
      <c r="U24" s="642"/>
      <c r="V24" s="679"/>
      <c r="W24" s="679"/>
      <c r="X24" s="702"/>
      <c r="Y24" s="679"/>
      <c r="Z24" s="679"/>
      <c r="AA24" s="642"/>
      <c r="AB24" s="679"/>
      <c r="AC24" s="643"/>
      <c r="AD24" s="643"/>
      <c r="AE24" s="643"/>
      <c r="AF24" s="677"/>
    </row>
    <row r="25" spans="1:32">
      <c r="A25" s="604">
        <v>11</v>
      </c>
      <c r="B25" s="316" t="s">
        <v>956</v>
      </c>
      <c r="C25" s="316" t="s">
        <v>1834</v>
      </c>
      <c r="D25" s="316"/>
      <c r="E25" s="602" t="s">
        <v>1833</v>
      </c>
      <c r="F25" s="603">
        <v>0</v>
      </c>
      <c r="G25" s="603">
        <v>0</v>
      </c>
      <c r="H25" s="603">
        <v>0</v>
      </c>
      <c r="I25" s="603">
        <v>0</v>
      </c>
      <c r="J25" s="603">
        <v>0</v>
      </c>
      <c r="K25" s="603">
        <v>0</v>
      </c>
      <c r="L25" s="603">
        <v>0</v>
      </c>
      <c r="M25" s="603">
        <v>0</v>
      </c>
      <c r="N25" s="603">
        <v>0</v>
      </c>
      <c r="O25" s="603">
        <v>0</v>
      </c>
      <c r="P25" s="603">
        <v>0</v>
      </c>
      <c r="Q25" s="603">
        <v>-4686032.05</v>
      </c>
      <c r="R25" s="603">
        <v>-4689205.91</v>
      </c>
      <c r="S25" s="484">
        <f t="shared" si="2"/>
        <v>-585886.25041666662</v>
      </c>
      <c r="T25" s="604"/>
      <c r="U25" s="642"/>
      <c r="V25" s="679"/>
      <c r="W25" s="679"/>
      <c r="X25" s="702"/>
      <c r="Y25" s="679"/>
      <c r="Z25" s="679"/>
      <c r="AA25" s="642"/>
      <c r="AB25" s="679"/>
      <c r="AC25" s="643"/>
      <c r="AD25" s="643"/>
      <c r="AE25" s="643"/>
      <c r="AF25" s="677"/>
    </row>
    <row r="26" spans="1:32">
      <c r="A26" s="604">
        <v>12</v>
      </c>
      <c r="B26" s="316" t="s">
        <v>956</v>
      </c>
      <c r="C26" s="316" t="s">
        <v>379</v>
      </c>
      <c r="D26" s="316"/>
      <c r="E26" s="602" t="s">
        <v>380</v>
      </c>
      <c r="F26" s="603">
        <v>-17326335.18</v>
      </c>
      <c r="G26" s="603">
        <v>-17614916.079999998</v>
      </c>
      <c r="H26" s="603">
        <v>-17903465.52</v>
      </c>
      <c r="I26" s="603">
        <v>-18079439.760000002</v>
      </c>
      <c r="J26" s="603">
        <v>-18365436.079999998</v>
      </c>
      <c r="K26" s="603">
        <v>-18652274.399999999</v>
      </c>
      <c r="L26" s="603">
        <v>-18939112.719999999</v>
      </c>
      <c r="M26" s="603">
        <v>-19225952.59</v>
      </c>
      <c r="N26" s="603">
        <v>-19512941.600000001</v>
      </c>
      <c r="O26" s="603">
        <v>-19799936.050000001</v>
      </c>
      <c r="P26" s="603">
        <v>-20090430.530000001</v>
      </c>
      <c r="Q26" s="603">
        <v>-20380051.460000001</v>
      </c>
      <c r="R26" s="603">
        <v>-20671419.25</v>
      </c>
      <c r="S26" s="484">
        <f t="shared" si="2"/>
        <v>-18963569.50041667</v>
      </c>
      <c r="T26" s="604"/>
      <c r="U26" s="642"/>
      <c r="V26" s="679"/>
      <c r="W26" s="679"/>
      <c r="X26" s="702"/>
      <c r="Y26" s="679"/>
      <c r="Z26" s="679"/>
      <c r="AA26" s="642"/>
      <c r="AB26" s="679"/>
      <c r="AC26" s="643"/>
      <c r="AD26" s="643"/>
      <c r="AE26" s="643"/>
      <c r="AF26" s="677">
        <f t="shared" si="0"/>
        <v>0</v>
      </c>
    </row>
    <row r="27" spans="1:32">
      <c r="A27" s="604">
        <v>13</v>
      </c>
      <c r="B27" s="316" t="s">
        <v>956</v>
      </c>
      <c r="C27" s="316" t="s">
        <v>381</v>
      </c>
      <c r="D27" s="316"/>
      <c r="E27" s="602" t="s">
        <v>382</v>
      </c>
      <c r="F27" s="303">
        <v>0</v>
      </c>
      <c r="G27" s="303">
        <v>0</v>
      </c>
      <c r="H27" s="303">
        <v>0</v>
      </c>
      <c r="I27" s="303">
        <v>0</v>
      </c>
      <c r="J27" s="303">
        <v>0</v>
      </c>
      <c r="K27" s="303">
        <v>0</v>
      </c>
      <c r="L27" s="303">
        <v>0</v>
      </c>
      <c r="M27" s="303">
        <v>0</v>
      </c>
      <c r="N27" s="303">
        <v>0</v>
      </c>
      <c r="O27" s="303">
        <v>0</v>
      </c>
      <c r="P27" s="303">
        <v>0</v>
      </c>
      <c r="Q27" s="303">
        <v>0</v>
      </c>
      <c r="R27" s="303">
        <v>0</v>
      </c>
      <c r="S27" s="484">
        <f t="shared" si="2"/>
        <v>0</v>
      </c>
      <c r="T27" s="604"/>
      <c r="U27" s="642"/>
      <c r="V27" s="679"/>
      <c r="W27" s="679"/>
      <c r="X27" s="702"/>
      <c r="Y27" s="679"/>
      <c r="Z27" s="679"/>
      <c r="AA27" s="642"/>
      <c r="AB27" s="679"/>
      <c r="AC27" s="643"/>
      <c r="AD27" s="643"/>
      <c r="AE27" s="643"/>
      <c r="AF27" s="677">
        <f t="shared" si="0"/>
        <v>0</v>
      </c>
    </row>
    <row r="28" spans="1:32">
      <c r="A28" s="604">
        <v>14</v>
      </c>
      <c r="B28" s="604"/>
      <c r="C28" s="604"/>
      <c r="D28" s="604"/>
      <c r="E28" s="602" t="s">
        <v>383</v>
      </c>
      <c r="F28" s="496">
        <f>SUM(F22:F27)</f>
        <v>-350428518.56999999</v>
      </c>
      <c r="G28" s="496">
        <f t="shared" ref="G28:R28" si="3">SUM(G22:G27)</f>
        <v>-352294420.46999997</v>
      </c>
      <c r="H28" s="496">
        <f t="shared" si="3"/>
        <v>-352695284.97999996</v>
      </c>
      <c r="I28" s="496">
        <f t="shared" si="3"/>
        <v>-354333791.56999999</v>
      </c>
      <c r="J28" s="496">
        <f t="shared" si="3"/>
        <v>-355937863.21999997</v>
      </c>
      <c r="K28" s="496">
        <f t="shared" si="3"/>
        <v>-357597578.12999994</v>
      </c>
      <c r="L28" s="496">
        <f t="shared" si="3"/>
        <v>-359453676.13</v>
      </c>
      <c r="M28" s="496">
        <f t="shared" si="3"/>
        <v>-357137802.43000001</v>
      </c>
      <c r="N28" s="496">
        <f t="shared" si="3"/>
        <v>-359877771.31999999</v>
      </c>
      <c r="O28" s="496">
        <f t="shared" si="3"/>
        <v>-360788312.55000001</v>
      </c>
      <c r="P28" s="496">
        <f t="shared" si="3"/>
        <v>-362532483.77999997</v>
      </c>
      <c r="Q28" s="496">
        <f t="shared" si="3"/>
        <v>-364797156.25</v>
      </c>
      <c r="R28" s="496">
        <f t="shared" si="3"/>
        <v>-362895366.04000008</v>
      </c>
      <c r="S28" s="484">
        <f>SUM(S22:S27)</f>
        <v>-357842340.26125008</v>
      </c>
      <c r="T28" s="604"/>
      <c r="U28" s="642"/>
      <c r="V28" s="679"/>
      <c r="W28" s="679"/>
      <c r="X28" s="702"/>
      <c r="Y28" s="679"/>
      <c r="Z28" s="679"/>
      <c r="AA28" s="642"/>
      <c r="AB28" s="679"/>
      <c r="AC28" s="643"/>
      <c r="AD28" s="643"/>
      <c r="AE28" s="643"/>
      <c r="AF28" s="677">
        <f t="shared" si="0"/>
        <v>0</v>
      </c>
    </row>
    <row r="29" spans="1:32">
      <c r="A29" s="604">
        <v>15</v>
      </c>
      <c r="B29" s="604"/>
      <c r="C29" s="604"/>
      <c r="D29" s="604"/>
      <c r="E29" s="602"/>
      <c r="F29" s="296"/>
      <c r="G29" s="494"/>
      <c r="H29" s="594"/>
      <c r="I29" s="594"/>
      <c r="J29" s="297"/>
      <c r="K29" s="598"/>
      <c r="L29" s="298"/>
      <c r="M29" s="299"/>
      <c r="N29" s="300"/>
      <c r="O29" s="301"/>
      <c r="P29" s="302"/>
      <c r="Q29" s="495"/>
      <c r="R29" s="296"/>
      <c r="S29" s="294"/>
      <c r="T29" s="604"/>
      <c r="U29" s="642"/>
      <c r="V29" s="679"/>
      <c r="W29" s="679"/>
      <c r="X29" s="702"/>
      <c r="Y29" s="679"/>
      <c r="Z29" s="679"/>
      <c r="AA29" s="642"/>
      <c r="AB29" s="679"/>
      <c r="AC29" s="643"/>
      <c r="AD29" s="643"/>
      <c r="AE29" s="643"/>
      <c r="AF29" s="677">
        <f t="shared" si="0"/>
        <v>0</v>
      </c>
    </row>
    <row r="30" spans="1:32">
      <c r="A30" s="604">
        <v>16</v>
      </c>
      <c r="B30" s="316" t="s">
        <v>956</v>
      </c>
      <c r="C30" s="316" t="s">
        <v>384</v>
      </c>
      <c r="D30" s="316"/>
      <c r="E30" s="602" t="s">
        <v>385</v>
      </c>
      <c r="F30" s="603">
        <v>-3052834.66</v>
      </c>
      <c r="G30" s="603">
        <v>-3071369.72</v>
      </c>
      <c r="H30" s="603">
        <v>-3088046.94</v>
      </c>
      <c r="I30" s="603">
        <v>-3107090.46</v>
      </c>
      <c r="J30" s="603">
        <v>-3122196.74</v>
      </c>
      <c r="K30" s="603">
        <v>-3109027.68</v>
      </c>
      <c r="L30" s="603">
        <v>-3128042.76</v>
      </c>
      <c r="M30" s="603">
        <v>-3142432.17</v>
      </c>
      <c r="N30" s="603">
        <v>-3128744.7</v>
      </c>
      <c r="O30" s="603">
        <v>-3148438.29</v>
      </c>
      <c r="P30" s="603">
        <v>-3168347.21</v>
      </c>
      <c r="Q30" s="603">
        <v>-3187186.86</v>
      </c>
      <c r="R30" s="603">
        <v>-3185032.92</v>
      </c>
      <c r="S30" s="484">
        <f>((F30+R30)+((G30+H30+I30+J30+K30+L30+M30+N30+O30+P30+Q30)*2))/24</f>
        <v>-3126654.7766666668</v>
      </c>
      <c r="T30" s="604"/>
      <c r="U30" s="642"/>
      <c r="V30" s="679"/>
      <c r="W30" s="679"/>
      <c r="X30" s="702"/>
      <c r="Y30" s="679"/>
      <c r="Z30" s="679"/>
      <c r="AA30" s="642"/>
      <c r="AB30" s="679"/>
      <c r="AC30" s="643"/>
      <c r="AD30" s="643"/>
      <c r="AE30" s="643"/>
      <c r="AF30" s="677">
        <f t="shared" si="0"/>
        <v>0</v>
      </c>
    </row>
    <row r="31" spans="1:32">
      <c r="A31" s="604">
        <v>17</v>
      </c>
      <c r="B31" s="316" t="s">
        <v>956</v>
      </c>
      <c r="C31" s="316" t="s">
        <v>713</v>
      </c>
      <c r="D31" s="316"/>
      <c r="E31" s="603" t="s">
        <v>714</v>
      </c>
      <c r="F31" s="303">
        <v>-137249402.78999999</v>
      </c>
      <c r="G31" s="303">
        <v>-137636754.03</v>
      </c>
      <c r="H31" s="303">
        <v>-138004595.44</v>
      </c>
      <c r="I31" s="303">
        <v>-138522604.65000001</v>
      </c>
      <c r="J31" s="303">
        <v>-139009059.03</v>
      </c>
      <c r="K31" s="303">
        <v>-139419314.46000001</v>
      </c>
      <c r="L31" s="303">
        <v>-139895803.72</v>
      </c>
      <c r="M31" s="303">
        <v>-140293114.25999999</v>
      </c>
      <c r="N31" s="303">
        <v>-140777750</v>
      </c>
      <c r="O31" s="303">
        <v>-141311614.78999999</v>
      </c>
      <c r="P31" s="303">
        <v>-141787696.77000001</v>
      </c>
      <c r="Q31" s="303">
        <v>-142008181.08000001</v>
      </c>
      <c r="R31" s="303">
        <v>-142248746.72</v>
      </c>
      <c r="S31" s="484">
        <f>((F31+R31)+((G31+H31+I31+J31+K31+L31+M31+N31+O31+P31+Q31)*2))/24</f>
        <v>-139867963.58208334</v>
      </c>
      <c r="T31" s="604"/>
      <c r="U31" s="642"/>
      <c r="V31" s="679"/>
      <c r="W31" s="679"/>
      <c r="X31" s="702"/>
      <c r="Y31" s="679"/>
      <c r="Z31" s="679"/>
      <c r="AA31" s="642"/>
      <c r="AB31" s="679"/>
      <c r="AC31" s="643"/>
      <c r="AD31" s="643"/>
      <c r="AE31" s="643"/>
      <c r="AF31" s="677">
        <f t="shared" si="0"/>
        <v>0</v>
      </c>
    </row>
    <row r="32" spans="1:32">
      <c r="A32" s="604">
        <v>18</v>
      </c>
      <c r="B32" s="604"/>
      <c r="C32" s="604"/>
      <c r="D32" s="604"/>
      <c r="E32" s="602" t="s">
        <v>386</v>
      </c>
      <c r="F32" s="497">
        <f>+F30+F31</f>
        <v>-140302237.44999999</v>
      </c>
      <c r="G32" s="497">
        <f t="shared" ref="G32:R32" si="4">+G30+G31</f>
        <v>-140708123.75</v>
      </c>
      <c r="H32" s="497">
        <f t="shared" si="4"/>
        <v>-141092642.38</v>
      </c>
      <c r="I32" s="497">
        <f t="shared" si="4"/>
        <v>-141629695.11000001</v>
      </c>
      <c r="J32" s="497">
        <f t="shared" si="4"/>
        <v>-142131255.77000001</v>
      </c>
      <c r="K32" s="497">
        <f t="shared" si="4"/>
        <v>-142528342.14000002</v>
      </c>
      <c r="L32" s="497">
        <f t="shared" si="4"/>
        <v>-143023846.47999999</v>
      </c>
      <c r="M32" s="497">
        <f t="shared" si="4"/>
        <v>-143435546.42999998</v>
      </c>
      <c r="N32" s="497">
        <f t="shared" si="4"/>
        <v>-143906494.69999999</v>
      </c>
      <c r="O32" s="497">
        <f t="shared" si="4"/>
        <v>-144460053.07999998</v>
      </c>
      <c r="P32" s="497">
        <f t="shared" si="4"/>
        <v>-144956043.98000002</v>
      </c>
      <c r="Q32" s="497">
        <f t="shared" si="4"/>
        <v>-145195367.94000003</v>
      </c>
      <c r="R32" s="497">
        <f t="shared" si="4"/>
        <v>-145433779.63999999</v>
      </c>
      <c r="S32" s="498">
        <f>+S30+S31</f>
        <v>-142994618.35875002</v>
      </c>
      <c r="T32" s="604"/>
      <c r="U32" s="642"/>
      <c r="V32" s="679"/>
      <c r="W32" s="679"/>
      <c r="X32" s="702"/>
      <c r="Y32" s="679"/>
      <c r="Z32" s="679"/>
      <c r="AA32" s="642"/>
      <c r="AB32" s="679"/>
      <c r="AC32" s="643"/>
      <c r="AD32" s="643"/>
      <c r="AE32" s="643"/>
      <c r="AF32" s="677">
        <f t="shared" si="0"/>
        <v>0</v>
      </c>
    </row>
    <row r="33" spans="1:32">
      <c r="A33" s="604">
        <v>19</v>
      </c>
      <c r="B33" s="604"/>
      <c r="C33" s="604"/>
      <c r="D33" s="604"/>
      <c r="E33" s="602"/>
      <c r="F33" s="296"/>
      <c r="G33" s="494"/>
      <c r="H33" s="594"/>
      <c r="I33" s="594"/>
      <c r="J33" s="297"/>
      <c r="K33" s="598"/>
      <c r="L33" s="298"/>
      <c r="M33" s="299"/>
      <c r="N33" s="300"/>
      <c r="O33" s="301"/>
      <c r="P33" s="302"/>
      <c r="Q33" s="495"/>
      <c r="R33" s="296"/>
      <c r="S33" s="294"/>
      <c r="T33" s="604"/>
      <c r="U33" s="642"/>
      <c r="V33" s="679"/>
      <c r="W33" s="679"/>
      <c r="X33" s="702"/>
      <c r="Y33" s="679"/>
      <c r="Z33" s="679"/>
      <c r="AA33" s="642"/>
      <c r="AB33" s="679"/>
      <c r="AC33" s="643"/>
      <c r="AD33" s="643"/>
      <c r="AE33" s="643"/>
      <c r="AF33" s="677">
        <f t="shared" si="0"/>
        <v>0</v>
      </c>
    </row>
    <row r="34" spans="1:32">
      <c r="A34" s="604">
        <v>20</v>
      </c>
      <c r="B34" s="604"/>
      <c r="C34" s="604"/>
      <c r="D34" s="604"/>
      <c r="E34" s="602" t="s">
        <v>387</v>
      </c>
      <c r="F34" s="499">
        <f>+F32+F28</f>
        <v>-490730756.01999998</v>
      </c>
      <c r="G34" s="499">
        <f t="shared" ref="G34:R34" si="5">+G32+G28</f>
        <v>-493002544.21999997</v>
      </c>
      <c r="H34" s="499">
        <f t="shared" si="5"/>
        <v>-493787927.35999995</v>
      </c>
      <c r="I34" s="499">
        <f t="shared" si="5"/>
        <v>-495963486.68000001</v>
      </c>
      <c r="J34" s="499">
        <f t="shared" si="5"/>
        <v>-498069118.99000001</v>
      </c>
      <c r="K34" s="499">
        <f t="shared" si="5"/>
        <v>-500125920.26999998</v>
      </c>
      <c r="L34" s="499">
        <f t="shared" si="5"/>
        <v>-502477522.61000001</v>
      </c>
      <c r="M34" s="499">
        <f t="shared" si="5"/>
        <v>-500573348.86000001</v>
      </c>
      <c r="N34" s="499">
        <f t="shared" si="5"/>
        <v>-503784266.01999998</v>
      </c>
      <c r="O34" s="499">
        <f t="shared" si="5"/>
        <v>-505248365.63</v>
      </c>
      <c r="P34" s="499">
        <f t="shared" si="5"/>
        <v>-507488527.75999999</v>
      </c>
      <c r="Q34" s="499">
        <f t="shared" si="5"/>
        <v>-509992524.19000006</v>
      </c>
      <c r="R34" s="499">
        <f t="shared" si="5"/>
        <v>-508329145.68000007</v>
      </c>
      <c r="S34" s="485">
        <f>+S32+S28</f>
        <v>-500836958.62000012</v>
      </c>
      <c r="T34" s="604"/>
      <c r="U34" s="642"/>
      <c r="V34" s="679"/>
      <c r="W34" s="679"/>
      <c r="X34" s="702">
        <f>+S34-S22</f>
        <v>-502408082.94750011</v>
      </c>
      <c r="Y34" s="679">
        <f>+X34*Z7</f>
        <v>-377660155.95163584</v>
      </c>
      <c r="Z34" s="679">
        <f>+X34*Z8</f>
        <v>-124747926.99586427</v>
      </c>
      <c r="AA34" s="642"/>
      <c r="AB34" s="679"/>
      <c r="AC34" s="643"/>
      <c r="AD34" s="643"/>
      <c r="AE34" s="643" t="s">
        <v>1419</v>
      </c>
      <c r="AF34" s="677">
        <f t="shared" si="0"/>
        <v>0</v>
      </c>
    </row>
    <row r="35" spans="1:32">
      <c r="A35" s="604">
        <v>21</v>
      </c>
      <c r="B35" s="604"/>
      <c r="C35" s="604"/>
      <c r="D35" s="604"/>
      <c r="E35" s="589"/>
      <c r="F35" s="500"/>
      <c r="G35" s="501"/>
      <c r="H35" s="502"/>
      <c r="I35" s="502"/>
      <c r="J35" s="503"/>
      <c r="K35" s="504"/>
      <c r="L35" s="505"/>
      <c r="M35" s="506"/>
      <c r="N35" s="507"/>
      <c r="O35" s="508"/>
      <c r="P35" s="509"/>
      <c r="Q35" s="510"/>
      <c r="R35" s="500"/>
      <c r="S35" s="294"/>
      <c r="T35" s="604"/>
      <c r="U35" s="642"/>
      <c r="V35" s="679"/>
      <c r="W35" s="679"/>
      <c r="X35" s="702"/>
      <c r="Y35" s="679"/>
      <c r="Z35" s="679"/>
      <c r="AA35" s="642"/>
      <c r="AB35" s="679"/>
      <c r="AC35" s="643"/>
      <c r="AD35" s="643"/>
      <c r="AE35" s="643"/>
      <c r="AF35" s="677">
        <f t="shared" si="0"/>
        <v>0</v>
      </c>
    </row>
    <row r="36" spans="1:32">
      <c r="A36" s="604">
        <v>22</v>
      </c>
      <c r="B36" s="604"/>
      <c r="C36" s="604"/>
      <c r="D36" s="604"/>
      <c r="E36" s="589" t="s">
        <v>388</v>
      </c>
      <c r="F36" s="511">
        <f>+F20+F34</f>
        <v>599350195.36999989</v>
      </c>
      <c r="G36" s="511">
        <f t="shared" ref="G36:S36" si="6">+G20+G34</f>
        <v>602377180.52999997</v>
      </c>
      <c r="H36" s="511">
        <f t="shared" si="6"/>
        <v>603596638.52999997</v>
      </c>
      <c r="I36" s="511">
        <f t="shared" si="6"/>
        <v>606395240.50999999</v>
      </c>
      <c r="J36" s="511">
        <f t="shared" si="6"/>
        <v>610174120.94000006</v>
      </c>
      <c r="K36" s="511">
        <f t="shared" si="6"/>
        <v>615508731.6400001</v>
      </c>
      <c r="L36" s="511">
        <f t="shared" si="6"/>
        <v>620756439.00999987</v>
      </c>
      <c r="M36" s="511">
        <f t="shared" si="6"/>
        <v>629447619.53000009</v>
      </c>
      <c r="N36" s="511">
        <f t="shared" si="6"/>
        <v>636033680.5999999</v>
      </c>
      <c r="O36" s="511">
        <f t="shared" si="6"/>
        <v>639827676.60000002</v>
      </c>
      <c r="P36" s="511">
        <f t="shared" si="6"/>
        <v>649625931.3900001</v>
      </c>
      <c r="Q36" s="511">
        <f t="shared" si="6"/>
        <v>657711870.51999998</v>
      </c>
      <c r="R36" s="511">
        <f t="shared" si="6"/>
        <v>670993028.15999985</v>
      </c>
      <c r="S36" s="484">
        <f t="shared" si="6"/>
        <v>625552228.46374989</v>
      </c>
      <c r="T36" s="604"/>
      <c r="U36" s="642"/>
      <c r="V36" s="679"/>
      <c r="W36" s="679"/>
      <c r="X36" s="702"/>
      <c r="Y36" s="679"/>
      <c r="Z36" s="679"/>
      <c r="AA36" s="642"/>
      <c r="AB36" s="679"/>
      <c r="AC36" s="643"/>
      <c r="AD36" s="643"/>
      <c r="AE36" s="643"/>
      <c r="AF36" s="677">
        <f t="shared" si="0"/>
        <v>0</v>
      </c>
    </row>
    <row r="37" spans="1:32">
      <c r="A37" s="604">
        <v>23</v>
      </c>
      <c r="B37" s="604"/>
      <c r="C37" s="604"/>
      <c r="D37" s="604"/>
      <c r="E37" s="589"/>
      <c r="F37" s="296"/>
      <c r="G37" s="494"/>
      <c r="H37" s="594"/>
      <c r="I37" s="594"/>
      <c r="J37" s="297"/>
      <c r="K37" s="598"/>
      <c r="L37" s="298"/>
      <c r="M37" s="299"/>
      <c r="N37" s="300"/>
      <c r="O37" s="301"/>
      <c r="P37" s="302"/>
      <c r="Q37" s="495"/>
      <c r="R37" s="296"/>
      <c r="S37" s="294"/>
      <c r="T37" s="604"/>
      <c r="U37" s="642"/>
      <c r="V37" s="679"/>
      <c r="W37" s="679"/>
      <c r="X37" s="702"/>
      <c r="Y37" s="679"/>
      <c r="Z37" s="679"/>
      <c r="AA37" s="642"/>
      <c r="AB37" s="679"/>
      <c r="AC37" s="643"/>
      <c r="AD37" s="643"/>
      <c r="AE37" s="643"/>
      <c r="AF37" s="677">
        <f t="shared" si="0"/>
        <v>0</v>
      </c>
    </row>
    <row r="38" spans="1:32">
      <c r="A38" s="604">
        <v>24</v>
      </c>
      <c r="B38" s="316" t="s">
        <v>956</v>
      </c>
      <c r="C38" s="316" t="s">
        <v>389</v>
      </c>
      <c r="D38" s="316"/>
      <c r="E38" s="602" t="s">
        <v>390</v>
      </c>
      <c r="F38" s="303">
        <v>0</v>
      </c>
      <c r="G38" s="303">
        <v>0</v>
      </c>
      <c r="H38" s="303">
        <v>0</v>
      </c>
      <c r="I38" s="303">
        <v>0</v>
      </c>
      <c r="J38" s="303">
        <v>0</v>
      </c>
      <c r="K38" s="303">
        <v>0</v>
      </c>
      <c r="L38" s="303">
        <v>0</v>
      </c>
      <c r="M38" s="303">
        <v>0</v>
      </c>
      <c r="N38" s="303">
        <v>0</v>
      </c>
      <c r="O38" s="303">
        <v>0</v>
      </c>
      <c r="P38" s="303">
        <v>0</v>
      </c>
      <c r="Q38" s="303">
        <v>0</v>
      </c>
      <c r="R38" s="303">
        <v>0</v>
      </c>
      <c r="S38" s="294">
        <f>((F38+R38)+((G38+H38+I38+J38+K38+L38+M38+N38+O38+P38+Q38)*2))/24</f>
        <v>0</v>
      </c>
      <c r="T38" s="604"/>
      <c r="U38" s="642">
        <f>+S38</f>
        <v>0</v>
      </c>
      <c r="V38" s="679"/>
      <c r="W38" s="679"/>
      <c r="X38" s="702"/>
      <c r="Y38" s="679"/>
      <c r="Z38" s="679"/>
      <c r="AA38" s="642"/>
      <c r="AB38" s="679"/>
      <c r="AC38" s="643"/>
      <c r="AD38" s="643"/>
      <c r="AE38" s="643"/>
      <c r="AF38" s="677">
        <f t="shared" si="0"/>
        <v>0</v>
      </c>
    </row>
    <row r="39" spans="1:32">
      <c r="A39" s="604">
        <v>25</v>
      </c>
      <c r="B39" s="604"/>
      <c r="C39" s="604"/>
      <c r="D39" s="604"/>
      <c r="E39" s="589" t="s">
        <v>391</v>
      </c>
      <c r="F39" s="295">
        <f>+F38</f>
        <v>0</v>
      </c>
      <c r="G39" s="512">
        <v>0</v>
      </c>
      <c r="H39" s="513">
        <v>0</v>
      </c>
      <c r="I39" s="513">
        <v>0</v>
      </c>
      <c r="J39" s="514">
        <v>0</v>
      </c>
      <c r="K39" s="515">
        <v>0</v>
      </c>
      <c r="L39" s="516">
        <v>0</v>
      </c>
      <c r="M39" s="517">
        <v>0</v>
      </c>
      <c r="N39" s="518">
        <v>0</v>
      </c>
      <c r="O39" s="519">
        <v>0</v>
      </c>
      <c r="P39" s="520">
        <v>0</v>
      </c>
      <c r="Q39" s="521">
        <v>0</v>
      </c>
      <c r="R39" s="295">
        <v>0</v>
      </c>
      <c r="S39" s="294">
        <f>((F39+R39)+((G39+H39+I39+J39+K39+L39+M39+N39+O39+P39+Q39)*2))/24</f>
        <v>0</v>
      </c>
      <c r="T39" s="604"/>
      <c r="U39" s="642"/>
      <c r="V39" s="679"/>
      <c r="W39" s="679"/>
      <c r="X39" s="702"/>
      <c r="Y39" s="679"/>
      <c r="Z39" s="679"/>
      <c r="AA39" s="642"/>
      <c r="AB39" s="679"/>
      <c r="AC39" s="643"/>
      <c r="AD39" s="643"/>
      <c r="AE39" s="643"/>
      <c r="AF39" s="677">
        <f t="shared" si="0"/>
        <v>0</v>
      </c>
    </row>
    <row r="40" spans="1:32">
      <c r="A40" s="604">
        <v>26</v>
      </c>
      <c r="B40" s="604"/>
      <c r="C40" s="604"/>
      <c r="D40" s="604"/>
      <c r="E40" s="589"/>
      <c r="F40" s="603"/>
      <c r="G40" s="304"/>
      <c r="H40" s="305"/>
      <c r="I40" s="305"/>
      <c r="J40" s="306"/>
      <c r="K40" s="307"/>
      <c r="L40" s="308"/>
      <c r="M40" s="309"/>
      <c r="N40" s="310"/>
      <c r="O40" s="590"/>
      <c r="P40" s="311"/>
      <c r="Q40" s="312"/>
      <c r="R40" s="603"/>
      <c r="S40" s="294"/>
      <c r="T40" s="604"/>
      <c r="U40" s="642"/>
      <c r="V40" s="679"/>
      <c r="W40" s="679"/>
      <c r="X40" s="702"/>
      <c r="Y40" s="679"/>
      <c r="Z40" s="679"/>
      <c r="AA40" s="642"/>
      <c r="AB40" s="679"/>
      <c r="AC40" s="643"/>
      <c r="AD40" s="643"/>
      <c r="AE40" s="643"/>
      <c r="AF40" s="677">
        <f t="shared" si="0"/>
        <v>0</v>
      </c>
    </row>
    <row r="41" spans="1:32">
      <c r="A41" s="604">
        <v>27</v>
      </c>
      <c r="B41" s="316" t="s">
        <v>956</v>
      </c>
      <c r="C41" s="316" t="s">
        <v>1103</v>
      </c>
      <c r="D41" s="316" t="s">
        <v>450</v>
      </c>
      <c r="E41" s="602" t="s">
        <v>1466</v>
      </c>
      <c r="F41" s="603">
        <v>1647363.37</v>
      </c>
      <c r="G41" s="603">
        <v>1650548.45</v>
      </c>
      <c r="H41" s="603">
        <v>1653418.79</v>
      </c>
      <c r="I41" s="603">
        <v>520974.97</v>
      </c>
      <c r="J41" s="603">
        <v>521959.48</v>
      </c>
      <c r="K41" s="603">
        <v>522960.61</v>
      </c>
      <c r="L41" s="603">
        <v>523922.01</v>
      </c>
      <c r="M41" s="603">
        <v>524913.85</v>
      </c>
      <c r="N41" s="603">
        <v>525804.73</v>
      </c>
      <c r="O41" s="603">
        <v>526658.93999999994</v>
      </c>
      <c r="P41" s="603">
        <v>527433.56999999995</v>
      </c>
      <c r="Q41" s="603">
        <v>528090.85</v>
      </c>
      <c r="R41" s="603">
        <v>528752.93000000005</v>
      </c>
      <c r="S41" s="703">
        <f>((F41+R41)+((G41+H41+I41+J41+K41+L41+M41+N41+O41+P41+Q41)*2))/24</f>
        <v>759562.03333333321</v>
      </c>
      <c r="T41" s="604"/>
      <c r="U41" s="642"/>
      <c r="V41" s="679"/>
      <c r="W41" s="679"/>
      <c r="X41" s="702">
        <f>+S41</f>
        <v>759562.03333333321</v>
      </c>
      <c r="Y41" s="679"/>
      <c r="Z41" s="679"/>
      <c r="AA41" s="642"/>
      <c r="AB41" s="679">
        <f>+S41</f>
        <v>759562.03333333321</v>
      </c>
      <c r="AC41" s="643"/>
      <c r="AD41" s="643"/>
      <c r="AE41" s="643"/>
      <c r="AF41" s="677">
        <f t="shared" si="0"/>
        <v>0</v>
      </c>
    </row>
    <row r="42" spans="1:32">
      <c r="A42" s="604">
        <v>28</v>
      </c>
      <c r="B42" s="316" t="s">
        <v>956</v>
      </c>
      <c r="C42" s="316" t="s">
        <v>1103</v>
      </c>
      <c r="D42" s="316" t="s">
        <v>437</v>
      </c>
      <c r="E42" s="602" t="s">
        <v>1467</v>
      </c>
      <c r="F42" s="603">
        <v>10584814.859999999</v>
      </c>
      <c r="G42" s="603">
        <v>10770808.609999999</v>
      </c>
      <c r="H42" s="603">
        <v>10830520.99</v>
      </c>
      <c r="I42" s="603">
        <v>10935394.75</v>
      </c>
      <c r="J42" s="603">
        <v>10989421.77</v>
      </c>
      <c r="K42" s="603">
        <v>10930533.949999999</v>
      </c>
      <c r="L42" s="603">
        <v>11104230.210000001</v>
      </c>
      <c r="M42" s="603">
        <v>11130863.68</v>
      </c>
      <c r="N42" s="603">
        <v>11185472.630000001</v>
      </c>
      <c r="O42" s="603">
        <v>11298649.32</v>
      </c>
      <c r="P42" s="603">
        <v>11332181.23</v>
      </c>
      <c r="Q42" s="603">
        <v>11408136.99</v>
      </c>
      <c r="R42" s="603">
        <v>11462788.92</v>
      </c>
      <c r="S42" s="703">
        <f>((F42+R42)+((G42+H42+I42+J42+K42+L42+M42+N42+O42+P42+Q42)*2))/24</f>
        <v>11078334.668333333</v>
      </c>
      <c r="T42" s="604"/>
      <c r="U42" s="642"/>
      <c r="V42" s="679"/>
      <c r="W42" s="679"/>
      <c r="X42" s="702">
        <f>+S42</f>
        <v>11078334.668333333</v>
      </c>
      <c r="Y42" s="679"/>
      <c r="Z42" s="679"/>
      <c r="AA42" s="642"/>
      <c r="AB42" s="679">
        <f>+S42</f>
        <v>11078334.668333333</v>
      </c>
      <c r="AC42" s="643"/>
      <c r="AD42" s="643"/>
      <c r="AE42" s="643"/>
      <c r="AF42" s="677">
        <f t="shared" si="0"/>
        <v>0</v>
      </c>
    </row>
    <row r="43" spans="1:32">
      <c r="A43" s="604">
        <v>29</v>
      </c>
      <c r="B43" s="316" t="s">
        <v>956</v>
      </c>
      <c r="C43" s="316" t="s">
        <v>1103</v>
      </c>
      <c r="D43" s="316" t="s">
        <v>482</v>
      </c>
      <c r="E43" s="602" t="s">
        <v>1468</v>
      </c>
      <c r="F43" s="603">
        <v>139136.91</v>
      </c>
      <c r="G43" s="603">
        <v>0</v>
      </c>
      <c r="H43" s="603">
        <v>0</v>
      </c>
      <c r="I43" s="603">
        <v>0</v>
      </c>
      <c r="J43" s="603">
        <v>0</v>
      </c>
      <c r="K43" s="603">
        <v>0</v>
      </c>
      <c r="L43" s="603">
        <v>0</v>
      </c>
      <c r="M43" s="603">
        <v>0</v>
      </c>
      <c r="N43" s="603">
        <v>0</v>
      </c>
      <c r="O43" s="603">
        <v>0</v>
      </c>
      <c r="P43" s="603">
        <v>0</v>
      </c>
      <c r="Q43" s="603">
        <v>0</v>
      </c>
      <c r="R43" s="603">
        <v>0</v>
      </c>
      <c r="S43" s="703">
        <f>((F43+R43)+((G43+H43+I43+J43+K43+L43+M43+N43+O43+P43+Q43)*2))/24</f>
        <v>5797.3712500000001</v>
      </c>
      <c r="T43" s="604"/>
      <c r="U43" s="642"/>
      <c r="V43" s="679"/>
      <c r="W43" s="679"/>
      <c r="X43" s="702">
        <f>+S43</f>
        <v>5797.3712500000001</v>
      </c>
      <c r="Y43" s="679"/>
      <c r="Z43" s="679"/>
      <c r="AA43" s="642"/>
      <c r="AB43" s="679">
        <f>+S43</f>
        <v>5797.3712500000001</v>
      </c>
      <c r="AC43" s="643"/>
      <c r="AD43" s="643"/>
      <c r="AE43" s="643"/>
      <c r="AF43" s="677">
        <f t="shared" si="0"/>
        <v>0</v>
      </c>
    </row>
    <row r="44" spans="1:32">
      <c r="A44" s="604">
        <v>30</v>
      </c>
      <c r="B44" s="316" t="s">
        <v>956</v>
      </c>
      <c r="C44" s="316" t="s">
        <v>392</v>
      </c>
      <c r="D44" s="316"/>
      <c r="E44" s="602" t="s">
        <v>393</v>
      </c>
      <c r="F44" s="603">
        <v>202030.18</v>
      </c>
      <c r="G44" s="603">
        <v>202030.18</v>
      </c>
      <c r="H44" s="603">
        <v>202030.18</v>
      </c>
      <c r="I44" s="603">
        <v>202030.18</v>
      </c>
      <c r="J44" s="603">
        <v>202030.18</v>
      </c>
      <c r="K44" s="603">
        <v>202030.18</v>
      </c>
      <c r="L44" s="603">
        <v>197964.51</v>
      </c>
      <c r="M44" s="603">
        <v>197964.51</v>
      </c>
      <c r="N44" s="603">
        <v>197964.51</v>
      </c>
      <c r="O44" s="603">
        <v>197964.51</v>
      </c>
      <c r="P44" s="603">
        <v>197964.51</v>
      </c>
      <c r="Q44" s="603">
        <v>197964.51</v>
      </c>
      <c r="R44" s="603">
        <v>197964.51</v>
      </c>
      <c r="S44" s="703">
        <f>((F44+R44)+((G44+H44+I44+J44+K44+L44+M44+N44+O44+P44+Q44)*2))/24</f>
        <v>199827.94208333336</v>
      </c>
      <c r="T44" s="604"/>
      <c r="U44" s="642"/>
      <c r="V44" s="679"/>
      <c r="W44" s="679"/>
      <c r="X44" s="702">
        <f>+S44</f>
        <v>199827.94208333336</v>
      </c>
      <c r="Y44" s="679"/>
      <c r="Z44" s="679"/>
      <c r="AA44" s="642"/>
      <c r="AB44" s="679">
        <f>+S44</f>
        <v>199827.94208333336</v>
      </c>
      <c r="AC44" s="643"/>
      <c r="AD44" s="643"/>
      <c r="AE44" s="643"/>
      <c r="AF44" s="677">
        <f t="shared" si="0"/>
        <v>0</v>
      </c>
    </row>
    <row r="45" spans="1:32">
      <c r="A45" s="604">
        <v>31</v>
      </c>
      <c r="B45" s="316" t="s">
        <v>956</v>
      </c>
      <c r="C45" s="316" t="s">
        <v>394</v>
      </c>
      <c r="D45" s="316"/>
      <c r="E45" s="602" t="s">
        <v>395</v>
      </c>
      <c r="F45" s="303">
        <v>0</v>
      </c>
      <c r="G45" s="303">
        <v>0</v>
      </c>
      <c r="H45" s="303">
        <v>0</v>
      </c>
      <c r="I45" s="303">
        <v>0</v>
      </c>
      <c r="J45" s="303">
        <v>0</v>
      </c>
      <c r="K45" s="303">
        <v>0</v>
      </c>
      <c r="L45" s="303">
        <v>0</v>
      </c>
      <c r="M45" s="303">
        <v>0</v>
      </c>
      <c r="N45" s="303">
        <v>0</v>
      </c>
      <c r="O45" s="303">
        <v>0</v>
      </c>
      <c r="P45" s="303">
        <v>0</v>
      </c>
      <c r="Q45" s="303">
        <v>0</v>
      </c>
      <c r="R45" s="303">
        <v>0</v>
      </c>
      <c r="S45" s="703">
        <f>((F45+R45)+((G45+H45+I45+J45+K45+L45+M45+N45+O45+P45+Q45)*2))/24</f>
        <v>0</v>
      </c>
      <c r="T45" s="604"/>
      <c r="U45" s="642">
        <f>+S45</f>
        <v>0</v>
      </c>
      <c r="V45" s="679"/>
      <c r="W45" s="679"/>
      <c r="X45" s="702"/>
      <c r="Y45" s="679"/>
      <c r="Z45" s="679"/>
      <c r="AA45" s="642"/>
      <c r="AB45" s="679">
        <f>+S45</f>
        <v>0</v>
      </c>
      <c r="AC45" s="643"/>
      <c r="AD45" s="643"/>
      <c r="AE45" s="643"/>
      <c r="AF45" s="677">
        <f t="shared" si="0"/>
        <v>0</v>
      </c>
    </row>
    <row r="46" spans="1:32">
      <c r="A46" s="604">
        <v>32</v>
      </c>
      <c r="B46" s="604"/>
      <c r="C46" s="604"/>
      <c r="D46" s="604"/>
      <c r="E46" s="589" t="s">
        <v>396</v>
      </c>
      <c r="F46" s="295">
        <f t="shared" ref="F46:S46" si="7">SUM(F41:F45)</f>
        <v>12573345.32</v>
      </c>
      <c r="G46" s="295">
        <f t="shared" si="7"/>
        <v>12623387.239999998</v>
      </c>
      <c r="H46" s="295">
        <f t="shared" si="7"/>
        <v>12685969.960000001</v>
      </c>
      <c r="I46" s="295">
        <f t="shared" si="7"/>
        <v>11658399.9</v>
      </c>
      <c r="J46" s="295">
        <f t="shared" si="7"/>
        <v>11713411.43</v>
      </c>
      <c r="K46" s="295">
        <f t="shared" si="7"/>
        <v>11655524.739999998</v>
      </c>
      <c r="L46" s="295">
        <f t="shared" si="7"/>
        <v>11826116.73</v>
      </c>
      <c r="M46" s="295">
        <f t="shared" si="7"/>
        <v>11853742.039999999</v>
      </c>
      <c r="N46" s="295">
        <f t="shared" si="7"/>
        <v>11909241.870000001</v>
      </c>
      <c r="O46" s="295">
        <f t="shared" si="7"/>
        <v>12023272.77</v>
      </c>
      <c r="P46" s="295">
        <f t="shared" si="7"/>
        <v>12057579.310000001</v>
      </c>
      <c r="Q46" s="295">
        <f t="shared" si="7"/>
        <v>12134192.35</v>
      </c>
      <c r="R46" s="295">
        <f t="shared" si="7"/>
        <v>12189506.359999999</v>
      </c>
      <c r="S46" s="486">
        <f t="shared" si="7"/>
        <v>12043522.014999999</v>
      </c>
      <c r="T46" s="604"/>
      <c r="U46" s="642"/>
      <c r="V46" s="679"/>
      <c r="W46" s="679"/>
      <c r="X46" s="702"/>
      <c r="Y46" s="679"/>
      <c r="Z46" s="679"/>
      <c r="AA46" s="642"/>
      <c r="AB46" s="679"/>
      <c r="AC46" s="643"/>
      <c r="AD46" s="643"/>
      <c r="AE46" s="643"/>
      <c r="AF46" s="677">
        <f t="shared" si="0"/>
        <v>0</v>
      </c>
    </row>
    <row r="47" spans="1:32">
      <c r="A47" s="604">
        <v>33</v>
      </c>
      <c r="B47" s="604"/>
      <c r="C47" s="604"/>
      <c r="D47" s="604"/>
      <c r="E47" s="589"/>
      <c r="F47" s="603"/>
      <c r="G47" s="304"/>
      <c r="H47" s="305"/>
      <c r="I47" s="305"/>
      <c r="J47" s="306"/>
      <c r="K47" s="307"/>
      <c r="L47" s="308"/>
      <c r="M47" s="309"/>
      <c r="N47" s="310"/>
      <c r="O47" s="590"/>
      <c r="P47" s="311"/>
      <c r="Q47" s="312"/>
      <c r="R47" s="603"/>
      <c r="S47" s="294"/>
      <c r="T47" s="604"/>
      <c r="U47" s="642"/>
      <c r="V47" s="679"/>
      <c r="W47" s="679"/>
      <c r="X47" s="702"/>
      <c r="Y47" s="679"/>
      <c r="Z47" s="679"/>
      <c r="AA47" s="642"/>
      <c r="AB47" s="679"/>
      <c r="AC47" s="643"/>
      <c r="AD47" s="643"/>
      <c r="AE47" s="643"/>
      <c r="AF47" s="677">
        <f t="shared" si="0"/>
        <v>0</v>
      </c>
    </row>
    <row r="48" spans="1:32">
      <c r="A48" s="604">
        <v>34</v>
      </c>
      <c r="B48" s="604"/>
      <c r="C48" s="490" t="s">
        <v>397</v>
      </c>
      <c r="D48" s="490" t="s">
        <v>369</v>
      </c>
      <c r="E48" s="589" t="s">
        <v>1469</v>
      </c>
      <c r="F48" s="603">
        <v>0</v>
      </c>
      <c r="G48" s="304">
        <v>713994.61</v>
      </c>
      <c r="H48" s="305">
        <v>0</v>
      </c>
      <c r="I48" s="305">
        <v>0</v>
      </c>
      <c r="J48" s="306">
        <v>0</v>
      </c>
      <c r="K48" s="307">
        <v>0</v>
      </c>
      <c r="L48" s="308">
        <v>0</v>
      </c>
      <c r="M48" s="309">
        <v>0</v>
      </c>
      <c r="N48" s="310">
        <v>72840.87</v>
      </c>
      <c r="O48" s="590">
        <v>0</v>
      </c>
      <c r="P48" s="311">
        <v>125578.49</v>
      </c>
      <c r="Q48" s="312">
        <v>525780</v>
      </c>
      <c r="R48" s="603">
        <v>0</v>
      </c>
      <c r="S48" s="484">
        <f t="shared" ref="S48:S58" si="8">((F48+R48)+((G48+H48+I48+J48+K48+L48+M48+N48+O48+P48+Q48)*2))/24</f>
        <v>119849.4975</v>
      </c>
      <c r="T48" s="604"/>
      <c r="U48" s="642">
        <f t="shared" ref="U48:U58" si="9">+S48</f>
        <v>119849.4975</v>
      </c>
      <c r="V48" s="679"/>
      <c r="W48" s="679"/>
      <c r="X48" s="702"/>
      <c r="Y48" s="679"/>
      <c r="Z48" s="679"/>
      <c r="AA48" s="642"/>
      <c r="AB48" s="679"/>
      <c r="AC48" s="643"/>
      <c r="AD48" s="644">
        <f>+S48</f>
        <v>119849.4975</v>
      </c>
      <c r="AE48" s="643"/>
      <c r="AF48" s="677">
        <f t="shared" si="0"/>
        <v>0</v>
      </c>
    </row>
    <row r="49" spans="1:32">
      <c r="A49" s="604">
        <v>35</v>
      </c>
      <c r="B49" s="316" t="s">
        <v>956</v>
      </c>
      <c r="C49" s="316" t="s">
        <v>397</v>
      </c>
      <c r="D49" s="316" t="s">
        <v>1104</v>
      </c>
      <c r="E49" s="602" t="s">
        <v>1470</v>
      </c>
      <c r="F49" s="603">
        <v>2550120.08</v>
      </c>
      <c r="G49" s="603">
        <v>507975.97</v>
      </c>
      <c r="H49" s="603">
        <v>1437715.44</v>
      </c>
      <c r="I49" s="603">
        <v>1186503.52</v>
      </c>
      <c r="J49" s="603">
        <v>2083270</v>
      </c>
      <c r="K49" s="603">
        <v>249413.81</v>
      </c>
      <c r="L49" s="603">
        <v>514625.83</v>
      </c>
      <c r="M49" s="603">
        <v>658393.63</v>
      </c>
      <c r="N49" s="603">
        <v>277608.32000000001</v>
      </c>
      <c r="O49" s="603">
        <v>784763.2</v>
      </c>
      <c r="P49" s="603">
        <v>300167.40000000002</v>
      </c>
      <c r="Q49" s="603">
        <v>-204205.54</v>
      </c>
      <c r="R49" s="603">
        <v>2461509.84</v>
      </c>
      <c r="S49" s="484">
        <f t="shared" si="8"/>
        <v>858503.8783333333</v>
      </c>
      <c r="T49" s="604"/>
      <c r="U49" s="642">
        <f t="shared" si="9"/>
        <v>858503.8783333333</v>
      </c>
      <c r="V49" s="679"/>
      <c r="W49" s="679"/>
      <c r="X49" s="702"/>
      <c r="Y49" s="679"/>
      <c r="Z49" s="679"/>
      <c r="AA49" s="642"/>
      <c r="AB49" s="679"/>
      <c r="AC49" s="643"/>
      <c r="AD49" s="644">
        <f t="shared" ref="AD49:AD58" si="10">+U49</f>
        <v>858503.8783333333</v>
      </c>
      <c r="AE49" s="643"/>
      <c r="AF49" s="677">
        <f t="shared" si="0"/>
        <v>0</v>
      </c>
    </row>
    <row r="50" spans="1:32">
      <c r="A50" s="604">
        <v>36</v>
      </c>
      <c r="B50" s="316" t="s">
        <v>956</v>
      </c>
      <c r="C50" s="316" t="s">
        <v>397</v>
      </c>
      <c r="D50" s="316" t="s">
        <v>1105</v>
      </c>
      <c r="E50" s="602" t="s">
        <v>1471</v>
      </c>
      <c r="F50" s="603">
        <v>-819556.52</v>
      </c>
      <c r="G50" s="603">
        <v>-1795112.87</v>
      </c>
      <c r="H50" s="603">
        <v>-1495402.81</v>
      </c>
      <c r="I50" s="603">
        <v>-796374.57</v>
      </c>
      <c r="J50" s="603">
        <v>-3153933.99</v>
      </c>
      <c r="K50" s="603">
        <v>-569582.86</v>
      </c>
      <c r="L50" s="603">
        <v>-506152.85</v>
      </c>
      <c r="M50" s="603">
        <v>-763947.96</v>
      </c>
      <c r="N50" s="603">
        <v>-544940.30000000005</v>
      </c>
      <c r="O50" s="603">
        <v>-798507.84</v>
      </c>
      <c r="P50" s="603">
        <v>-649035.34</v>
      </c>
      <c r="Q50" s="603">
        <v>-1002179.5</v>
      </c>
      <c r="R50" s="603">
        <v>-518690.26</v>
      </c>
      <c r="S50" s="484">
        <f t="shared" si="8"/>
        <v>-1062024.5233333334</v>
      </c>
      <c r="T50" s="604"/>
      <c r="U50" s="642">
        <f t="shared" si="9"/>
        <v>-1062024.5233333334</v>
      </c>
      <c r="V50" s="679"/>
      <c r="W50" s="679"/>
      <c r="X50" s="702"/>
      <c r="Y50" s="679"/>
      <c r="Z50" s="679"/>
      <c r="AA50" s="642"/>
      <c r="AB50" s="679"/>
      <c r="AC50" s="643"/>
      <c r="AD50" s="644">
        <f t="shared" si="10"/>
        <v>-1062024.5233333334</v>
      </c>
      <c r="AE50" s="643"/>
      <c r="AF50" s="677">
        <f t="shared" si="0"/>
        <v>0</v>
      </c>
    </row>
    <row r="51" spans="1:32">
      <c r="A51" s="604">
        <v>37</v>
      </c>
      <c r="B51" s="316" t="s">
        <v>956</v>
      </c>
      <c r="C51" s="316" t="s">
        <v>397</v>
      </c>
      <c r="D51" s="316" t="s">
        <v>1106</v>
      </c>
      <c r="E51" s="602" t="s">
        <v>1472</v>
      </c>
      <c r="F51" s="603">
        <v>-500.00000000001103</v>
      </c>
      <c r="G51" s="603">
        <v>1607.1</v>
      </c>
      <c r="H51" s="603">
        <v>-14873.24</v>
      </c>
      <c r="I51" s="603">
        <v>-1337.24</v>
      </c>
      <c r="J51" s="603">
        <v>-300</v>
      </c>
      <c r="K51" s="603">
        <v>2.2737367544323201E-13</v>
      </c>
      <c r="L51" s="603">
        <v>2.2737367544323201E-13</v>
      </c>
      <c r="M51" s="603">
        <v>2.2737367544323201E-13</v>
      </c>
      <c r="N51" s="603">
        <v>2.2737367544323201E-13</v>
      </c>
      <c r="O51" s="603">
        <v>-4240.28</v>
      </c>
      <c r="P51" s="603">
        <v>-173413.86</v>
      </c>
      <c r="Q51" s="603">
        <v>-173413.86</v>
      </c>
      <c r="R51" s="603">
        <v>0</v>
      </c>
      <c r="S51" s="484">
        <f t="shared" si="8"/>
        <v>-30518.448333333334</v>
      </c>
      <c r="T51" s="604"/>
      <c r="U51" s="642">
        <f t="shared" si="9"/>
        <v>-30518.448333333334</v>
      </c>
      <c r="V51" s="679"/>
      <c r="W51" s="679"/>
      <c r="X51" s="702"/>
      <c r="Y51" s="679"/>
      <c r="Z51" s="679"/>
      <c r="AA51" s="642"/>
      <c r="AB51" s="679"/>
      <c r="AC51" s="643"/>
      <c r="AD51" s="644">
        <f t="shared" si="10"/>
        <v>-30518.448333333334</v>
      </c>
      <c r="AE51" s="643"/>
      <c r="AF51" s="677">
        <f t="shared" si="0"/>
        <v>0</v>
      </c>
    </row>
    <row r="52" spans="1:32">
      <c r="A52" s="604">
        <v>38</v>
      </c>
      <c r="B52" s="316" t="s">
        <v>956</v>
      </c>
      <c r="C52" s="316" t="s">
        <v>397</v>
      </c>
      <c r="D52" s="316" t="s">
        <v>1107</v>
      </c>
      <c r="E52" s="602" t="s">
        <v>1473</v>
      </c>
      <c r="F52" s="603">
        <v>5000.0000000002301</v>
      </c>
      <c r="G52" s="603">
        <v>5000</v>
      </c>
      <c r="H52" s="603">
        <v>5000</v>
      </c>
      <c r="I52" s="603">
        <v>5000</v>
      </c>
      <c r="J52" s="603">
        <v>81586</v>
      </c>
      <c r="K52" s="603">
        <v>6478.84</v>
      </c>
      <c r="L52" s="603">
        <v>6360.09</v>
      </c>
      <c r="M52" s="603">
        <v>3120.38</v>
      </c>
      <c r="N52" s="603">
        <v>5000</v>
      </c>
      <c r="O52" s="603">
        <v>3438</v>
      </c>
      <c r="P52" s="603">
        <v>5000</v>
      </c>
      <c r="Q52" s="603">
        <v>5000</v>
      </c>
      <c r="R52" s="603">
        <v>5000</v>
      </c>
      <c r="S52" s="484">
        <f t="shared" si="8"/>
        <v>11331.94250000001</v>
      </c>
      <c r="T52" s="604"/>
      <c r="U52" s="642">
        <f>+S52</f>
        <v>11331.94250000001</v>
      </c>
      <c r="V52" s="679"/>
      <c r="W52" s="679"/>
      <c r="X52" s="702">
        <f>+S52-U52</f>
        <v>0</v>
      </c>
      <c r="Y52" s="679"/>
      <c r="Z52" s="679"/>
      <c r="AA52" s="642"/>
      <c r="AB52" s="679">
        <f>+X52</f>
        <v>0</v>
      </c>
      <c r="AC52" s="643"/>
      <c r="AD52" s="644">
        <f t="shared" si="10"/>
        <v>11331.94250000001</v>
      </c>
      <c r="AE52" s="643"/>
      <c r="AF52" s="677">
        <f t="shared" si="0"/>
        <v>0</v>
      </c>
    </row>
    <row r="53" spans="1:32">
      <c r="A53" s="604">
        <v>39</v>
      </c>
      <c r="B53" s="316" t="s">
        <v>956</v>
      </c>
      <c r="C53" s="316" t="s">
        <v>397</v>
      </c>
      <c r="D53" s="316" t="s">
        <v>1836</v>
      </c>
      <c r="E53" s="602" t="s">
        <v>1837</v>
      </c>
      <c r="F53" s="603">
        <v>0</v>
      </c>
      <c r="G53" s="603">
        <v>0</v>
      </c>
      <c r="H53" s="603">
        <v>0</v>
      </c>
      <c r="I53" s="603">
        <v>0</v>
      </c>
      <c r="J53" s="603">
        <v>0</v>
      </c>
      <c r="K53" s="603">
        <v>0</v>
      </c>
      <c r="L53" s="603">
        <v>0</v>
      </c>
      <c r="M53" s="603">
        <v>0</v>
      </c>
      <c r="N53" s="603">
        <v>0</v>
      </c>
      <c r="O53" s="603">
        <v>0</v>
      </c>
      <c r="P53" s="603">
        <v>0</v>
      </c>
      <c r="Q53" s="603">
        <v>0</v>
      </c>
      <c r="R53" s="603">
        <v>1163.8699999999999</v>
      </c>
      <c r="S53" s="484">
        <f t="shared" si="8"/>
        <v>48.494583333333331</v>
      </c>
      <c r="T53" s="604"/>
      <c r="U53" s="642">
        <f t="shared" si="9"/>
        <v>48.494583333333331</v>
      </c>
      <c r="V53" s="679"/>
      <c r="W53" s="679"/>
      <c r="X53" s="702"/>
      <c r="Y53" s="679"/>
      <c r="Z53" s="679"/>
      <c r="AA53" s="642"/>
      <c r="AB53" s="679"/>
      <c r="AC53" s="643"/>
      <c r="AD53" s="644">
        <f t="shared" si="10"/>
        <v>48.494583333333331</v>
      </c>
      <c r="AE53" s="643"/>
      <c r="AF53" s="677">
        <f t="shared" si="0"/>
        <v>0</v>
      </c>
    </row>
    <row r="54" spans="1:32">
      <c r="A54" s="604">
        <v>40</v>
      </c>
      <c r="B54" s="316"/>
      <c r="C54" s="316" t="s">
        <v>397</v>
      </c>
      <c r="D54" s="316" t="s">
        <v>1376</v>
      </c>
      <c r="E54" s="602" t="s">
        <v>1377</v>
      </c>
      <c r="F54" s="603">
        <v>1468095.37</v>
      </c>
      <c r="G54" s="603">
        <v>566535.18999999994</v>
      </c>
      <c r="H54" s="603">
        <v>619477.91</v>
      </c>
      <c r="I54" s="603">
        <v>1534647.82</v>
      </c>
      <c r="J54" s="603">
        <v>1100649.3600000001</v>
      </c>
      <c r="K54" s="603">
        <v>399615.65</v>
      </c>
      <c r="L54" s="603">
        <v>1098135.5</v>
      </c>
      <c r="M54" s="603">
        <v>465511.55</v>
      </c>
      <c r="N54" s="603">
        <v>189491.11</v>
      </c>
      <c r="O54" s="603">
        <v>2126914.0299999998</v>
      </c>
      <c r="P54" s="603">
        <v>391703.31</v>
      </c>
      <c r="Q54" s="603">
        <v>247855.03</v>
      </c>
      <c r="R54" s="603">
        <v>4947993.17</v>
      </c>
      <c r="S54" s="484">
        <f t="shared" si="8"/>
        <v>995715.06083333341</v>
      </c>
      <c r="T54" s="604"/>
      <c r="U54" s="642">
        <f>+S54</f>
        <v>995715.06083333341</v>
      </c>
      <c r="V54" s="679"/>
      <c r="W54" s="679"/>
      <c r="X54" s="702"/>
      <c r="Y54" s="679"/>
      <c r="Z54" s="679"/>
      <c r="AA54" s="642"/>
      <c r="AB54" s="679"/>
      <c r="AC54" s="643"/>
      <c r="AD54" s="644">
        <f t="shared" si="10"/>
        <v>995715.06083333341</v>
      </c>
      <c r="AE54" s="643"/>
      <c r="AF54" s="677">
        <f t="shared" si="0"/>
        <v>0</v>
      </c>
    </row>
    <row r="55" spans="1:32">
      <c r="A55" s="604">
        <v>41</v>
      </c>
      <c r="B55" s="316" t="s">
        <v>956</v>
      </c>
      <c r="C55" s="316" t="s">
        <v>399</v>
      </c>
      <c r="D55" s="316" t="s">
        <v>1108</v>
      </c>
      <c r="E55" s="602" t="s">
        <v>1474</v>
      </c>
      <c r="F55" s="603">
        <v>600</v>
      </c>
      <c r="G55" s="603">
        <v>600</v>
      </c>
      <c r="H55" s="603">
        <v>600</v>
      </c>
      <c r="I55" s="603">
        <v>600</v>
      </c>
      <c r="J55" s="603">
        <v>600</v>
      </c>
      <c r="K55" s="603">
        <v>330.48</v>
      </c>
      <c r="L55" s="603">
        <v>0</v>
      </c>
      <c r="M55" s="603">
        <v>0</v>
      </c>
      <c r="N55" s="603">
        <v>0</v>
      </c>
      <c r="O55" s="603">
        <v>0</v>
      </c>
      <c r="P55" s="603">
        <v>0</v>
      </c>
      <c r="Q55" s="603">
        <v>0</v>
      </c>
      <c r="R55" s="603">
        <v>0</v>
      </c>
      <c r="S55" s="484">
        <f t="shared" si="8"/>
        <v>252.54</v>
      </c>
      <c r="T55" s="604"/>
      <c r="U55" s="642">
        <f t="shared" si="9"/>
        <v>252.54</v>
      </c>
      <c r="V55" s="679"/>
      <c r="W55" s="679"/>
      <c r="X55" s="702"/>
      <c r="Y55" s="679"/>
      <c r="Z55" s="679"/>
      <c r="AA55" s="642"/>
      <c r="AB55" s="679"/>
      <c r="AC55" s="643"/>
      <c r="AD55" s="644">
        <f t="shared" si="10"/>
        <v>252.54</v>
      </c>
      <c r="AE55" s="643"/>
      <c r="AF55" s="677">
        <f t="shared" si="0"/>
        <v>0</v>
      </c>
    </row>
    <row r="56" spans="1:32">
      <c r="A56" s="604">
        <v>42</v>
      </c>
      <c r="B56" s="316" t="s">
        <v>956</v>
      </c>
      <c r="C56" s="316" t="s">
        <v>399</v>
      </c>
      <c r="D56" s="316" t="s">
        <v>1109</v>
      </c>
      <c r="E56" s="602" t="s">
        <v>1475</v>
      </c>
      <c r="F56" s="603">
        <v>300</v>
      </c>
      <c r="G56" s="603">
        <v>300</v>
      </c>
      <c r="H56" s="603">
        <v>300</v>
      </c>
      <c r="I56" s="603">
        <v>300</v>
      </c>
      <c r="J56" s="603">
        <v>300</v>
      </c>
      <c r="K56" s="603">
        <v>284.69</v>
      </c>
      <c r="L56" s="603">
        <v>0</v>
      </c>
      <c r="M56" s="603">
        <v>0</v>
      </c>
      <c r="N56" s="603">
        <v>0</v>
      </c>
      <c r="O56" s="603">
        <v>0</v>
      </c>
      <c r="P56" s="603">
        <v>0</v>
      </c>
      <c r="Q56" s="603">
        <v>0</v>
      </c>
      <c r="R56" s="603">
        <v>0</v>
      </c>
      <c r="S56" s="484">
        <f t="shared" si="8"/>
        <v>136.22416666666666</v>
      </c>
      <c r="T56" s="604"/>
      <c r="U56" s="642">
        <f t="shared" si="9"/>
        <v>136.22416666666666</v>
      </c>
      <c r="V56" s="679"/>
      <c r="W56" s="679"/>
      <c r="X56" s="702"/>
      <c r="Y56" s="679"/>
      <c r="Z56" s="679"/>
      <c r="AA56" s="642"/>
      <c r="AB56" s="679"/>
      <c r="AC56" s="643"/>
      <c r="AD56" s="644">
        <f t="shared" si="10"/>
        <v>136.22416666666666</v>
      </c>
      <c r="AE56" s="643"/>
      <c r="AF56" s="677">
        <f t="shared" si="0"/>
        <v>0</v>
      </c>
    </row>
    <row r="57" spans="1:32">
      <c r="A57" s="604">
        <v>43</v>
      </c>
      <c r="B57" s="316" t="s">
        <v>956</v>
      </c>
      <c r="C57" s="316" t="s">
        <v>399</v>
      </c>
      <c r="D57" s="522" t="s">
        <v>1110</v>
      </c>
      <c r="E57" s="602" t="s">
        <v>1476</v>
      </c>
      <c r="F57" s="603">
        <v>0</v>
      </c>
      <c r="G57" s="603">
        <v>0</v>
      </c>
      <c r="H57" s="603">
        <v>0</v>
      </c>
      <c r="I57" s="603">
        <v>0</v>
      </c>
      <c r="J57" s="603">
        <v>0</v>
      </c>
      <c r="K57" s="603">
        <v>0</v>
      </c>
      <c r="L57" s="603">
        <v>0</v>
      </c>
      <c r="M57" s="603">
        <v>0</v>
      </c>
      <c r="N57" s="603">
        <v>0</v>
      </c>
      <c r="O57" s="603">
        <v>0</v>
      </c>
      <c r="P57" s="603">
        <v>0</v>
      </c>
      <c r="Q57" s="603">
        <v>0</v>
      </c>
      <c r="R57" s="603">
        <v>0</v>
      </c>
      <c r="S57" s="484">
        <f t="shared" si="8"/>
        <v>0</v>
      </c>
      <c r="T57" s="604"/>
      <c r="U57" s="642">
        <f t="shared" si="9"/>
        <v>0</v>
      </c>
      <c r="V57" s="679"/>
      <c r="W57" s="679"/>
      <c r="X57" s="702"/>
      <c r="Y57" s="679"/>
      <c r="Z57" s="679"/>
      <c r="AA57" s="642"/>
      <c r="AB57" s="679"/>
      <c r="AC57" s="643"/>
      <c r="AD57" s="644">
        <f t="shared" si="10"/>
        <v>0</v>
      </c>
      <c r="AE57" s="643"/>
      <c r="AF57" s="677">
        <f t="shared" si="0"/>
        <v>0</v>
      </c>
    </row>
    <row r="58" spans="1:32">
      <c r="A58" s="604">
        <v>44</v>
      </c>
      <c r="B58" s="316" t="s">
        <v>956</v>
      </c>
      <c r="C58" s="316" t="s">
        <v>399</v>
      </c>
      <c r="D58" s="316" t="s">
        <v>1111</v>
      </c>
      <c r="E58" s="602" t="s">
        <v>1477</v>
      </c>
      <c r="F58" s="603">
        <v>250</v>
      </c>
      <c r="G58" s="603">
        <v>250</v>
      </c>
      <c r="H58" s="603">
        <v>250</v>
      </c>
      <c r="I58" s="603">
        <v>250</v>
      </c>
      <c r="J58" s="603">
        <v>250</v>
      </c>
      <c r="K58" s="603">
        <v>236.3</v>
      </c>
      <c r="L58" s="603">
        <v>0</v>
      </c>
      <c r="M58" s="603">
        <v>0</v>
      </c>
      <c r="N58" s="603">
        <v>0</v>
      </c>
      <c r="O58" s="603">
        <v>0</v>
      </c>
      <c r="P58" s="603">
        <v>0</v>
      </c>
      <c r="Q58" s="603">
        <v>0</v>
      </c>
      <c r="R58" s="603">
        <v>0</v>
      </c>
      <c r="S58" s="484">
        <f t="shared" si="8"/>
        <v>113.44166666666666</v>
      </c>
      <c r="T58" s="604"/>
      <c r="U58" s="642">
        <f t="shared" si="9"/>
        <v>113.44166666666666</v>
      </c>
      <c r="V58" s="679"/>
      <c r="W58" s="679"/>
      <c r="X58" s="702"/>
      <c r="Y58" s="679"/>
      <c r="Z58" s="679"/>
      <c r="AA58" s="642"/>
      <c r="AB58" s="679"/>
      <c r="AC58" s="643"/>
      <c r="AD58" s="644">
        <f t="shared" si="10"/>
        <v>113.44166666666666</v>
      </c>
      <c r="AE58" s="643"/>
      <c r="AF58" s="677">
        <f t="shared" si="0"/>
        <v>0</v>
      </c>
    </row>
    <row r="59" spans="1:32">
      <c r="A59" s="604">
        <v>45</v>
      </c>
      <c r="B59" s="604"/>
      <c r="C59" s="604" t="s">
        <v>399</v>
      </c>
      <c r="D59" s="604" t="s">
        <v>1111</v>
      </c>
      <c r="E59" s="589" t="s">
        <v>400</v>
      </c>
      <c r="F59" s="295">
        <f t="shared" ref="F59:S59" si="11">SUM(F48:F58)</f>
        <v>3204308.9300000006</v>
      </c>
      <c r="G59" s="295">
        <f t="shared" si="11"/>
        <v>1149.9999999998836</v>
      </c>
      <c r="H59" s="295">
        <f t="shared" si="11"/>
        <v>553067.29999999993</v>
      </c>
      <c r="I59" s="295">
        <f t="shared" si="11"/>
        <v>1929589.5300000003</v>
      </c>
      <c r="J59" s="295">
        <f t="shared" si="11"/>
        <v>112421.36999999988</v>
      </c>
      <c r="K59" s="295">
        <f t="shared" si="11"/>
        <v>86776.910000000062</v>
      </c>
      <c r="L59" s="295">
        <f t="shared" si="11"/>
        <v>1112968.57</v>
      </c>
      <c r="M59" s="295">
        <f t="shared" si="11"/>
        <v>363077.60000000003</v>
      </c>
      <c r="N59" s="295">
        <f t="shared" si="11"/>
        <v>-5.8207660913467407E-11</v>
      </c>
      <c r="O59" s="295">
        <f t="shared" si="11"/>
        <v>2112367.11</v>
      </c>
      <c r="P59" s="295">
        <f t="shared" si="11"/>
        <v>5.8207660913467407E-11</v>
      </c>
      <c r="Q59" s="295">
        <f t="shared" si="11"/>
        <v>-601163.87</v>
      </c>
      <c r="R59" s="295">
        <f t="shared" si="11"/>
        <v>6896976.6200000001</v>
      </c>
      <c r="S59" s="486">
        <f t="shared" si="11"/>
        <v>893408.10791666654</v>
      </c>
      <c r="T59" s="604"/>
      <c r="U59" s="642"/>
      <c r="V59" s="679"/>
      <c r="W59" s="679"/>
      <c r="X59" s="702"/>
      <c r="Y59" s="679"/>
      <c r="Z59" s="679"/>
      <c r="AA59" s="642"/>
      <c r="AB59" s="679"/>
      <c r="AC59" s="643"/>
      <c r="AD59" s="643"/>
      <c r="AE59" s="643"/>
      <c r="AF59" s="677">
        <f t="shared" si="0"/>
        <v>0</v>
      </c>
    </row>
    <row r="60" spans="1:32">
      <c r="A60" s="604">
        <v>46</v>
      </c>
      <c r="B60" s="604"/>
      <c r="C60" s="604"/>
      <c r="D60" s="604"/>
      <c r="E60" s="589"/>
      <c r="F60" s="603"/>
      <c r="G60" s="304"/>
      <c r="H60" s="305"/>
      <c r="I60" s="305"/>
      <c r="J60" s="306"/>
      <c r="K60" s="307"/>
      <c r="L60" s="308"/>
      <c r="M60" s="309"/>
      <c r="N60" s="310"/>
      <c r="O60" s="590"/>
      <c r="P60" s="311"/>
      <c r="Q60" s="312"/>
      <c r="R60" s="603"/>
      <c r="S60" s="294"/>
      <c r="T60" s="604"/>
      <c r="U60" s="642"/>
      <c r="V60" s="679"/>
      <c r="W60" s="679"/>
      <c r="X60" s="702"/>
      <c r="Y60" s="679"/>
      <c r="Z60" s="679"/>
      <c r="AA60" s="642"/>
      <c r="AB60" s="679"/>
      <c r="AC60" s="643"/>
      <c r="AD60" s="643"/>
      <c r="AE60" s="643"/>
      <c r="AF60" s="677">
        <f t="shared" si="0"/>
        <v>0</v>
      </c>
    </row>
    <row r="61" spans="1:32">
      <c r="A61" s="604">
        <v>47</v>
      </c>
      <c r="B61" s="316" t="s">
        <v>956</v>
      </c>
      <c r="C61" s="316" t="s">
        <v>401</v>
      </c>
      <c r="D61" s="316" t="s">
        <v>1835</v>
      </c>
      <c r="E61" s="602" t="s">
        <v>1838</v>
      </c>
      <c r="F61" s="601">
        <v>0</v>
      </c>
      <c r="G61" s="601">
        <v>0</v>
      </c>
      <c r="H61" s="601">
        <v>0</v>
      </c>
      <c r="I61" s="601">
        <v>0</v>
      </c>
      <c r="J61" s="601">
        <v>0</v>
      </c>
      <c r="K61" s="601">
        <v>0</v>
      </c>
      <c r="L61" s="601">
        <v>0</v>
      </c>
      <c r="M61" s="601">
        <v>0</v>
      </c>
      <c r="N61" s="601">
        <v>0</v>
      </c>
      <c r="O61" s="601">
        <v>0</v>
      </c>
      <c r="P61" s="601">
        <v>600463.32999999996</v>
      </c>
      <c r="Q61" s="601">
        <v>601163.87</v>
      </c>
      <c r="R61" s="601">
        <v>0</v>
      </c>
      <c r="S61" s="484">
        <f>((F61+R61)+((G61+H61+I61+J61+K61+L61+M61+N61+O61+P61+Q61)*2))/24</f>
        <v>100135.59999999999</v>
      </c>
      <c r="T61" s="604"/>
      <c r="U61" s="642">
        <f>+S61</f>
        <v>100135.59999999999</v>
      </c>
      <c r="V61" s="679"/>
      <c r="W61" s="679"/>
      <c r="X61" s="702"/>
      <c r="Y61" s="679"/>
      <c r="Z61" s="679"/>
      <c r="AA61" s="642"/>
      <c r="AB61" s="679"/>
      <c r="AC61" s="643"/>
      <c r="AD61" s="645">
        <f>+U61</f>
        <v>100135.59999999999</v>
      </c>
      <c r="AE61" s="643"/>
      <c r="AF61" s="677">
        <f t="shared" si="0"/>
        <v>0</v>
      </c>
    </row>
    <row r="62" spans="1:32">
      <c r="A62" s="604">
        <v>48</v>
      </c>
      <c r="B62" s="316"/>
      <c r="C62" s="316" t="s">
        <v>401</v>
      </c>
      <c r="D62" s="316" t="s">
        <v>1839</v>
      </c>
      <c r="E62" s="602" t="s">
        <v>1840</v>
      </c>
      <c r="F62" s="704">
        <v>0</v>
      </c>
      <c r="G62" s="704">
        <v>0</v>
      </c>
      <c r="H62" s="704">
        <v>0</v>
      </c>
      <c r="I62" s="704">
        <v>0</v>
      </c>
      <c r="J62" s="704">
        <v>0</v>
      </c>
      <c r="K62" s="704">
        <v>0</v>
      </c>
      <c r="L62" s="704">
        <v>0</v>
      </c>
      <c r="M62" s="704">
        <v>0</v>
      </c>
      <c r="N62" s="704">
        <v>0</v>
      </c>
      <c r="O62" s="704">
        <v>0</v>
      </c>
      <c r="P62" s="704">
        <v>0</v>
      </c>
      <c r="Q62" s="704">
        <v>0</v>
      </c>
      <c r="R62" s="704">
        <v>0</v>
      </c>
      <c r="S62" s="484">
        <f>((F62+R62)+((G62+H62+I62+J62+K62+L62+M62+N62+O62+P62+Q62)*2))/24</f>
        <v>0</v>
      </c>
      <c r="T62" s="604"/>
      <c r="U62" s="642"/>
      <c r="V62" s="679"/>
      <c r="W62" s="679"/>
      <c r="X62" s="702"/>
      <c r="Y62" s="679"/>
      <c r="Z62" s="679"/>
      <c r="AA62" s="642"/>
      <c r="AB62" s="679"/>
      <c r="AC62" s="643"/>
      <c r="AD62" s="645"/>
      <c r="AE62" s="643"/>
      <c r="AF62" s="677"/>
    </row>
    <row r="63" spans="1:32">
      <c r="A63" s="604">
        <v>49</v>
      </c>
      <c r="B63" s="604"/>
      <c r="C63" s="604"/>
      <c r="D63" s="604"/>
      <c r="E63" s="589" t="s">
        <v>402</v>
      </c>
      <c r="F63" s="601">
        <f t="shared" ref="F63:S63" si="12">+F61</f>
        <v>0</v>
      </c>
      <c r="G63" s="601">
        <f t="shared" si="12"/>
        <v>0</v>
      </c>
      <c r="H63" s="601">
        <f t="shared" si="12"/>
        <v>0</v>
      </c>
      <c r="I63" s="601">
        <f t="shared" si="12"/>
        <v>0</v>
      </c>
      <c r="J63" s="601">
        <f t="shared" si="12"/>
        <v>0</v>
      </c>
      <c r="K63" s="601">
        <f t="shared" si="12"/>
        <v>0</v>
      </c>
      <c r="L63" s="601">
        <f t="shared" si="12"/>
        <v>0</v>
      </c>
      <c r="M63" s="601">
        <f t="shared" si="12"/>
        <v>0</v>
      </c>
      <c r="N63" s="601">
        <f t="shared" si="12"/>
        <v>0</v>
      </c>
      <c r="O63" s="601">
        <f t="shared" si="12"/>
        <v>0</v>
      </c>
      <c r="P63" s="601">
        <f t="shared" si="12"/>
        <v>600463.32999999996</v>
      </c>
      <c r="Q63" s="601">
        <f t="shared" si="12"/>
        <v>601163.87</v>
      </c>
      <c r="R63" s="601">
        <f t="shared" si="12"/>
        <v>0</v>
      </c>
      <c r="S63" s="486">
        <f t="shared" si="12"/>
        <v>100135.59999999999</v>
      </c>
      <c r="T63" s="604"/>
      <c r="U63" s="642"/>
      <c r="V63" s="679"/>
      <c r="W63" s="679"/>
      <c r="X63" s="702"/>
      <c r="Y63" s="679"/>
      <c r="Z63" s="679"/>
      <c r="AA63" s="642"/>
      <c r="AB63" s="679"/>
      <c r="AC63" s="643"/>
      <c r="AD63" s="643"/>
      <c r="AE63" s="643"/>
      <c r="AF63" s="677">
        <f t="shared" si="0"/>
        <v>0</v>
      </c>
    </row>
    <row r="64" spans="1:32">
      <c r="A64" s="604">
        <v>50</v>
      </c>
      <c r="B64" s="604"/>
      <c r="C64" s="604"/>
      <c r="D64" s="604"/>
      <c r="E64" s="589"/>
      <c r="F64" s="603"/>
      <c r="G64" s="304"/>
      <c r="H64" s="305"/>
      <c r="I64" s="305"/>
      <c r="J64" s="306"/>
      <c r="K64" s="307"/>
      <c r="L64" s="308"/>
      <c r="M64" s="309"/>
      <c r="N64" s="310"/>
      <c r="O64" s="590"/>
      <c r="P64" s="311"/>
      <c r="Q64" s="312"/>
      <c r="R64" s="603"/>
      <c r="S64" s="294"/>
      <c r="T64" s="604"/>
      <c r="U64" s="642"/>
      <c r="V64" s="679"/>
      <c r="W64" s="679"/>
      <c r="X64" s="702"/>
      <c r="Y64" s="679"/>
      <c r="Z64" s="679"/>
      <c r="AA64" s="642"/>
      <c r="AB64" s="679"/>
      <c r="AC64" s="643"/>
      <c r="AD64" s="643"/>
      <c r="AE64" s="643"/>
      <c r="AF64" s="677">
        <f t="shared" si="0"/>
        <v>0</v>
      </c>
    </row>
    <row r="65" spans="1:32">
      <c r="A65" s="604">
        <v>51</v>
      </c>
      <c r="B65" s="316" t="s">
        <v>956</v>
      </c>
      <c r="C65" s="316" t="s">
        <v>403</v>
      </c>
      <c r="D65" s="316" t="s">
        <v>515</v>
      </c>
      <c r="E65" s="602" t="s">
        <v>1478</v>
      </c>
      <c r="F65" s="603">
        <v>945100.14</v>
      </c>
      <c r="G65" s="603">
        <v>77207.17</v>
      </c>
      <c r="H65" s="603">
        <v>-35501.22</v>
      </c>
      <c r="I65" s="603">
        <v>-2563.5099999999602</v>
      </c>
      <c r="J65" s="603">
        <v>-25324.03</v>
      </c>
      <c r="K65" s="603">
        <v>-2851.8199999999601</v>
      </c>
      <c r="L65" s="603">
        <v>-38329.089999999997</v>
      </c>
      <c r="M65" s="603">
        <v>-10234.5</v>
      </c>
      <c r="N65" s="603">
        <v>-3308.3499999999499</v>
      </c>
      <c r="O65" s="603">
        <v>-6784.3099999999504</v>
      </c>
      <c r="P65" s="603">
        <v>-28025.86</v>
      </c>
      <c r="Q65" s="603">
        <v>-25813.22</v>
      </c>
      <c r="R65" s="603">
        <v>-36000.230000000003</v>
      </c>
      <c r="S65" s="484">
        <f>((F65+R65)+((G65+H65+I65+J65+K65+L65+M65+N65+O65+P65+Q65)*2))/24</f>
        <v>29418.43458333335</v>
      </c>
      <c r="T65" s="604"/>
      <c r="U65" s="642">
        <f t="shared" ref="U65:U79" si="13">+S65</f>
        <v>29418.43458333335</v>
      </c>
      <c r="V65" s="679"/>
      <c r="W65" s="679"/>
      <c r="X65" s="702"/>
      <c r="Y65" s="679"/>
      <c r="Z65" s="679"/>
      <c r="AA65" s="642"/>
      <c r="AB65" s="679"/>
      <c r="AC65" s="643"/>
      <c r="AD65" s="644">
        <f t="shared" ref="AD65:AD80" si="14">+U65</f>
        <v>29418.43458333335</v>
      </c>
      <c r="AE65" s="643"/>
      <c r="AF65" s="677">
        <f t="shared" si="0"/>
        <v>0</v>
      </c>
    </row>
    <row r="66" spans="1:32">
      <c r="A66" s="604">
        <v>52</v>
      </c>
      <c r="B66" s="316" t="s">
        <v>984</v>
      </c>
      <c r="C66" s="316" t="s">
        <v>403</v>
      </c>
      <c r="D66" s="316" t="s">
        <v>515</v>
      </c>
      <c r="E66" s="602" t="s">
        <v>1483</v>
      </c>
      <c r="F66" s="603">
        <v>2449138.14</v>
      </c>
      <c r="G66" s="603">
        <v>3224853.65</v>
      </c>
      <c r="H66" s="603">
        <v>4270584.4000000004</v>
      </c>
      <c r="I66" s="603">
        <v>4555591.4800000004</v>
      </c>
      <c r="J66" s="603">
        <v>2924868.02</v>
      </c>
      <c r="K66" s="603">
        <v>1818952.73</v>
      </c>
      <c r="L66" s="603">
        <v>1233736.6000000001</v>
      </c>
      <c r="M66" s="603">
        <v>615442.89000000095</v>
      </c>
      <c r="N66" s="603">
        <v>109138.91000000099</v>
      </c>
      <c r="O66" s="603">
        <v>-122104.77999999899</v>
      </c>
      <c r="P66" s="603">
        <v>783535.89000000095</v>
      </c>
      <c r="Q66" s="603">
        <v>2056616.36</v>
      </c>
      <c r="R66" s="603">
        <v>3791764.54</v>
      </c>
      <c r="S66" s="484">
        <f t="shared" ref="S66:S74" si="15">((F66+R66)+((G66+H66+I66+J66+K66+L66+M66+N66+O66+P66+Q66)*2))/24</f>
        <v>2049305.6241666672</v>
      </c>
      <c r="T66" s="604"/>
      <c r="U66" s="642">
        <f t="shared" si="13"/>
        <v>2049305.6241666672</v>
      </c>
      <c r="V66" s="679"/>
      <c r="W66" s="679"/>
      <c r="X66" s="702"/>
      <c r="Y66" s="679"/>
      <c r="Z66" s="679"/>
      <c r="AA66" s="642"/>
      <c r="AB66" s="679"/>
      <c r="AC66" s="643"/>
      <c r="AD66" s="644">
        <f t="shared" si="14"/>
        <v>2049305.6241666672</v>
      </c>
      <c r="AE66" s="643"/>
      <c r="AF66" s="677">
        <f t="shared" si="0"/>
        <v>0</v>
      </c>
    </row>
    <row r="67" spans="1:32">
      <c r="A67" s="604">
        <v>53</v>
      </c>
      <c r="B67" s="316" t="s">
        <v>959</v>
      </c>
      <c r="C67" s="316" t="s">
        <v>403</v>
      </c>
      <c r="D67" s="316" t="s">
        <v>515</v>
      </c>
      <c r="E67" s="602" t="s">
        <v>1483</v>
      </c>
      <c r="F67" s="603">
        <v>7070459.8200000003</v>
      </c>
      <c r="G67" s="603">
        <v>8797923.8399999999</v>
      </c>
      <c r="H67" s="603">
        <v>13570803.08</v>
      </c>
      <c r="I67" s="603">
        <v>14612696.369999999</v>
      </c>
      <c r="J67" s="603">
        <v>7368251.1799999997</v>
      </c>
      <c r="K67" s="603">
        <v>4720081.41</v>
      </c>
      <c r="L67" s="603">
        <v>2456323.9900000002</v>
      </c>
      <c r="M67" s="603">
        <v>159505.82</v>
      </c>
      <c r="N67" s="603">
        <v>-943408.66</v>
      </c>
      <c r="O67" s="603">
        <v>-2231209.11</v>
      </c>
      <c r="P67" s="603">
        <v>-170826.56999999899</v>
      </c>
      <c r="Q67" s="603">
        <v>5610894.5300000003</v>
      </c>
      <c r="R67" s="603">
        <v>11509546.060000001</v>
      </c>
      <c r="S67" s="484">
        <f t="shared" si="15"/>
        <v>5270086.5683333343</v>
      </c>
      <c r="T67" s="604"/>
      <c r="U67" s="642">
        <f t="shared" si="13"/>
        <v>5270086.5683333343</v>
      </c>
      <c r="V67" s="679"/>
      <c r="W67" s="679"/>
      <c r="X67" s="702"/>
      <c r="Y67" s="679"/>
      <c r="Z67" s="679"/>
      <c r="AA67" s="642"/>
      <c r="AB67" s="679"/>
      <c r="AC67" s="643"/>
      <c r="AD67" s="644">
        <f t="shared" si="14"/>
        <v>5270086.5683333343</v>
      </c>
      <c r="AE67" s="643"/>
      <c r="AF67" s="677">
        <f t="shared" si="0"/>
        <v>0</v>
      </c>
    </row>
    <row r="68" spans="1:32">
      <c r="A68" s="604">
        <v>54</v>
      </c>
      <c r="B68" s="316" t="s">
        <v>984</v>
      </c>
      <c r="C68" s="316" t="s">
        <v>403</v>
      </c>
      <c r="D68" s="316" t="s">
        <v>549</v>
      </c>
      <c r="E68" s="602" t="s">
        <v>1484</v>
      </c>
      <c r="F68" s="603">
        <v>161397.89000000001</v>
      </c>
      <c r="G68" s="603">
        <v>20520.34</v>
      </c>
      <c r="H68" s="603">
        <v>224215.24</v>
      </c>
      <c r="I68" s="603">
        <v>16515.099999999999</v>
      </c>
      <c r="J68" s="603">
        <v>56070.1</v>
      </c>
      <c r="K68" s="603">
        <v>38983.660000000003</v>
      </c>
      <c r="L68" s="603">
        <v>25519.71</v>
      </c>
      <c r="M68" s="603">
        <v>24177.96</v>
      </c>
      <c r="N68" s="603">
        <v>33844.92</v>
      </c>
      <c r="O68" s="603">
        <v>55496.84</v>
      </c>
      <c r="P68" s="603">
        <v>30727.86</v>
      </c>
      <c r="Q68" s="603">
        <v>97435.35</v>
      </c>
      <c r="R68" s="603">
        <v>23387.360000000001</v>
      </c>
      <c r="S68" s="484">
        <f t="shared" si="15"/>
        <v>59658.308749999997</v>
      </c>
      <c r="T68" s="604"/>
      <c r="U68" s="642">
        <f t="shared" si="13"/>
        <v>59658.308749999997</v>
      </c>
      <c r="V68" s="679"/>
      <c r="W68" s="679"/>
      <c r="X68" s="702"/>
      <c r="Y68" s="679"/>
      <c r="Z68" s="679"/>
      <c r="AA68" s="642"/>
      <c r="AB68" s="679"/>
      <c r="AC68" s="643"/>
      <c r="AD68" s="644">
        <f t="shared" si="14"/>
        <v>59658.308749999997</v>
      </c>
      <c r="AE68" s="643"/>
      <c r="AF68" s="677">
        <f t="shared" si="0"/>
        <v>0</v>
      </c>
    </row>
    <row r="69" spans="1:32">
      <c r="A69" s="604">
        <v>55</v>
      </c>
      <c r="B69" s="316" t="s">
        <v>959</v>
      </c>
      <c r="C69" s="316" t="s">
        <v>403</v>
      </c>
      <c r="D69" s="316" t="s">
        <v>549</v>
      </c>
      <c r="E69" s="602" t="s">
        <v>1484</v>
      </c>
      <c r="F69" s="603">
        <v>150854.79</v>
      </c>
      <c r="G69" s="603">
        <v>159573</v>
      </c>
      <c r="H69" s="603">
        <v>259737.60000000001</v>
      </c>
      <c r="I69" s="603">
        <v>194116.22</v>
      </c>
      <c r="J69" s="603">
        <v>129670.29</v>
      </c>
      <c r="K69" s="603">
        <v>129990.04</v>
      </c>
      <c r="L69" s="603">
        <v>65209.33</v>
      </c>
      <c r="M69" s="603">
        <v>172461.87</v>
      </c>
      <c r="N69" s="603">
        <v>106331.78</v>
      </c>
      <c r="O69" s="603">
        <v>228476.34</v>
      </c>
      <c r="P69" s="603">
        <v>161198.41</v>
      </c>
      <c r="Q69" s="603">
        <v>250522.76</v>
      </c>
      <c r="R69" s="603">
        <v>266649.46999999997</v>
      </c>
      <c r="S69" s="484">
        <f t="shared" si="15"/>
        <v>172169.98083333333</v>
      </c>
      <c r="T69" s="604"/>
      <c r="U69" s="642">
        <f t="shared" si="13"/>
        <v>172169.98083333333</v>
      </c>
      <c r="V69" s="679"/>
      <c r="W69" s="679"/>
      <c r="X69" s="702"/>
      <c r="Y69" s="679"/>
      <c r="Z69" s="679"/>
      <c r="AA69" s="642"/>
      <c r="AB69" s="679"/>
      <c r="AC69" s="643"/>
      <c r="AD69" s="644">
        <f t="shared" si="14"/>
        <v>172169.98083333333</v>
      </c>
      <c r="AE69" s="643"/>
      <c r="AF69" s="677">
        <f t="shared" si="0"/>
        <v>0</v>
      </c>
    </row>
    <row r="70" spans="1:32">
      <c r="A70" s="604">
        <v>56</v>
      </c>
      <c r="B70" s="316" t="s">
        <v>984</v>
      </c>
      <c r="C70" s="316" t="s">
        <v>403</v>
      </c>
      <c r="D70" s="316" t="s">
        <v>943</v>
      </c>
      <c r="E70" s="602" t="s">
        <v>1485</v>
      </c>
      <c r="F70" s="603">
        <v>1518612.94</v>
      </c>
      <c r="G70" s="603">
        <v>0</v>
      </c>
      <c r="H70" s="603">
        <v>0</v>
      </c>
      <c r="I70" s="603">
        <v>0</v>
      </c>
      <c r="J70" s="603">
        <v>0</v>
      </c>
      <c r="K70" s="603">
        <v>0</v>
      </c>
      <c r="L70" s="603">
        <v>0</v>
      </c>
      <c r="M70" s="603">
        <v>0</v>
      </c>
      <c r="N70" s="603">
        <v>0</v>
      </c>
      <c r="O70" s="603">
        <v>0</v>
      </c>
      <c r="P70" s="603">
        <v>0</v>
      </c>
      <c r="Q70" s="603">
        <v>0</v>
      </c>
      <c r="R70" s="603">
        <v>0</v>
      </c>
      <c r="S70" s="484">
        <f t="shared" si="15"/>
        <v>63275.539166666662</v>
      </c>
      <c r="T70" s="604"/>
      <c r="U70" s="642">
        <f t="shared" si="13"/>
        <v>63275.539166666662</v>
      </c>
      <c r="V70" s="679"/>
      <c r="W70" s="679"/>
      <c r="X70" s="702"/>
      <c r="Y70" s="679"/>
      <c r="Z70" s="679"/>
      <c r="AA70" s="642"/>
      <c r="AB70" s="679"/>
      <c r="AC70" s="643"/>
      <c r="AD70" s="644">
        <f t="shared" si="14"/>
        <v>63275.539166666662</v>
      </c>
      <c r="AE70" s="643"/>
      <c r="AF70" s="677">
        <f t="shared" si="0"/>
        <v>0</v>
      </c>
    </row>
    <row r="71" spans="1:32">
      <c r="A71" s="604">
        <v>57</v>
      </c>
      <c r="B71" s="316" t="s">
        <v>959</v>
      </c>
      <c r="C71" s="316" t="s">
        <v>403</v>
      </c>
      <c r="D71" s="316" t="s">
        <v>943</v>
      </c>
      <c r="E71" s="602" t="s">
        <v>1485</v>
      </c>
      <c r="F71" s="603">
        <v>5330310.5</v>
      </c>
      <c r="G71" s="603"/>
      <c r="H71" s="603"/>
      <c r="I71" s="603"/>
      <c r="J71" s="603"/>
      <c r="K71" s="603"/>
      <c r="L71" s="603"/>
      <c r="M71" s="603"/>
      <c r="N71" s="603"/>
      <c r="O71" s="603"/>
      <c r="P71" s="603"/>
      <c r="Q71" s="603"/>
      <c r="R71" s="603"/>
      <c r="S71" s="484">
        <f t="shared" si="15"/>
        <v>222096.27083333334</v>
      </c>
      <c r="T71" s="604"/>
      <c r="U71" s="642">
        <f t="shared" si="13"/>
        <v>222096.27083333334</v>
      </c>
      <c r="V71" s="679"/>
      <c r="W71" s="679"/>
      <c r="X71" s="702"/>
      <c r="Y71" s="679"/>
      <c r="Z71" s="679"/>
      <c r="AA71" s="642"/>
      <c r="AB71" s="679"/>
      <c r="AC71" s="643"/>
      <c r="AD71" s="644">
        <f t="shared" si="14"/>
        <v>222096.27083333334</v>
      </c>
      <c r="AE71" s="643"/>
      <c r="AF71" s="677">
        <f t="shared" si="0"/>
        <v>0</v>
      </c>
    </row>
    <row r="72" spans="1:32">
      <c r="A72" s="604">
        <v>58</v>
      </c>
      <c r="B72" s="316" t="s">
        <v>956</v>
      </c>
      <c r="C72" s="316" t="s">
        <v>404</v>
      </c>
      <c r="D72" s="316" t="s">
        <v>1112</v>
      </c>
      <c r="E72" s="602" t="s">
        <v>1479</v>
      </c>
      <c r="F72" s="603">
        <v>1902279.41</v>
      </c>
      <c r="G72" s="603">
        <v>2597806.41</v>
      </c>
      <c r="H72" s="603">
        <v>945119.02</v>
      </c>
      <c r="I72" s="603">
        <v>2906113.03</v>
      </c>
      <c r="J72" s="603">
        <v>4127184.76</v>
      </c>
      <c r="K72" s="603">
        <v>1054693.96</v>
      </c>
      <c r="L72" s="603">
        <v>924373.96</v>
      </c>
      <c r="M72" s="603">
        <v>794790.47</v>
      </c>
      <c r="N72" s="603">
        <v>860599.65</v>
      </c>
      <c r="O72" s="603">
        <v>823984.28</v>
      </c>
      <c r="P72" s="603">
        <v>729266.75</v>
      </c>
      <c r="Q72" s="603">
        <v>903384.87</v>
      </c>
      <c r="R72" s="603">
        <v>1539318.94</v>
      </c>
      <c r="S72" s="484">
        <f t="shared" si="15"/>
        <v>1532343.0279166668</v>
      </c>
      <c r="T72" s="604"/>
      <c r="U72" s="642">
        <f t="shared" si="13"/>
        <v>1532343.0279166668</v>
      </c>
      <c r="V72" s="679"/>
      <c r="W72" s="679"/>
      <c r="X72" s="702"/>
      <c r="Y72" s="679"/>
      <c r="Z72" s="679"/>
      <c r="AA72" s="642"/>
      <c r="AB72" s="679"/>
      <c r="AC72" s="643"/>
      <c r="AD72" s="644">
        <f t="shared" si="14"/>
        <v>1532343.0279166668</v>
      </c>
      <c r="AE72" s="643"/>
      <c r="AF72" s="677">
        <f t="shared" si="0"/>
        <v>0</v>
      </c>
    </row>
    <row r="73" spans="1:32">
      <c r="A73" s="604">
        <v>59</v>
      </c>
      <c r="B73" s="316" t="s">
        <v>956</v>
      </c>
      <c r="C73" s="316" t="s">
        <v>404</v>
      </c>
      <c r="D73" s="316" t="s">
        <v>450</v>
      </c>
      <c r="E73" s="602" t="s">
        <v>1480</v>
      </c>
      <c r="F73" s="603">
        <v>0</v>
      </c>
      <c r="G73" s="603">
        <v>0</v>
      </c>
      <c r="H73" s="603">
        <v>0</v>
      </c>
      <c r="I73" s="603">
        <v>-3804.8</v>
      </c>
      <c r="J73" s="603">
        <v>-3804.8</v>
      </c>
      <c r="K73" s="603">
        <v>-3804.8</v>
      </c>
      <c r="L73" s="603">
        <v>-3804.8</v>
      </c>
      <c r="M73" s="603">
        <v>-3804.8</v>
      </c>
      <c r="N73" s="603">
        <v>-3804.8</v>
      </c>
      <c r="O73" s="603">
        <v>0</v>
      </c>
      <c r="P73" s="603">
        <v>-1908.26</v>
      </c>
      <c r="Q73" s="603">
        <v>-1908.26</v>
      </c>
      <c r="R73" s="603">
        <v>-1908.26</v>
      </c>
      <c r="S73" s="484">
        <f>((F73+R73)+((G73+H73+I73+J73+K73+L73+M73+N73+O73+P73+Q73)*2))/24</f>
        <v>-2299.9541666666664</v>
      </c>
      <c r="T73" s="604"/>
      <c r="U73" s="642">
        <f t="shared" si="13"/>
        <v>-2299.9541666666664</v>
      </c>
      <c r="V73" s="679"/>
      <c r="W73" s="679"/>
      <c r="X73" s="702"/>
      <c r="Y73" s="679"/>
      <c r="Z73" s="679"/>
      <c r="AA73" s="642"/>
      <c r="AB73" s="679"/>
      <c r="AC73" s="643"/>
      <c r="AD73" s="644">
        <f t="shared" si="14"/>
        <v>-2299.9541666666664</v>
      </c>
      <c r="AE73" s="643"/>
      <c r="AF73" s="677">
        <f t="shared" si="0"/>
        <v>0</v>
      </c>
    </row>
    <row r="74" spans="1:32">
      <c r="A74" s="604">
        <v>60</v>
      </c>
      <c r="B74" s="316" t="s">
        <v>956</v>
      </c>
      <c r="C74" s="316" t="s">
        <v>404</v>
      </c>
      <c r="D74" s="316" t="s">
        <v>481</v>
      </c>
      <c r="E74" s="602" t="s">
        <v>1481</v>
      </c>
      <c r="F74" s="603">
        <v>359.95999999999901</v>
      </c>
      <c r="G74" s="603">
        <v>566.5</v>
      </c>
      <c r="H74" s="603">
        <v>1764.32</v>
      </c>
      <c r="I74" s="603">
        <v>1105.6600000000001</v>
      </c>
      <c r="J74" s="603">
        <v>991.9</v>
      </c>
      <c r="K74" s="603">
        <v>666.52</v>
      </c>
      <c r="L74" s="603">
        <v>551.62</v>
      </c>
      <c r="M74" s="603">
        <v>590.4</v>
      </c>
      <c r="N74" s="603">
        <v>330.14</v>
      </c>
      <c r="O74" s="603">
        <v>1586.19</v>
      </c>
      <c r="P74" s="603">
        <v>529.12</v>
      </c>
      <c r="Q74" s="603">
        <v>515.58000000000004</v>
      </c>
      <c r="R74" s="603">
        <v>658.36</v>
      </c>
      <c r="S74" s="484">
        <f t="shared" si="15"/>
        <v>808.92583333333334</v>
      </c>
      <c r="T74" s="604"/>
      <c r="U74" s="642">
        <f t="shared" si="13"/>
        <v>808.92583333333334</v>
      </c>
      <c r="V74" s="679"/>
      <c r="W74" s="679"/>
      <c r="X74" s="702"/>
      <c r="Y74" s="679"/>
      <c r="Z74" s="679"/>
      <c r="AA74" s="642"/>
      <c r="AB74" s="679"/>
      <c r="AC74" s="643"/>
      <c r="AD74" s="644">
        <f t="shared" si="14"/>
        <v>808.92583333333334</v>
      </c>
      <c r="AE74" s="643"/>
      <c r="AF74" s="677">
        <f t="shared" si="0"/>
        <v>0</v>
      </c>
    </row>
    <row r="75" spans="1:32">
      <c r="A75" s="604">
        <v>61</v>
      </c>
      <c r="B75" s="316" t="s">
        <v>956</v>
      </c>
      <c r="C75" s="316" t="s">
        <v>404</v>
      </c>
      <c r="D75" s="316" t="s">
        <v>482</v>
      </c>
      <c r="E75" s="602" t="s">
        <v>1482</v>
      </c>
      <c r="F75" s="603">
        <v>257648.3</v>
      </c>
      <c r="G75" s="603">
        <v>303949.43</v>
      </c>
      <c r="H75" s="603">
        <v>355535.21</v>
      </c>
      <c r="I75" s="603">
        <v>262964.24</v>
      </c>
      <c r="J75" s="603">
        <v>307173.12</v>
      </c>
      <c r="K75" s="603">
        <v>104646.39</v>
      </c>
      <c r="L75" s="603">
        <v>152666.29</v>
      </c>
      <c r="M75" s="603">
        <v>7580.0199999999904</v>
      </c>
      <c r="N75" s="603">
        <v>7990.0199999999904</v>
      </c>
      <c r="O75" s="603">
        <v>8314.0099999999893</v>
      </c>
      <c r="P75" s="603">
        <v>8084.0099999999902</v>
      </c>
      <c r="Q75" s="603">
        <v>8084.0099999999902</v>
      </c>
      <c r="R75" s="603">
        <v>8084.0099999999902</v>
      </c>
      <c r="S75" s="484">
        <f t="shared" ref="S75:S80" si="16">((F75+R75)+((G75+H75+I75+J75+K75+L75+M75+N75+O75+P75+Q75)*2))/24</f>
        <v>138321.07541666666</v>
      </c>
      <c r="T75" s="604"/>
      <c r="U75" s="642">
        <f t="shared" si="13"/>
        <v>138321.07541666666</v>
      </c>
      <c r="V75" s="679"/>
      <c r="W75" s="679"/>
      <c r="X75" s="702"/>
      <c r="Y75" s="679"/>
      <c r="Z75" s="679"/>
      <c r="AA75" s="642"/>
      <c r="AB75" s="679"/>
      <c r="AC75" s="643"/>
      <c r="AD75" s="644">
        <f t="shared" si="14"/>
        <v>138321.07541666666</v>
      </c>
      <c r="AE75" s="643"/>
      <c r="AF75" s="677">
        <f t="shared" si="0"/>
        <v>0</v>
      </c>
    </row>
    <row r="76" spans="1:32">
      <c r="A76" s="604">
        <v>62</v>
      </c>
      <c r="B76" s="316" t="s">
        <v>956</v>
      </c>
      <c r="C76" s="316" t="s">
        <v>404</v>
      </c>
      <c r="D76" s="316" t="s">
        <v>567</v>
      </c>
      <c r="E76" s="602" t="s">
        <v>1841</v>
      </c>
      <c r="F76" s="603">
        <v>0</v>
      </c>
      <c r="G76" s="603">
        <v>10173859.369999999</v>
      </c>
      <c r="H76" s="603">
        <v>7365699.0300000003</v>
      </c>
      <c r="I76" s="603">
        <v>11008430.640000001</v>
      </c>
      <c r="J76" s="603">
        <v>8320373.6100000003</v>
      </c>
      <c r="K76" s="603">
        <v>9136725.1199999992</v>
      </c>
      <c r="L76" s="603">
        <v>9109102.8499999996</v>
      </c>
      <c r="M76" s="603">
        <v>10662515.24</v>
      </c>
      <c r="N76" s="603">
        <v>12105733.43</v>
      </c>
      <c r="O76" s="603">
        <v>10372514.91</v>
      </c>
      <c r="P76" s="603">
        <v>10522789.140000001</v>
      </c>
      <c r="Q76" s="603">
        <v>5534647.2800000003</v>
      </c>
      <c r="R76" s="603">
        <v>3362650.77</v>
      </c>
      <c r="S76" s="484">
        <f t="shared" si="16"/>
        <v>8832809.6670833323</v>
      </c>
      <c r="T76" s="604"/>
      <c r="U76" s="642">
        <f t="shared" si="13"/>
        <v>8832809.6670833323</v>
      </c>
      <c r="V76" s="679"/>
      <c r="W76" s="679"/>
      <c r="X76" s="702"/>
      <c r="Y76" s="679"/>
      <c r="Z76" s="679"/>
      <c r="AA76" s="642"/>
      <c r="AB76" s="679"/>
      <c r="AC76" s="643"/>
      <c r="AD76" s="644">
        <f t="shared" si="14"/>
        <v>8832809.6670833323</v>
      </c>
      <c r="AE76" s="643"/>
      <c r="AF76" s="677"/>
    </row>
    <row r="77" spans="1:32">
      <c r="A77" s="604">
        <v>63</v>
      </c>
      <c r="B77" s="316" t="s">
        <v>984</v>
      </c>
      <c r="C77" s="316" t="s">
        <v>404</v>
      </c>
      <c r="D77" s="316" t="s">
        <v>568</v>
      </c>
      <c r="E77" s="602" t="s">
        <v>1842</v>
      </c>
      <c r="F77" s="603">
        <v>0</v>
      </c>
      <c r="G77" s="603">
        <v>803513.12</v>
      </c>
      <c r="H77" s="603">
        <v>1136244.72</v>
      </c>
      <c r="I77" s="603">
        <v>1476991.49</v>
      </c>
      <c r="J77" s="603">
        <v>710674.26</v>
      </c>
      <c r="K77" s="603">
        <v>782041.4</v>
      </c>
      <c r="L77" s="603">
        <v>921213.06</v>
      </c>
      <c r="M77" s="603">
        <v>1056901.3799999999</v>
      </c>
      <c r="N77" s="603">
        <v>1182944.8400000001</v>
      </c>
      <c r="O77" s="603">
        <v>1218165.53</v>
      </c>
      <c r="P77" s="603">
        <v>1231042.8400000001</v>
      </c>
      <c r="Q77" s="603">
        <v>281899.87</v>
      </c>
      <c r="R77" s="603">
        <v>282015.99</v>
      </c>
      <c r="S77" s="484">
        <f t="shared" si="16"/>
        <v>911886.70874999987</v>
      </c>
      <c r="T77" s="604"/>
      <c r="U77" s="642">
        <f t="shared" si="13"/>
        <v>911886.70874999987</v>
      </c>
      <c r="V77" s="679"/>
      <c r="W77" s="679"/>
      <c r="X77" s="702"/>
      <c r="Y77" s="679"/>
      <c r="Z77" s="679"/>
      <c r="AA77" s="642"/>
      <c r="AB77" s="679"/>
      <c r="AC77" s="643"/>
      <c r="AD77" s="644">
        <f t="shared" si="14"/>
        <v>911886.70874999987</v>
      </c>
      <c r="AE77" s="643"/>
      <c r="AF77" s="677"/>
    </row>
    <row r="78" spans="1:32">
      <c r="A78" s="604">
        <v>64</v>
      </c>
      <c r="B78" s="316" t="s">
        <v>956</v>
      </c>
      <c r="C78" s="316" t="s">
        <v>404</v>
      </c>
      <c r="D78" s="316" t="s">
        <v>470</v>
      </c>
      <c r="E78" s="602" t="s">
        <v>1843</v>
      </c>
      <c r="F78" s="603">
        <v>0</v>
      </c>
      <c r="G78" s="603">
        <v>-71714</v>
      </c>
      <c r="H78" s="603">
        <v>-71714</v>
      </c>
      <c r="I78" s="603">
        <v>-78024</v>
      </c>
      <c r="J78" s="603">
        <v>-78024</v>
      </c>
      <c r="K78" s="603">
        <v>-78024</v>
      </c>
      <c r="L78" s="603">
        <v>-86412</v>
      </c>
      <c r="M78" s="603">
        <v>-86412</v>
      </c>
      <c r="N78" s="603">
        <v>-86412</v>
      </c>
      <c r="O78" s="603">
        <v>-93428.9</v>
      </c>
      <c r="P78" s="603">
        <v>-93428.9</v>
      </c>
      <c r="Q78" s="603">
        <v>-93428.9</v>
      </c>
      <c r="R78" s="603">
        <v>-103941.2</v>
      </c>
      <c r="S78" s="484">
        <f t="shared" si="16"/>
        <v>-80749.441666666666</v>
      </c>
      <c r="T78" s="604"/>
      <c r="U78" s="642">
        <f t="shared" si="13"/>
        <v>-80749.441666666666</v>
      </c>
      <c r="V78" s="679"/>
      <c r="W78" s="679"/>
      <c r="X78" s="702"/>
      <c r="Y78" s="679"/>
      <c r="Z78" s="679"/>
      <c r="AA78" s="642"/>
      <c r="AB78" s="679"/>
      <c r="AC78" s="643"/>
      <c r="AD78" s="644">
        <f t="shared" si="14"/>
        <v>-80749.441666666666</v>
      </c>
      <c r="AE78" s="643"/>
      <c r="AF78" s="677"/>
    </row>
    <row r="79" spans="1:32">
      <c r="A79" s="604">
        <v>65</v>
      </c>
      <c r="B79" s="316" t="s">
        <v>1844</v>
      </c>
      <c r="C79" s="316" t="s">
        <v>404</v>
      </c>
      <c r="D79" s="316" t="s">
        <v>1113</v>
      </c>
      <c r="E79" s="602" t="s">
        <v>1845</v>
      </c>
      <c r="F79" s="603">
        <v>0</v>
      </c>
      <c r="G79" s="603">
        <v>0</v>
      </c>
      <c r="H79" s="603">
        <v>0</v>
      </c>
      <c r="I79" s="603">
        <v>-12407398.130000001</v>
      </c>
      <c r="J79" s="603">
        <v>0</v>
      </c>
      <c r="K79" s="603">
        <v>0</v>
      </c>
      <c r="L79" s="603">
        <v>0</v>
      </c>
      <c r="M79" s="603">
        <v>0</v>
      </c>
      <c r="N79" s="603">
        <v>0</v>
      </c>
      <c r="O79" s="603">
        <v>0</v>
      </c>
      <c r="P79" s="603">
        <v>0</v>
      </c>
      <c r="Q79" s="603">
        <v>0</v>
      </c>
      <c r="R79" s="603">
        <v>0</v>
      </c>
      <c r="S79" s="484">
        <f t="shared" si="16"/>
        <v>-1033949.8441666667</v>
      </c>
      <c r="T79" s="604"/>
      <c r="U79" s="642">
        <f t="shared" si="13"/>
        <v>-1033949.8441666667</v>
      </c>
      <c r="V79" s="679"/>
      <c r="W79" s="679"/>
      <c r="X79" s="702"/>
      <c r="Y79" s="679"/>
      <c r="Z79" s="679"/>
      <c r="AA79" s="642"/>
      <c r="AB79" s="679"/>
      <c r="AC79" s="643"/>
      <c r="AD79" s="644">
        <f t="shared" si="14"/>
        <v>-1033949.8441666667</v>
      </c>
      <c r="AE79" s="643"/>
      <c r="AF79" s="677"/>
    </row>
    <row r="80" spans="1:32">
      <c r="A80" s="604">
        <v>66</v>
      </c>
      <c r="B80" s="316" t="s">
        <v>1844</v>
      </c>
      <c r="C80" s="316" t="s">
        <v>403</v>
      </c>
      <c r="D80" s="316" t="s">
        <v>369</v>
      </c>
      <c r="E80" s="602" t="s">
        <v>1485</v>
      </c>
      <c r="F80" s="603">
        <v>0</v>
      </c>
      <c r="G80" s="603">
        <v>5838301.9000000004</v>
      </c>
      <c r="H80" s="603">
        <v>4633485.24</v>
      </c>
      <c r="I80" s="603">
        <v>3540579.51</v>
      </c>
      <c r="J80" s="603">
        <v>3642714.65</v>
      </c>
      <c r="K80" s="603">
        <v>4098905.74</v>
      </c>
      <c r="L80" s="603">
        <v>4827107.67</v>
      </c>
      <c r="M80" s="603">
        <v>5806606.46</v>
      </c>
      <c r="N80" s="603">
        <v>6744026.6699999999</v>
      </c>
      <c r="O80" s="603">
        <v>7810745.5800000001</v>
      </c>
      <c r="P80" s="603">
        <v>8303914.0999999996</v>
      </c>
      <c r="Q80" s="603">
        <v>7709249.4000000004</v>
      </c>
      <c r="R80" s="603">
        <v>6456802.7800000003</v>
      </c>
      <c r="S80" s="484">
        <f t="shared" si="16"/>
        <v>5515336.5258333338</v>
      </c>
      <c r="T80" s="604"/>
      <c r="U80" s="642">
        <f>+S80</f>
        <v>5515336.5258333338</v>
      </c>
      <c r="V80" s="679"/>
      <c r="W80" s="679"/>
      <c r="X80" s="702"/>
      <c r="Y80" s="679"/>
      <c r="Z80" s="679"/>
      <c r="AA80" s="642"/>
      <c r="AB80" s="679"/>
      <c r="AC80" s="643"/>
      <c r="AD80" s="644">
        <f t="shared" si="14"/>
        <v>5515336.5258333338</v>
      </c>
      <c r="AE80" s="643"/>
      <c r="AF80" s="677"/>
    </row>
    <row r="81" spans="1:32">
      <c r="A81" s="604">
        <v>67</v>
      </c>
      <c r="B81" s="604"/>
      <c r="C81" s="604"/>
      <c r="D81" s="604"/>
      <c r="E81" s="589" t="s">
        <v>405</v>
      </c>
      <c r="F81" s="603">
        <f t="shared" ref="F81:Q81" si="17">SUM(F65:F80)</f>
        <v>19786161.890000001</v>
      </c>
      <c r="G81" s="603">
        <f t="shared" si="17"/>
        <v>31926360.730000004</v>
      </c>
      <c r="H81" s="603">
        <f t="shared" si="17"/>
        <v>32655972.640000001</v>
      </c>
      <c r="I81" s="603">
        <f t="shared" si="17"/>
        <v>26083313.299999997</v>
      </c>
      <c r="J81" s="603">
        <f t="shared" si="17"/>
        <v>27480819.059999999</v>
      </c>
      <c r="K81" s="603">
        <f t="shared" si="17"/>
        <v>21801006.350000001</v>
      </c>
      <c r="L81" s="603">
        <f t="shared" si="17"/>
        <v>19587259.190000001</v>
      </c>
      <c r="M81" s="603">
        <f t="shared" si="17"/>
        <v>19200121.210000001</v>
      </c>
      <c r="N81" s="603">
        <f t="shared" si="17"/>
        <v>20114006.550000001</v>
      </c>
      <c r="O81" s="603">
        <f t="shared" si="17"/>
        <v>18065756.579999998</v>
      </c>
      <c r="P81" s="603">
        <f t="shared" si="17"/>
        <v>21476898.530000001</v>
      </c>
      <c r="Q81" s="603">
        <f t="shared" si="17"/>
        <v>22332099.629999995</v>
      </c>
      <c r="R81" s="603">
        <f>SUM(R65:R80)</f>
        <v>27099028.59</v>
      </c>
      <c r="S81" s="484">
        <f>SUM(S65:S80)</f>
        <v>23680517.4175</v>
      </c>
      <c r="T81" s="604"/>
      <c r="U81" s="642"/>
      <c r="V81" s="679"/>
      <c r="W81" s="679"/>
      <c r="X81" s="702"/>
      <c r="Y81" s="679"/>
      <c r="Z81" s="679"/>
      <c r="AA81" s="642"/>
      <c r="AB81" s="679"/>
      <c r="AC81" s="643"/>
      <c r="AD81" s="643"/>
      <c r="AE81" s="643"/>
      <c r="AF81" s="677">
        <f t="shared" si="0"/>
        <v>0</v>
      </c>
    </row>
    <row r="82" spans="1:32">
      <c r="A82" s="604">
        <v>68</v>
      </c>
      <c r="B82" s="604"/>
      <c r="C82" s="604"/>
      <c r="D82" s="604"/>
      <c r="E82" s="589" t="s">
        <v>91</v>
      </c>
      <c r="F82" s="603"/>
      <c r="G82" s="304"/>
      <c r="H82" s="305"/>
      <c r="I82" s="305"/>
      <c r="J82" s="306"/>
      <c r="K82" s="307"/>
      <c r="L82" s="308"/>
      <c r="M82" s="309"/>
      <c r="N82" s="310"/>
      <c r="O82" s="590"/>
      <c r="P82" s="311"/>
      <c r="Q82" s="312"/>
      <c r="R82" s="603"/>
      <c r="S82" s="294"/>
      <c r="T82" s="604"/>
      <c r="U82" s="642"/>
      <c r="V82" s="679"/>
      <c r="W82" s="679"/>
      <c r="X82" s="702"/>
      <c r="Y82" s="679"/>
      <c r="Z82" s="679"/>
      <c r="AA82" s="642"/>
      <c r="AB82" s="679"/>
      <c r="AC82" s="643"/>
      <c r="AD82" s="643"/>
      <c r="AE82" s="643"/>
      <c r="AF82" s="677">
        <f t="shared" si="0"/>
        <v>0</v>
      </c>
    </row>
    <row r="83" spans="1:32">
      <c r="A83" s="604">
        <v>69</v>
      </c>
      <c r="B83" s="316" t="s">
        <v>956</v>
      </c>
      <c r="C83" s="316" t="s">
        <v>406</v>
      </c>
      <c r="D83" s="316" t="s">
        <v>398</v>
      </c>
      <c r="E83" s="589" t="s">
        <v>407</v>
      </c>
      <c r="F83" s="603">
        <v>0</v>
      </c>
      <c r="G83" s="603">
        <v>0</v>
      </c>
      <c r="H83" s="603">
        <v>0</v>
      </c>
      <c r="I83" s="603">
        <v>0</v>
      </c>
      <c r="J83" s="603">
        <v>0</v>
      </c>
      <c r="K83" s="603">
        <v>0</v>
      </c>
      <c r="L83" s="603">
        <v>0</v>
      </c>
      <c r="M83" s="603">
        <v>0</v>
      </c>
      <c r="N83" s="603">
        <v>0</v>
      </c>
      <c r="O83" s="603">
        <v>0</v>
      </c>
      <c r="P83" s="603">
        <v>0</v>
      </c>
      <c r="Q83" s="603">
        <v>0</v>
      </c>
      <c r="R83" s="603">
        <v>0</v>
      </c>
      <c r="S83" s="484">
        <f>((F83+R83)+((G83+H83+I83+J83+K83+L83+M83+N83+O83+P83+Q83)*2))/24</f>
        <v>0</v>
      </c>
      <c r="T83" s="604"/>
      <c r="U83" s="642">
        <f>+S83</f>
        <v>0</v>
      </c>
      <c r="V83" s="679"/>
      <c r="W83" s="679"/>
      <c r="X83" s="702"/>
      <c r="Y83" s="679"/>
      <c r="Z83" s="679"/>
      <c r="AA83" s="642"/>
      <c r="AB83" s="679"/>
      <c r="AC83" s="643"/>
      <c r="AD83" s="643"/>
      <c r="AE83" s="643"/>
      <c r="AF83" s="677">
        <f t="shared" si="0"/>
        <v>0</v>
      </c>
    </row>
    <row r="84" spans="1:32">
      <c r="A84" s="604">
        <v>70</v>
      </c>
      <c r="B84" s="316" t="s">
        <v>956</v>
      </c>
      <c r="C84" s="316" t="s">
        <v>406</v>
      </c>
      <c r="D84" s="316" t="s">
        <v>408</v>
      </c>
      <c r="E84" s="589" t="s">
        <v>409</v>
      </c>
      <c r="F84" s="603">
        <v>0</v>
      </c>
      <c r="G84" s="603">
        <v>0</v>
      </c>
      <c r="H84" s="603">
        <v>0</v>
      </c>
      <c r="I84" s="603">
        <v>0</v>
      </c>
      <c r="J84" s="603">
        <v>0</v>
      </c>
      <c r="K84" s="603">
        <v>0</v>
      </c>
      <c r="L84" s="603">
        <v>0</v>
      </c>
      <c r="M84" s="603">
        <v>0</v>
      </c>
      <c r="N84" s="603">
        <v>0</v>
      </c>
      <c r="O84" s="603">
        <v>0</v>
      </c>
      <c r="P84" s="603">
        <v>0</v>
      </c>
      <c r="Q84" s="603">
        <v>0</v>
      </c>
      <c r="R84" s="603">
        <v>0</v>
      </c>
      <c r="S84" s="484">
        <f>((F84+R84)+((G84+H84+I84+J84+K84+L84+M84+N84+O84+P84+Q84)*2))/24</f>
        <v>0</v>
      </c>
      <c r="T84" s="604"/>
      <c r="U84" s="642">
        <f>+S84</f>
        <v>0</v>
      </c>
      <c r="V84" s="679"/>
      <c r="W84" s="679"/>
      <c r="X84" s="702"/>
      <c r="Y84" s="679"/>
      <c r="Z84" s="679"/>
      <c r="AA84" s="642"/>
      <c r="AB84" s="679"/>
      <c r="AC84" s="643"/>
      <c r="AD84" s="643"/>
      <c r="AE84" s="643"/>
      <c r="AF84" s="677">
        <f t="shared" si="0"/>
        <v>0</v>
      </c>
    </row>
    <row r="85" spans="1:32">
      <c r="A85" s="604">
        <v>71</v>
      </c>
      <c r="B85" s="604"/>
      <c r="C85" s="604"/>
      <c r="D85" s="604"/>
      <c r="E85" s="589"/>
      <c r="F85" s="603"/>
      <c r="G85" s="304"/>
      <c r="H85" s="305"/>
      <c r="I85" s="305"/>
      <c r="J85" s="306"/>
      <c r="K85" s="307"/>
      <c r="L85" s="308"/>
      <c r="M85" s="309"/>
      <c r="N85" s="310"/>
      <c r="O85" s="590"/>
      <c r="P85" s="311"/>
      <c r="Q85" s="312"/>
      <c r="R85" s="603"/>
      <c r="S85" s="484"/>
      <c r="T85" s="604"/>
      <c r="U85" s="642"/>
      <c r="V85" s="679"/>
      <c r="W85" s="679"/>
      <c r="X85" s="702">
        <f>+S85</f>
        <v>0</v>
      </c>
      <c r="Y85" s="679"/>
      <c r="Z85" s="679"/>
      <c r="AA85" s="642"/>
      <c r="AB85" s="679"/>
      <c r="AC85" s="643"/>
      <c r="AD85" s="643"/>
      <c r="AE85" s="643"/>
      <c r="AF85" s="677">
        <f t="shared" si="0"/>
        <v>0</v>
      </c>
    </row>
    <row r="86" spans="1:32">
      <c r="A86" s="604">
        <v>72</v>
      </c>
      <c r="B86" s="316" t="s">
        <v>956</v>
      </c>
      <c r="C86" s="316" t="s">
        <v>410</v>
      </c>
      <c r="D86" s="316" t="s">
        <v>718</v>
      </c>
      <c r="E86" s="589" t="s">
        <v>411</v>
      </c>
      <c r="F86" s="603">
        <v>109738.76</v>
      </c>
      <c r="G86" s="603">
        <v>116759.12</v>
      </c>
      <c r="H86" s="603">
        <v>7020.36</v>
      </c>
      <c r="I86" s="603">
        <v>7020.36</v>
      </c>
      <c r="J86" s="603">
        <v>7020.36</v>
      </c>
      <c r="K86" s="603">
        <v>9.0949470177292804E-13</v>
      </c>
      <c r="L86" s="603">
        <v>9.0949470177292804E-13</v>
      </c>
      <c r="M86" s="603">
        <v>9.0949470177292804E-13</v>
      </c>
      <c r="N86" s="603">
        <v>9.0949470177292804E-13</v>
      </c>
      <c r="O86" s="603">
        <v>9.0949470177292804E-13</v>
      </c>
      <c r="P86" s="603">
        <v>9.0949470177292804E-13</v>
      </c>
      <c r="Q86" s="603">
        <v>9.0949470177292804E-13</v>
      </c>
      <c r="R86" s="603">
        <v>13039.55</v>
      </c>
      <c r="S86" s="484">
        <f t="shared" ref="S86:S94" si="18">((F86+R86)+((G86+H86+I86+J86+K86+L86+M86+N86+O86+P86+Q86)*2))/24</f>
        <v>16600.779583333333</v>
      </c>
      <c r="T86" s="604"/>
      <c r="U86" s="642"/>
      <c r="V86" s="679"/>
      <c r="W86" s="679"/>
      <c r="X86" s="702">
        <f>+S86</f>
        <v>16600.779583333333</v>
      </c>
      <c r="Y86" s="679"/>
      <c r="Z86" s="679"/>
      <c r="AA86" s="642"/>
      <c r="AB86" s="679">
        <f t="shared" ref="AB86:AB94" si="19">+S86</f>
        <v>16600.779583333333</v>
      </c>
      <c r="AC86" s="643"/>
      <c r="AD86" s="643"/>
      <c r="AE86" s="643"/>
      <c r="AF86" s="677">
        <f t="shared" ref="AF86:AF149" si="20">+U86+V86-AD86</f>
        <v>0</v>
      </c>
    </row>
    <row r="87" spans="1:32">
      <c r="A87" s="604">
        <v>73</v>
      </c>
      <c r="B87" s="316" t="s">
        <v>956</v>
      </c>
      <c r="C87" s="316" t="s">
        <v>410</v>
      </c>
      <c r="D87" s="316" t="s">
        <v>412</v>
      </c>
      <c r="E87" s="589" t="s">
        <v>1378</v>
      </c>
      <c r="F87" s="603">
        <v>0</v>
      </c>
      <c r="G87" s="603">
        <v>0</v>
      </c>
      <c r="H87" s="603">
        <v>109738.76</v>
      </c>
      <c r="I87" s="603">
        <v>73733.149999999994</v>
      </c>
      <c r="J87" s="603">
        <v>73733.149999999994</v>
      </c>
      <c r="K87" s="603">
        <v>73733.149999999994</v>
      </c>
      <c r="L87" s="603">
        <v>73733.149999999994</v>
      </c>
      <c r="M87" s="603">
        <v>20174.68</v>
      </c>
      <c r="N87" s="603">
        <v>19934.080000000002</v>
      </c>
      <c r="O87" s="603">
        <v>-7.2759576141834308E-12</v>
      </c>
      <c r="P87" s="603">
        <v>-7.2759576141834308E-12</v>
      </c>
      <c r="Q87" s="603">
        <v>-7.2759576141834308E-12</v>
      </c>
      <c r="R87" s="603">
        <v>74428.789999999994</v>
      </c>
      <c r="S87" s="484">
        <f t="shared" si="18"/>
        <v>40166.209583333337</v>
      </c>
      <c r="T87" s="604"/>
      <c r="U87" s="642"/>
      <c r="V87" s="679"/>
      <c r="W87" s="679"/>
      <c r="X87" s="702">
        <f>+S87</f>
        <v>40166.209583333337</v>
      </c>
      <c r="Y87" s="679"/>
      <c r="Z87" s="679"/>
      <c r="AA87" s="642"/>
      <c r="AB87" s="679">
        <f t="shared" si="19"/>
        <v>40166.209583333337</v>
      </c>
      <c r="AC87" s="643"/>
      <c r="AD87" s="643"/>
      <c r="AE87" s="643"/>
      <c r="AF87" s="677">
        <f t="shared" si="20"/>
        <v>0</v>
      </c>
    </row>
    <row r="88" spans="1:32">
      <c r="A88" s="604">
        <v>74</v>
      </c>
      <c r="B88" s="316" t="s">
        <v>956</v>
      </c>
      <c r="C88" s="316" t="s">
        <v>410</v>
      </c>
      <c r="D88" s="316" t="s">
        <v>413</v>
      </c>
      <c r="E88" s="589" t="s">
        <v>1379</v>
      </c>
      <c r="F88" s="603">
        <v>19792.61</v>
      </c>
      <c r="G88" s="603">
        <v>19792.61</v>
      </c>
      <c r="H88" s="603">
        <v>0</v>
      </c>
      <c r="I88" s="603">
        <v>0</v>
      </c>
      <c r="J88" s="603">
        <v>0</v>
      </c>
      <c r="K88" s="603">
        <v>0</v>
      </c>
      <c r="L88" s="603">
        <v>0</v>
      </c>
      <c r="M88" s="603">
        <v>0</v>
      </c>
      <c r="N88" s="603">
        <v>0</v>
      </c>
      <c r="O88" s="603">
        <v>0</v>
      </c>
      <c r="P88" s="603">
        <v>16217.62</v>
      </c>
      <c r="Q88" s="603">
        <v>16217.62</v>
      </c>
      <c r="R88" s="603">
        <v>34554.699999999997</v>
      </c>
      <c r="S88" s="484">
        <f t="shared" si="18"/>
        <v>6616.7920833333337</v>
      </c>
      <c r="T88" s="604"/>
      <c r="U88" s="642"/>
      <c r="V88" s="679"/>
      <c r="W88" s="679"/>
      <c r="X88" s="702">
        <f t="shared" ref="X88:X94" si="21">+S88</f>
        <v>6616.7920833333337</v>
      </c>
      <c r="Y88" s="679"/>
      <c r="Z88" s="679"/>
      <c r="AA88" s="642"/>
      <c r="AB88" s="679">
        <f t="shared" si="19"/>
        <v>6616.7920833333337</v>
      </c>
      <c r="AC88" s="643"/>
      <c r="AD88" s="643"/>
      <c r="AE88" s="643"/>
      <c r="AF88" s="677">
        <f t="shared" si="20"/>
        <v>0</v>
      </c>
    </row>
    <row r="89" spans="1:32">
      <c r="A89" s="604">
        <v>75</v>
      </c>
      <c r="B89" s="316" t="s">
        <v>956</v>
      </c>
      <c r="C89" s="316" t="s">
        <v>410</v>
      </c>
      <c r="D89" s="316" t="s">
        <v>414</v>
      </c>
      <c r="E89" s="589" t="s">
        <v>415</v>
      </c>
      <c r="F89" s="603">
        <v>0</v>
      </c>
      <c r="G89" s="603">
        <v>0</v>
      </c>
      <c r="H89" s="603">
        <v>0</v>
      </c>
      <c r="I89" s="603">
        <v>0</v>
      </c>
      <c r="J89" s="603">
        <v>0</v>
      </c>
      <c r="K89" s="603">
        <v>0</v>
      </c>
      <c r="L89" s="603">
        <v>0</v>
      </c>
      <c r="M89" s="603">
        <v>0</v>
      </c>
      <c r="N89" s="603">
        <v>0</v>
      </c>
      <c r="O89" s="603">
        <v>0</v>
      </c>
      <c r="P89" s="603">
        <v>0</v>
      </c>
      <c r="Q89" s="603">
        <v>0</v>
      </c>
      <c r="R89" s="603">
        <v>0</v>
      </c>
      <c r="S89" s="484">
        <f t="shared" si="18"/>
        <v>0</v>
      </c>
      <c r="T89" s="604"/>
      <c r="U89" s="642"/>
      <c r="V89" s="679"/>
      <c r="W89" s="679"/>
      <c r="X89" s="702">
        <f t="shared" si="21"/>
        <v>0</v>
      </c>
      <c r="Y89" s="679"/>
      <c r="Z89" s="679"/>
      <c r="AA89" s="642"/>
      <c r="AB89" s="679">
        <f t="shared" si="19"/>
        <v>0</v>
      </c>
      <c r="AC89" s="643"/>
      <c r="AD89" s="643"/>
      <c r="AE89" s="643"/>
      <c r="AF89" s="677">
        <f t="shared" si="20"/>
        <v>0</v>
      </c>
    </row>
    <row r="90" spans="1:32">
      <c r="A90" s="604">
        <v>76</v>
      </c>
      <c r="B90" s="316" t="s">
        <v>956</v>
      </c>
      <c r="C90" s="316" t="s">
        <v>410</v>
      </c>
      <c r="D90" s="316" t="s">
        <v>416</v>
      </c>
      <c r="E90" s="589" t="s">
        <v>1846</v>
      </c>
      <c r="F90" s="603">
        <v>0</v>
      </c>
      <c r="G90" s="603">
        <v>0</v>
      </c>
      <c r="H90" s="603">
        <v>0</v>
      </c>
      <c r="I90" s="603">
        <v>0</v>
      </c>
      <c r="J90" s="603">
        <v>0</v>
      </c>
      <c r="K90" s="603">
        <v>0</v>
      </c>
      <c r="L90" s="603">
        <v>0</v>
      </c>
      <c r="M90" s="603">
        <v>0</v>
      </c>
      <c r="N90" s="603">
        <v>0</v>
      </c>
      <c r="O90" s="603">
        <v>0</v>
      </c>
      <c r="P90" s="603">
        <v>0</v>
      </c>
      <c r="Q90" s="603">
        <v>0</v>
      </c>
      <c r="R90" s="603">
        <v>0</v>
      </c>
      <c r="S90" s="484">
        <f t="shared" si="18"/>
        <v>0</v>
      </c>
      <c r="T90" s="604"/>
      <c r="U90" s="642"/>
      <c r="V90" s="679"/>
      <c r="W90" s="679"/>
      <c r="X90" s="702">
        <f t="shared" si="21"/>
        <v>0</v>
      </c>
      <c r="Y90" s="679"/>
      <c r="Z90" s="679"/>
      <c r="AA90" s="642"/>
      <c r="AB90" s="679">
        <f t="shared" si="19"/>
        <v>0</v>
      </c>
      <c r="AC90" s="643"/>
      <c r="AD90" s="643"/>
      <c r="AE90" s="643"/>
      <c r="AF90" s="677">
        <f t="shared" si="20"/>
        <v>0</v>
      </c>
    </row>
    <row r="91" spans="1:32">
      <c r="A91" s="604">
        <v>77</v>
      </c>
      <c r="B91" s="316" t="s">
        <v>956</v>
      </c>
      <c r="C91" s="316" t="s">
        <v>410</v>
      </c>
      <c r="D91" s="316" t="s">
        <v>417</v>
      </c>
      <c r="E91" s="589" t="s">
        <v>418</v>
      </c>
      <c r="F91" s="603">
        <v>0</v>
      </c>
      <c r="G91" s="603">
        <v>0</v>
      </c>
      <c r="H91" s="603">
        <v>0</v>
      </c>
      <c r="I91" s="603">
        <v>0</v>
      </c>
      <c r="J91" s="603">
        <v>0</v>
      </c>
      <c r="K91" s="603">
        <v>0</v>
      </c>
      <c r="L91" s="603">
        <v>0</v>
      </c>
      <c r="M91" s="603">
        <v>0</v>
      </c>
      <c r="N91" s="603">
        <v>0</v>
      </c>
      <c r="O91" s="603">
        <v>0</v>
      </c>
      <c r="P91" s="603">
        <v>0</v>
      </c>
      <c r="Q91" s="603">
        <v>0</v>
      </c>
      <c r="R91" s="603">
        <v>0</v>
      </c>
      <c r="S91" s="484">
        <f t="shared" si="18"/>
        <v>0</v>
      </c>
      <c r="T91" s="604"/>
      <c r="U91" s="642"/>
      <c r="V91" s="679"/>
      <c r="W91" s="679"/>
      <c r="X91" s="702">
        <f t="shared" si="21"/>
        <v>0</v>
      </c>
      <c r="Y91" s="679"/>
      <c r="Z91" s="679"/>
      <c r="AA91" s="642"/>
      <c r="AB91" s="679">
        <f t="shared" si="19"/>
        <v>0</v>
      </c>
      <c r="AC91" s="643"/>
      <c r="AD91" s="643"/>
      <c r="AE91" s="643"/>
      <c r="AF91" s="677">
        <f t="shared" si="20"/>
        <v>0</v>
      </c>
    </row>
    <row r="92" spans="1:32">
      <c r="A92" s="604">
        <v>79</v>
      </c>
      <c r="B92" s="316" t="s">
        <v>956</v>
      </c>
      <c r="C92" s="316" t="s">
        <v>410</v>
      </c>
      <c r="D92" s="316" t="s">
        <v>419</v>
      </c>
      <c r="E92" s="589" t="s">
        <v>420</v>
      </c>
      <c r="F92" s="603">
        <v>0</v>
      </c>
      <c r="G92" s="603">
        <v>0</v>
      </c>
      <c r="H92" s="603">
        <v>0</v>
      </c>
      <c r="I92" s="603">
        <v>0</v>
      </c>
      <c r="J92" s="603">
        <v>0</v>
      </c>
      <c r="K92" s="603">
        <v>0</v>
      </c>
      <c r="L92" s="603">
        <v>813.04</v>
      </c>
      <c r="M92" s="603">
        <v>975.64</v>
      </c>
      <c r="N92" s="603">
        <v>975.64</v>
      </c>
      <c r="O92" s="603">
        <v>1385.39</v>
      </c>
      <c r="P92" s="603">
        <v>1446.87</v>
      </c>
      <c r="Q92" s="603">
        <v>0</v>
      </c>
      <c r="R92" s="603">
        <v>0</v>
      </c>
      <c r="S92" s="484">
        <f t="shared" si="18"/>
        <v>466.38166666666666</v>
      </c>
      <c r="T92" s="604"/>
      <c r="U92" s="642"/>
      <c r="V92" s="679"/>
      <c r="W92" s="679"/>
      <c r="X92" s="702">
        <f t="shared" si="21"/>
        <v>466.38166666666666</v>
      </c>
      <c r="Y92" s="679"/>
      <c r="Z92" s="679"/>
      <c r="AA92" s="642"/>
      <c r="AB92" s="679">
        <f t="shared" si="19"/>
        <v>466.38166666666666</v>
      </c>
      <c r="AC92" s="643"/>
      <c r="AD92" s="643"/>
      <c r="AE92" s="643"/>
      <c r="AF92" s="677">
        <f t="shared" si="20"/>
        <v>0</v>
      </c>
    </row>
    <row r="93" spans="1:32">
      <c r="A93" s="604">
        <v>80</v>
      </c>
      <c r="B93" s="316" t="s">
        <v>956</v>
      </c>
      <c r="C93" s="316" t="s">
        <v>410</v>
      </c>
      <c r="D93" s="316" t="s">
        <v>421</v>
      </c>
      <c r="E93" s="589" t="s">
        <v>422</v>
      </c>
      <c r="F93" s="603">
        <v>0</v>
      </c>
      <c r="G93" s="603">
        <v>0</v>
      </c>
      <c r="H93" s="603">
        <v>0</v>
      </c>
      <c r="I93" s="603">
        <v>0</v>
      </c>
      <c r="J93" s="603">
        <v>0</v>
      </c>
      <c r="K93" s="603">
        <v>0</v>
      </c>
      <c r="L93" s="603">
        <v>0</v>
      </c>
      <c r="M93" s="603">
        <v>0</v>
      </c>
      <c r="N93" s="603">
        <v>0</v>
      </c>
      <c r="O93" s="603">
        <v>0</v>
      </c>
      <c r="P93" s="603">
        <v>0</v>
      </c>
      <c r="Q93" s="603">
        <v>0</v>
      </c>
      <c r="R93" s="603">
        <v>0</v>
      </c>
      <c r="S93" s="484">
        <f t="shared" si="18"/>
        <v>0</v>
      </c>
      <c r="T93" s="604"/>
      <c r="U93" s="642"/>
      <c r="V93" s="679"/>
      <c r="W93" s="679"/>
      <c r="X93" s="702">
        <f t="shared" si="21"/>
        <v>0</v>
      </c>
      <c r="Y93" s="679"/>
      <c r="Z93" s="679"/>
      <c r="AA93" s="642"/>
      <c r="AB93" s="679">
        <f t="shared" si="19"/>
        <v>0</v>
      </c>
      <c r="AC93" s="643"/>
      <c r="AD93" s="643"/>
      <c r="AE93" s="643"/>
      <c r="AF93" s="677">
        <f t="shared" si="20"/>
        <v>0</v>
      </c>
    </row>
    <row r="94" spans="1:32">
      <c r="A94" s="604">
        <v>81</v>
      </c>
      <c r="B94" s="316" t="s">
        <v>956</v>
      </c>
      <c r="C94" s="316" t="s">
        <v>410</v>
      </c>
      <c r="D94" s="316" t="s">
        <v>423</v>
      </c>
      <c r="E94" s="589" t="s">
        <v>424</v>
      </c>
      <c r="F94" s="303">
        <v>0</v>
      </c>
      <c r="G94" s="303">
        <v>0</v>
      </c>
      <c r="H94" s="303">
        <v>0</v>
      </c>
      <c r="I94" s="303">
        <v>0</v>
      </c>
      <c r="J94" s="303">
        <v>0</v>
      </c>
      <c r="K94" s="303">
        <v>0</v>
      </c>
      <c r="L94" s="303">
        <v>0</v>
      </c>
      <c r="M94" s="303">
        <v>0</v>
      </c>
      <c r="N94" s="303">
        <v>0</v>
      </c>
      <c r="O94" s="303">
        <v>0</v>
      </c>
      <c r="P94" s="303">
        <v>0</v>
      </c>
      <c r="Q94" s="303">
        <v>18085.240000000002</v>
      </c>
      <c r="R94" s="303">
        <v>18085.240000000002</v>
      </c>
      <c r="S94" s="484">
        <f t="shared" si="18"/>
        <v>2260.6550000000002</v>
      </c>
      <c r="T94" s="604"/>
      <c r="U94" s="642"/>
      <c r="V94" s="679"/>
      <c r="W94" s="679"/>
      <c r="X94" s="702">
        <f t="shared" si="21"/>
        <v>2260.6550000000002</v>
      </c>
      <c r="Y94" s="679"/>
      <c r="Z94" s="679"/>
      <c r="AA94" s="642"/>
      <c r="AB94" s="679">
        <f t="shared" si="19"/>
        <v>2260.6550000000002</v>
      </c>
      <c r="AC94" s="643"/>
      <c r="AD94" s="643"/>
      <c r="AE94" s="643"/>
      <c r="AF94" s="677">
        <f t="shared" si="20"/>
        <v>0</v>
      </c>
    </row>
    <row r="95" spans="1:32">
      <c r="A95" s="604">
        <v>82</v>
      </c>
      <c r="B95" s="604"/>
      <c r="C95" s="604"/>
      <c r="D95" s="604"/>
      <c r="E95" s="589" t="s">
        <v>425</v>
      </c>
      <c r="F95" s="295">
        <f t="shared" ref="F95:S95" si="22">SUM(F83:F94)</f>
        <v>129531.37</v>
      </c>
      <c r="G95" s="295">
        <f t="shared" si="22"/>
        <v>136551.72999999998</v>
      </c>
      <c r="H95" s="295">
        <f t="shared" si="22"/>
        <v>116759.12</v>
      </c>
      <c r="I95" s="295">
        <f t="shared" si="22"/>
        <v>80753.509999999995</v>
      </c>
      <c r="J95" s="295">
        <f t="shared" si="22"/>
        <v>80753.509999999995</v>
      </c>
      <c r="K95" s="295">
        <f t="shared" si="22"/>
        <v>73733.149999999994</v>
      </c>
      <c r="L95" s="295">
        <f t="shared" si="22"/>
        <v>74546.189999999988</v>
      </c>
      <c r="M95" s="295">
        <f t="shared" si="22"/>
        <v>21150.32</v>
      </c>
      <c r="N95" s="295">
        <f t="shared" si="22"/>
        <v>20909.72</v>
      </c>
      <c r="O95" s="295">
        <f t="shared" si="22"/>
        <v>1385.3899999999937</v>
      </c>
      <c r="P95" s="295">
        <f t="shared" si="22"/>
        <v>17664.489999999994</v>
      </c>
      <c r="Q95" s="295">
        <f t="shared" si="22"/>
        <v>34302.86</v>
      </c>
      <c r="R95" s="295">
        <f t="shared" si="22"/>
        <v>140108.28</v>
      </c>
      <c r="S95" s="486">
        <f t="shared" si="22"/>
        <v>66110.817916666667</v>
      </c>
      <c r="T95" s="604"/>
      <c r="U95" s="642"/>
      <c r="V95" s="679"/>
      <c r="W95" s="679"/>
      <c r="X95" s="702"/>
      <c r="Y95" s="679"/>
      <c r="Z95" s="679"/>
      <c r="AA95" s="642"/>
      <c r="AB95" s="679"/>
      <c r="AC95" s="643"/>
      <c r="AD95" s="643"/>
      <c r="AE95" s="643"/>
      <c r="AF95" s="677">
        <f t="shared" si="20"/>
        <v>0</v>
      </c>
    </row>
    <row r="96" spans="1:32">
      <c r="A96" s="604">
        <v>83</v>
      </c>
      <c r="B96" s="604"/>
      <c r="C96" s="604"/>
      <c r="D96" s="604"/>
      <c r="E96" s="589"/>
      <c r="F96" s="603"/>
      <c r="G96" s="304"/>
      <c r="H96" s="305"/>
      <c r="I96" s="305"/>
      <c r="J96" s="306"/>
      <c r="K96" s="307"/>
      <c r="L96" s="308"/>
      <c r="M96" s="309"/>
      <c r="N96" s="310"/>
      <c r="O96" s="313"/>
      <c r="P96" s="311"/>
      <c r="Q96" s="312"/>
      <c r="R96" s="603"/>
      <c r="S96" s="294"/>
      <c r="T96" s="604"/>
      <c r="U96" s="642"/>
      <c r="V96" s="679"/>
      <c r="W96" s="679"/>
      <c r="X96" s="702"/>
      <c r="Y96" s="679"/>
      <c r="Z96" s="679"/>
      <c r="AA96" s="642"/>
      <c r="AB96" s="679"/>
      <c r="AC96" s="643"/>
      <c r="AD96" s="643"/>
      <c r="AE96" s="643"/>
      <c r="AF96" s="677">
        <f t="shared" si="20"/>
        <v>0</v>
      </c>
    </row>
    <row r="97" spans="1:32">
      <c r="A97" s="604">
        <v>84</v>
      </c>
      <c r="B97" s="316" t="s">
        <v>956</v>
      </c>
      <c r="C97" s="316" t="s">
        <v>426</v>
      </c>
      <c r="D97" s="604"/>
      <c r="E97" s="589" t="s">
        <v>427</v>
      </c>
      <c r="F97" s="603">
        <v>0</v>
      </c>
      <c r="G97" s="603">
        <v>0</v>
      </c>
      <c r="H97" s="603">
        <v>0</v>
      </c>
      <c r="I97" s="603">
        <v>0</v>
      </c>
      <c r="J97" s="603">
        <v>0</v>
      </c>
      <c r="K97" s="603">
        <v>0</v>
      </c>
      <c r="L97" s="603">
        <v>0</v>
      </c>
      <c r="M97" s="603">
        <v>0</v>
      </c>
      <c r="N97" s="603">
        <v>0</v>
      </c>
      <c r="O97" s="603">
        <v>0</v>
      </c>
      <c r="P97" s="603">
        <v>0</v>
      </c>
      <c r="Q97" s="603">
        <v>0</v>
      </c>
      <c r="R97" s="603">
        <v>0</v>
      </c>
      <c r="S97" s="294">
        <f>((F97+R97)+((G97+H97+I97+J97+K97+L97+M97+N97+O97+P97+Q97)*2))/24</f>
        <v>0</v>
      </c>
      <c r="T97" s="604"/>
      <c r="U97" s="642"/>
      <c r="V97" s="679"/>
      <c r="W97" s="679"/>
      <c r="X97" s="702"/>
      <c r="Y97" s="679"/>
      <c r="Z97" s="679"/>
      <c r="AA97" s="642"/>
      <c r="AB97" s="679"/>
      <c r="AC97" s="643"/>
      <c r="AD97" s="643"/>
      <c r="AE97" s="643"/>
      <c r="AF97" s="677">
        <f t="shared" si="20"/>
        <v>0</v>
      </c>
    </row>
    <row r="98" spans="1:32">
      <c r="A98" s="604">
        <v>85</v>
      </c>
      <c r="B98" s="604"/>
      <c r="C98" s="604"/>
      <c r="D98" s="604"/>
      <c r="E98" s="589"/>
      <c r="F98" s="603"/>
      <c r="G98" s="304"/>
      <c r="H98" s="305"/>
      <c r="I98" s="305"/>
      <c r="J98" s="306"/>
      <c r="K98" s="307"/>
      <c r="L98" s="308"/>
      <c r="M98" s="309"/>
      <c r="N98" s="310"/>
      <c r="O98" s="590"/>
      <c r="P98" s="311"/>
      <c r="Q98" s="312"/>
      <c r="R98" s="603"/>
      <c r="S98" s="294"/>
      <c r="T98" s="604"/>
      <c r="U98" s="642"/>
      <c r="V98" s="679"/>
      <c r="W98" s="679"/>
      <c r="X98" s="702"/>
      <c r="Y98" s="679"/>
      <c r="Z98" s="679"/>
      <c r="AA98" s="642"/>
      <c r="AB98" s="679"/>
      <c r="AC98" s="643"/>
      <c r="AD98" s="643"/>
      <c r="AE98" s="643"/>
      <c r="AF98" s="677">
        <f t="shared" si="20"/>
        <v>0</v>
      </c>
    </row>
    <row r="99" spans="1:32">
      <c r="A99" s="604">
        <v>86</v>
      </c>
      <c r="B99" s="604"/>
      <c r="C99" s="604"/>
      <c r="D99" s="604"/>
      <c r="E99" s="589" t="s">
        <v>428</v>
      </c>
      <c r="F99" s="603">
        <f t="shared" ref="F99:S99" si="23">+F97+F95+F81</f>
        <v>19915693.260000002</v>
      </c>
      <c r="G99" s="603">
        <f t="shared" si="23"/>
        <v>32062912.460000005</v>
      </c>
      <c r="H99" s="603">
        <f t="shared" si="23"/>
        <v>32772731.760000002</v>
      </c>
      <c r="I99" s="603">
        <f t="shared" si="23"/>
        <v>26164066.809999999</v>
      </c>
      <c r="J99" s="603">
        <f t="shared" si="23"/>
        <v>27561572.57</v>
      </c>
      <c r="K99" s="603">
        <f t="shared" si="23"/>
        <v>21874739.5</v>
      </c>
      <c r="L99" s="603">
        <f t="shared" si="23"/>
        <v>19661805.380000003</v>
      </c>
      <c r="M99" s="603">
        <f t="shared" si="23"/>
        <v>19221271.530000001</v>
      </c>
      <c r="N99" s="603">
        <f t="shared" si="23"/>
        <v>20134916.27</v>
      </c>
      <c r="O99" s="603">
        <f t="shared" si="23"/>
        <v>18067141.969999999</v>
      </c>
      <c r="P99" s="603">
        <f t="shared" si="23"/>
        <v>21494563.02</v>
      </c>
      <c r="Q99" s="603">
        <f t="shared" si="23"/>
        <v>22366402.489999995</v>
      </c>
      <c r="R99" s="603">
        <f t="shared" si="23"/>
        <v>27239136.870000001</v>
      </c>
      <c r="S99" s="484">
        <f t="shared" si="23"/>
        <v>23746628.235416666</v>
      </c>
      <c r="T99" s="604"/>
      <c r="U99" s="642"/>
      <c r="V99" s="679"/>
      <c r="W99" s="679"/>
      <c r="X99" s="702"/>
      <c r="Y99" s="679"/>
      <c r="Z99" s="679"/>
      <c r="AA99" s="642"/>
      <c r="AB99" s="679"/>
      <c r="AC99" s="643"/>
      <c r="AD99" s="643"/>
      <c r="AE99" s="643"/>
      <c r="AF99" s="677">
        <f t="shared" si="20"/>
        <v>0</v>
      </c>
    </row>
    <row r="100" spans="1:32">
      <c r="A100" s="604">
        <v>87</v>
      </c>
      <c r="B100" s="604"/>
      <c r="C100" s="604"/>
      <c r="D100" s="604"/>
      <c r="E100" s="589"/>
      <c r="F100" s="603"/>
      <c r="G100" s="304"/>
      <c r="H100" s="305"/>
      <c r="I100" s="305"/>
      <c r="J100" s="306"/>
      <c r="K100" s="307"/>
      <c r="L100" s="308"/>
      <c r="M100" s="309"/>
      <c r="N100" s="310"/>
      <c r="O100" s="590"/>
      <c r="P100" s="311"/>
      <c r="Q100" s="312"/>
      <c r="R100" s="603"/>
      <c r="S100" s="294">
        <f>((F100+R100)+((G100+H100+I100+J100+K100+L100+M100+N100+O100+P100+Q100)*2))/24</f>
        <v>0</v>
      </c>
      <c r="T100" s="604"/>
      <c r="U100" s="642"/>
      <c r="V100" s="679"/>
      <c r="W100" s="679"/>
      <c r="X100" s="702"/>
      <c r="Y100" s="679"/>
      <c r="Z100" s="679"/>
      <c r="AA100" s="642"/>
      <c r="AB100" s="679"/>
      <c r="AC100" s="643"/>
      <c r="AD100" s="643"/>
      <c r="AE100" s="643"/>
      <c r="AF100" s="677">
        <f t="shared" si="20"/>
        <v>0</v>
      </c>
    </row>
    <row r="101" spans="1:32">
      <c r="A101" s="604">
        <v>88</v>
      </c>
      <c r="B101" s="316" t="s">
        <v>984</v>
      </c>
      <c r="C101" s="316" t="s">
        <v>429</v>
      </c>
      <c r="D101" s="316" t="s">
        <v>718</v>
      </c>
      <c r="E101" s="602" t="s">
        <v>1490</v>
      </c>
      <c r="F101" s="603">
        <v>-122637.92</v>
      </c>
      <c r="G101" s="603">
        <v>-124312.5</v>
      </c>
      <c r="H101" s="603">
        <v>-124312.5</v>
      </c>
      <c r="I101" s="603">
        <v>-124312.5</v>
      </c>
      <c r="J101" s="603">
        <v>-124312.5</v>
      </c>
      <c r="K101" s="603">
        <v>-124312.5</v>
      </c>
      <c r="L101" s="603">
        <v>-124312.5</v>
      </c>
      <c r="M101" s="603">
        <v>-124312.5</v>
      </c>
      <c r="N101" s="603">
        <v>-124312.5</v>
      </c>
      <c r="O101" s="603">
        <v>-124312.5</v>
      </c>
      <c r="P101" s="603">
        <v>-124312.5</v>
      </c>
      <c r="Q101" s="603">
        <v>-124312.5</v>
      </c>
      <c r="R101" s="603">
        <v>-124312.5</v>
      </c>
      <c r="S101" s="484">
        <f>((F101+R101)+((G101+H101+I101+J101+K101+L101+M101+N101+O101+P101+Q101)*2))/24</f>
        <v>-124242.72583333333</v>
      </c>
      <c r="T101" s="604"/>
      <c r="U101" s="642">
        <f t="shared" ref="U101:U119" si="24">+S101</f>
        <v>-124242.72583333333</v>
      </c>
      <c r="V101" s="679"/>
      <c r="W101" s="679"/>
      <c r="X101" s="702"/>
      <c r="Y101" s="679"/>
      <c r="Z101" s="679"/>
      <c r="AA101" s="642"/>
      <c r="AB101" s="679"/>
      <c r="AC101" s="643"/>
      <c r="AD101" s="644">
        <f t="shared" ref="AD101:AD119" si="25">+U101</f>
        <v>-124242.72583333333</v>
      </c>
      <c r="AE101" s="643"/>
      <c r="AF101" s="677">
        <f t="shared" si="20"/>
        <v>0</v>
      </c>
    </row>
    <row r="102" spans="1:32">
      <c r="A102" s="604">
        <v>89</v>
      </c>
      <c r="B102" s="316" t="s">
        <v>959</v>
      </c>
      <c r="C102" s="316" t="s">
        <v>429</v>
      </c>
      <c r="D102" s="316" t="s">
        <v>718</v>
      </c>
      <c r="E102" s="602" t="s">
        <v>1490</v>
      </c>
      <c r="F102" s="603">
        <v>-288682.78000000003</v>
      </c>
      <c r="G102" s="603">
        <v>-286609.34000000003</v>
      </c>
      <c r="H102" s="603">
        <v>-286609.34000000003</v>
      </c>
      <c r="I102" s="603">
        <v>-286609.34000000003</v>
      </c>
      <c r="J102" s="603">
        <v>-286609.34000000003</v>
      </c>
      <c r="K102" s="603">
        <v>-286609.34000000003</v>
      </c>
      <c r="L102" s="603">
        <v>-286609.34000000003</v>
      </c>
      <c r="M102" s="603">
        <v>-286609.34000000003</v>
      </c>
      <c r="N102" s="603">
        <v>-286609.34000000003</v>
      </c>
      <c r="O102" s="603">
        <v>-286609.34000000003</v>
      </c>
      <c r="P102" s="603">
        <v>-286609.34000000003</v>
      </c>
      <c r="Q102" s="603">
        <v>-286609.34000000003</v>
      </c>
      <c r="R102" s="603">
        <v>-286609.34000000003</v>
      </c>
      <c r="S102" s="484">
        <f t="shared" ref="S102:S114" si="26">((F102+R102)+((G102+H102+I102+J102+K102+L102+M102+N102+O102+P102+Q102)*2))/24</f>
        <v>-286695.73333333334</v>
      </c>
      <c r="T102" s="604"/>
      <c r="U102" s="642">
        <f t="shared" si="24"/>
        <v>-286695.73333333334</v>
      </c>
      <c r="V102" s="679"/>
      <c r="W102" s="679"/>
      <c r="X102" s="702"/>
      <c r="Y102" s="679"/>
      <c r="Z102" s="679"/>
      <c r="AA102" s="642"/>
      <c r="AB102" s="679"/>
      <c r="AC102" s="643"/>
      <c r="AD102" s="644">
        <f t="shared" si="25"/>
        <v>-286695.73333333334</v>
      </c>
      <c r="AE102" s="643"/>
      <c r="AF102" s="677">
        <f t="shared" si="20"/>
        <v>0</v>
      </c>
    </row>
    <row r="103" spans="1:32">
      <c r="A103" s="604">
        <v>90</v>
      </c>
      <c r="B103" s="316" t="s">
        <v>984</v>
      </c>
      <c r="C103" s="316" t="s">
        <v>429</v>
      </c>
      <c r="D103" s="316" t="s">
        <v>1113</v>
      </c>
      <c r="E103" s="602" t="s">
        <v>1491</v>
      </c>
      <c r="F103" s="603">
        <v>282955.15999999997</v>
      </c>
      <c r="G103" s="603">
        <v>11327.84</v>
      </c>
      <c r="H103" s="603">
        <v>22213.93</v>
      </c>
      <c r="I103" s="603">
        <v>32387.98</v>
      </c>
      <c r="J103" s="603">
        <v>54779.91</v>
      </c>
      <c r="K103" s="603">
        <v>78665.52</v>
      </c>
      <c r="L103" s="603">
        <v>100681.26</v>
      </c>
      <c r="M103" s="603">
        <v>151328.31</v>
      </c>
      <c r="N103" s="603">
        <v>204997.67</v>
      </c>
      <c r="O103" s="603">
        <v>246804.94</v>
      </c>
      <c r="P103" s="603">
        <v>284071.87</v>
      </c>
      <c r="Q103" s="603">
        <v>310348.12</v>
      </c>
      <c r="R103" s="603">
        <v>325220.74</v>
      </c>
      <c r="S103" s="484">
        <f t="shared" si="26"/>
        <v>150141.27499999999</v>
      </c>
      <c r="T103" s="604"/>
      <c r="U103" s="642">
        <f t="shared" si="24"/>
        <v>150141.27499999999</v>
      </c>
      <c r="V103" s="679"/>
      <c r="W103" s="679"/>
      <c r="X103" s="702"/>
      <c r="Y103" s="679"/>
      <c r="Z103" s="679"/>
      <c r="AA103" s="642"/>
      <c r="AB103" s="679"/>
      <c r="AC103" s="643"/>
      <c r="AD103" s="644">
        <f t="shared" si="25"/>
        <v>150141.27499999999</v>
      </c>
      <c r="AE103" s="643"/>
      <c r="AF103" s="677">
        <f t="shared" si="20"/>
        <v>0</v>
      </c>
    </row>
    <row r="104" spans="1:32">
      <c r="A104" s="604">
        <v>91</v>
      </c>
      <c r="B104" s="316" t="s">
        <v>959</v>
      </c>
      <c r="C104" s="316" t="s">
        <v>429</v>
      </c>
      <c r="D104" s="316" t="s">
        <v>1113</v>
      </c>
      <c r="E104" s="602" t="s">
        <v>1491</v>
      </c>
      <c r="F104" s="603">
        <v>1101392.3700000001</v>
      </c>
      <c r="G104" s="603">
        <v>49071.930000000197</v>
      </c>
      <c r="H104" s="603">
        <v>83217.950000000201</v>
      </c>
      <c r="I104" s="603">
        <v>113578.86</v>
      </c>
      <c r="J104" s="603">
        <v>183011.42</v>
      </c>
      <c r="K104" s="603">
        <v>280115.62</v>
      </c>
      <c r="L104" s="603">
        <v>371146.91</v>
      </c>
      <c r="M104" s="603">
        <v>586783.9</v>
      </c>
      <c r="N104" s="603">
        <v>727245.54</v>
      </c>
      <c r="O104" s="603">
        <v>861027.18</v>
      </c>
      <c r="P104" s="603">
        <v>995353.46</v>
      </c>
      <c r="Q104" s="603">
        <v>1079903.93</v>
      </c>
      <c r="R104" s="603">
        <v>1144052.1599999999</v>
      </c>
      <c r="S104" s="484">
        <f t="shared" si="26"/>
        <v>537764.91374999995</v>
      </c>
      <c r="T104" s="604"/>
      <c r="U104" s="642">
        <f t="shared" si="24"/>
        <v>537764.91374999995</v>
      </c>
      <c r="V104" s="679"/>
      <c r="W104" s="679"/>
      <c r="X104" s="702"/>
      <c r="Y104" s="679"/>
      <c r="Z104" s="679"/>
      <c r="AA104" s="642"/>
      <c r="AB104" s="679"/>
      <c r="AC104" s="643"/>
      <c r="AD104" s="644">
        <f t="shared" si="25"/>
        <v>537764.91374999995</v>
      </c>
      <c r="AE104" s="643"/>
      <c r="AF104" s="677">
        <f t="shared" si="20"/>
        <v>0</v>
      </c>
    </row>
    <row r="105" spans="1:32">
      <c r="A105" s="604">
        <v>92</v>
      </c>
      <c r="B105" s="316" t="s">
        <v>984</v>
      </c>
      <c r="C105" s="316" t="s">
        <v>429</v>
      </c>
      <c r="D105" s="316" t="s">
        <v>964</v>
      </c>
      <c r="E105" s="602" t="s">
        <v>1492</v>
      </c>
      <c r="F105" s="603">
        <v>-109625.87</v>
      </c>
      <c r="G105" s="603">
        <v>-5087.0099999999902</v>
      </c>
      <c r="H105" s="603">
        <v>-11592.06</v>
      </c>
      <c r="I105" s="603">
        <v>-22824.77</v>
      </c>
      <c r="J105" s="603">
        <v>-33531.83</v>
      </c>
      <c r="K105" s="603">
        <v>-39091.54</v>
      </c>
      <c r="L105" s="603">
        <v>-46511.82</v>
      </c>
      <c r="M105" s="603">
        <v>-56105.72</v>
      </c>
      <c r="N105" s="603">
        <v>-61630.54</v>
      </c>
      <c r="O105" s="603">
        <v>-72130.33</v>
      </c>
      <c r="P105" s="603">
        <v>-89524.45</v>
      </c>
      <c r="Q105" s="603">
        <v>-98226.01</v>
      </c>
      <c r="R105" s="603">
        <v>-105119.37</v>
      </c>
      <c r="S105" s="484">
        <f t="shared" si="26"/>
        <v>-53635.724999999999</v>
      </c>
      <c r="T105" s="604"/>
      <c r="U105" s="642">
        <f t="shared" si="24"/>
        <v>-53635.724999999999</v>
      </c>
      <c r="V105" s="679"/>
      <c r="W105" s="679"/>
      <c r="X105" s="702"/>
      <c r="Y105" s="679"/>
      <c r="Z105" s="679"/>
      <c r="AA105" s="642"/>
      <c r="AB105" s="679"/>
      <c r="AC105" s="643"/>
      <c r="AD105" s="644">
        <f t="shared" si="25"/>
        <v>-53635.724999999999</v>
      </c>
      <c r="AE105" s="643"/>
      <c r="AF105" s="677">
        <f t="shared" si="20"/>
        <v>0</v>
      </c>
    </row>
    <row r="106" spans="1:32">
      <c r="A106" s="604">
        <v>93</v>
      </c>
      <c r="B106" s="316" t="s">
        <v>959</v>
      </c>
      <c r="C106" s="316" t="s">
        <v>429</v>
      </c>
      <c r="D106" s="316" t="s">
        <v>964</v>
      </c>
      <c r="E106" s="602" t="s">
        <v>1492</v>
      </c>
      <c r="F106" s="603">
        <v>-420596.92</v>
      </c>
      <c r="G106" s="603">
        <v>-21507.34</v>
      </c>
      <c r="H106" s="603">
        <v>-43443.11</v>
      </c>
      <c r="I106" s="603">
        <v>-59322.21</v>
      </c>
      <c r="J106" s="603">
        <v>-74592.69</v>
      </c>
      <c r="K106" s="603">
        <v>-89640.48</v>
      </c>
      <c r="L106" s="603">
        <v>-101404.6</v>
      </c>
      <c r="M106" s="603">
        <v>-124327.71</v>
      </c>
      <c r="N106" s="603">
        <v>-139121.70000000001</v>
      </c>
      <c r="O106" s="603">
        <v>-160352.97</v>
      </c>
      <c r="P106" s="603">
        <v>-203725.22</v>
      </c>
      <c r="Q106" s="603">
        <v>-225037.69</v>
      </c>
      <c r="R106" s="603">
        <v>-247474.88</v>
      </c>
      <c r="S106" s="484">
        <f t="shared" si="26"/>
        <v>-131375.96833333335</v>
      </c>
      <c r="T106" s="604"/>
      <c r="U106" s="642">
        <f t="shared" si="24"/>
        <v>-131375.96833333335</v>
      </c>
      <c r="V106" s="679"/>
      <c r="W106" s="679"/>
      <c r="X106" s="702"/>
      <c r="Y106" s="679"/>
      <c r="Z106" s="679"/>
      <c r="AA106" s="642"/>
      <c r="AB106" s="679"/>
      <c r="AC106" s="643"/>
      <c r="AD106" s="644">
        <f t="shared" si="25"/>
        <v>-131375.96833333335</v>
      </c>
      <c r="AE106" s="643"/>
      <c r="AF106" s="677">
        <f t="shared" si="20"/>
        <v>0</v>
      </c>
    </row>
    <row r="107" spans="1:32">
      <c r="A107" s="604">
        <v>94</v>
      </c>
      <c r="B107" s="316" t="s">
        <v>984</v>
      </c>
      <c r="C107" s="316" t="s">
        <v>429</v>
      </c>
      <c r="D107" s="316" t="s">
        <v>1114</v>
      </c>
      <c r="E107" s="602" t="s">
        <v>1493</v>
      </c>
      <c r="F107" s="603">
        <v>-175003.87</v>
      </c>
      <c r="G107" s="603">
        <v>-38111.449999999997</v>
      </c>
      <c r="H107" s="603">
        <v>-39869.29</v>
      </c>
      <c r="I107" s="603">
        <v>-61466.66</v>
      </c>
      <c r="J107" s="603">
        <v>-40298.74</v>
      </c>
      <c r="K107" s="603">
        <v>-59310.23</v>
      </c>
      <c r="L107" s="603">
        <v>-56447.34</v>
      </c>
      <c r="M107" s="603">
        <v>-92652.3</v>
      </c>
      <c r="N107" s="603">
        <v>-117529.4</v>
      </c>
      <c r="O107" s="603">
        <v>-142688.54</v>
      </c>
      <c r="P107" s="603">
        <v>-162904.01</v>
      </c>
      <c r="Q107" s="603">
        <v>-191713.73</v>
      </c>
      <c r="R107" s="603">
        <v>-223987.58</v>
      </c>
      <c r="S107" s="484">
        <f t="shared" si="26"/>
        <v>-100207.28458333334</v>
      </c>
      <c r="T107" s="604"/>
      <c r="U107" s="642">
        <f t="shared" si="24"/>
        <v>-100207.28458333334</v>
      </c>
      <c r="V107" s="679"/>
      <c r="W107" s="679"/>
      <c r="X107" s="702"/>
      <c r="Y107" s="679"/>
      <c r="Z107" s="679"/>
      <c r="AA107" s="642"/>
      <c r="AB107" s="679"/>
      <c r="AC107" s="643"/>
      <c r="AD107" s="644">
        <f t="shared" si="25"/>
        <v>-100207.28458333334</v>
      </c>
      <c r="AE107" s="643"/>
      <c r="AF107" s="677">
        <f t="shared" si="20"/>
        <v>0</v>
      </c>
    </row>
    <row r="108" spans="1:32">
      <c r="A108" s="604">
        <v>95</v>
      </c>
      <c r="B108" s="316" t="s">
        <v>959</v>
      </c>
      <c r="C108" s="316" t="s">
        <v>429</v>
      </c>
      <c r="D108" s="316" t="s">
        <v>1114</v>
      </c>
      <c r="E108" s="602" t="s">
        <v>1493</v>
      </c>
      <c r="F108" s="603">
        <v>-678722.01</v>
      </c>
      <c r="G108" s="603">
        <v>-145961.84</v>
      </c>
      <c r="H108" s="603">
        <v>-177647.74</v>
      </c>
      <c r="I108" s="603">
        <v>-269231.44</v>
      </c>
      <c r="J108" s="603">
        <v>-215433.89</v>
      </c>
      <c r="K108" s="603">
        <v>-225081.71</v>
      </c>
      <c r="L108" s="603">
        <v>-269526.67</v>
      </c>
      <c r="M108" s="603">
        <v>-402230.81</v>
      </c>
      <c r="N108" s="603">
        <v>-482900.77</v>
      </c>
      <c r="O108" s="603">
        <v>-593285.81000000006</v>
      </c>
      <c r="P108" s="603">
        <v>-682880.71</v>
      </c>
      <c r="Q108" s="603">
        <v>-802882.52</v>
      </c>
      <c r="R108" s="603">
        <v>-950124.39</v>
      </c>
      <c r="S108" s="484">
        <f t="shared" si="26"/>
        <v>-423457.25916666671</v>
      </c>
      <c r="T108" s="604"/>
      <c r="U108" s="642">
        <f t="shared" si="24"/>
        <v>-423457.25916666671</v>
      </c>
      <c r="V108" s="679"/>
      <c r="W108" s="679"/>
      <c r="X108" s="702"/>
      <c r="Y108" s="679"/>
      <c r="Z108" s="679"/>
      <c r="AA108" s="642"/>
      <c r="AB108" s="679"/>
      <c r="AC108" s="643"/>
      <c r="AD108" s="644">
        <f t="shared" si="25"/>
        <v>-423457.25916666671</v>
      </c>
      <c r="AE108" s="643"/>
      <c r="AF108" s="677">
        <f t="shared" si="20"/>
        <v>0</v>
      </c>
    </row>
    <row r="109" spans="1:32">
      <c r="A109" s="604">
        <v>96</v>
      </c>
      <c r="B109" s="316" t="s">
        <v>984</v>
      </c>
      <c r="C109" s="316" t="s">
        <v>430</v>
      </c>
      <c r="D109" s="316" t="s">
        <v>718</v>
      </c>
      <c r="E109" s="602" t="s">
        <v>1494</v>
      </c>
      <c r="F109" s="603">
        <v>-9984</v>
      </c>
      <c r="G109" s="603">
        <v>-10060</v>
      </c>
      <c r="H109" s="603">
        <v>-10060</v>
      </c>
      <c r="I109" s="603">
        <v>-10060</v>
      </c>
      <c r="J109" s="603">
        <v>-10060</v>
      </c>
      <c r="K109" s="603">
        <v>-10060</v>
      </c>
      <c r="L109" s="603">
        <v>-10060</v>
      </c>
      <c r="M109" s="603">
        <v>-10060</v>
      </c>
      <c r="N109" s="603">
        <v>-10060</v>
      </c>
      <c r="O109" s="603">
        <v>-10060</v>
      </c>
      <c r="P109" s="603">
        <v>-10060</v>
      </c>
      <c r="Q109" s="603">
        <v>-10060</v>
      </c>
      <c r="R109" s="603">
        <v>-10060</v>
      </c>
      <c r="S109" s="484">
        <f t="shared" si="26"/>
        <v>-10056.833333333334</v>
      </c>
      <c r="T109" s="604"/>
      <c r="U109" s="642">
        <f t="shared" si="24"/>
        <v>-10056.833333333334</v>
      </c>
      <c r="V109" s="679"/>
      <c r="W109" s="679"/>
      <c r="X109" s="702"/>
      <c r="Y109" s="679"/>
      <c r="Z109" s="679"/>
      <c r="AA109" s="642"/>
      <c r="AB109" s="679"/>
      <c r="AC109" s="643"/>
      <c r="AD109" s="644">
        <f t="shared" si="25"/>
        <v>-10056.833333333334</v>
      </c>
      <c r="AE109" s="643"/>
      <c r="AF109" s="677">
        <f t="shared" si="20"/>
        <v>0</v>
      </c>
    </row>
    <row r="110" spans="1:32">
      <c r="A110" s="604">
        <v>97</v>
      </c>
      <c r="B110" s="316" t="s">
        <v>959</v>
      </c>
      <c r="C110" s="316" t="s">
        <v>430</v>
      </c>
      <c r="D110" s="316" t="s">
        <v>718</v>
      </c>
      <c r="E110" s="602" t="s">
        <v>1494</v>
      </c>
      <c r="F110" s="603">
        <v>-30016</v>
      </c>
      <c r="G110" s="603">
        <v>-29940</v>
      </c>
      <c r="H110" s="603">
        <v>-29940</v>
      </c>
      <c r="I110" s="603">
        <v>-29940</v>
      </c>
      <c r="J110" s="603">
        <v>-29940</v>
      </c>
      <c r="K110" s="603">
        <v>-29940</v>
      </c>
      <c r="L110" s="603">
        <v>-29940</v>
      </c>
      <c r="M110" s="603">
        <v>-29940</v>
      </c>
      <c r="N110" s="603">
        <v>-29940</v>
      </c>
      <c r="O110" s="603">
        <v>-29940</v>
      </c>
      <c r="P110" s="603">
        <v>-29940</v>
      </c>
      <c r="Q110" s="603">
        <v>-29940</v>
      </c>
      <c r="R110" s="603">
        <v>-29940</v>
      </c>
      <c r="S110" s="484">
        <f t="shared" si="26"/>
        <v>-29943.166666666668</v>
      </c>
      <c r="T110" s="604"/>
      <c r="U110" s="642">
        <f t="shared" si="24"/>
        <v>-29943.166666666668</v>
      </c>
      <c r="V110" s="679"/>
      <c r="W110" s="679"/>
      <c r="X110" s="702"/>
      <c r="Y110" s="679"/>
      <c r="Z110" s="679"/>
      <c r="AA110" s="642"/>
      <c r="AB110" s="679"/>
      <c r="AC110" s="643"/>
      <c r="AD110" s="644">
        <f t="shared" si="25"/>
        <v>-29943.166666666668</v>
      </c>
      <c r="AE110" s="643"/>
      <c r="AF110" s="677">
        <f t="shared" si="20"/>
        <v>0</v>
      </c>
    </row>
    <row r="111" spans="1:32">
      <c r="A111" s="604">
        <v>98</v>
      </c>
      <c r="B111" s="316" t="s">
        <v>984</v>
      </c>
      <c r="C111" s="316" t="s">
        <v>430</v>
      </c>
      <c r="D111" s="316" t="s">
        <v>1113</v>
      </c>
      <c r="E111" s="602" t="s">
        <v>1496</v>
      </c>
      <c r="F111" s="603">
        <v>0</v>
      </c>
      <c r="G111" s="603">
        <v>0</v>
      </c>
      <c r="H111" s="603">
        <v>0</v>
      </c>
      <c r="I111" s="603">
        <v>0</v>
      </c>
      <c r="J111" s="603">
        <v>0</v>
      </c>
      <c r="K111" s="603">
        <v>0</v>
      </c>
      <c r="L111" s="603">
        <v>0</v>
      </c>
      <c r="M111" s="603">
        <v>0</v>
      </c>
      <c r="N111" s="603">
        <v>0</v>
      </c>
      <c r="O111" s="603">
        <v>0</v>
      </c>
      <c r="P111" s="603">
        <v>0</v>
      </c>
      <c r="Q111" s="603">
        <v>0</v>
      </c>
      <c r="R111" s="603">
        <v>0</v>
      </c>
      <c r="S111" s="484">
        <f>((F111+R111)+((G111+H111+I111+J111+K111+L111+M111+N111+O111+P111+Q111)*2))/24</f>
        <v>0</v>
      </c>
      <c r="T111" s="604"/>
      <c r="U111" s="642">
        <f t="shared" si="24"/>
        <v>0</v>
      </c>
      <c r="V111" s="679"/>
      <c r="W111" s="679"/>
      <c r="X111" s="702"/>
      <c r="Y111" s="679"/>
      <c r="Z111" s="679"/>
      <c r="AA111" s="642"/>
      <c r="AB111" s="679"/>
      <c r="AC111" s="643"/>
      <c r="AD111" s="644">
        <f t="shared" si="25"/>
        <v>0</v>
      </c>
      <c r="AE111" s="643"/>
      <c r="AF111" s="677">
        <f t="shared" si="20"/>
        <v>0</v>
      </c>
    </row>
    <row r="112" spans="1:32">
      <c r="A112" s="604">
        <v>99</v>
      </c>
      <c r="B112" s="316" t="s">
        <v>959</v>
      </c>
      <c r="C112" s="316" t="s">
        <v>430</v>
      </c>
      <c r="D112" s="316" t="s">
        <v>1113</v>
      </c>
      <c r="E112" s="602" t="s">
        <v>1496</v>
      </c>
      <c r="F112" s="603">
        <v>0</v>
      </c>
      <c r="G112" s="603">
        <v>0</v>
      </c>
      <c r="H112" s="603">
        <v>0</v>
      </c>
      <c r="I112" s="603">
        <v>0</v>
      </c>
      <c r="J112" s="603">
        <v>0</v>
      </c>
      <c r="K112" s="603">
        <v>182.61</v>
      </c>
      <c r="L112" s="603">
        <v>1543.52</v>
      </c>
      <c r="M112" s="603">
        <v>1543.52</v>
      </c>
      <c r="N112" s="603">
        <v>1543.52</v>
      </c>
      <c r="O112" s="603">
        <v>21528.560000000001</v>
      </c>
      <c r="P112" s="603">
        <v>21528.560000000001</v>
      </c>
      <c r="Q112" s="603">
        <v>21528.560000000001</v>
      </c>
      <c r="R112" s="603">
        <v>21528.560000000001</v>
      </c>
      <c r="S112" s="484">
        <f t="shared" si="26"/>
        <v>6680.2608333333337</v>
      </c>
      <c r="T112" s="604"/>
      <c r="U112" s="642">
        <f t="shared" si="24"/>
        <v>6680.2608333333337</v>
      </c>
      <c r="V112" s="679"/>
      <c r="W112" s="679"/>
      <c r="X112" s="702"/>
      <c r="Y112" s="679"/>
      <c r="Z112" s="679"/>
      <c r="AA112" s="642"/>
      <c r="AB112" s="679"/>
      <c r="AC112" s="643"/>
      <c r="AD112" s="644">
        <f t="shared" si="25"/>
        <v>6680.2608333333337</v>
      </c>
      <c r="AE112" s="643"/>
      <c r="AF112" s="677">
        <f t="shared" si="20"/>
        <v>0</v>
      </c>
    </row>
    <row r="113" spans="1:32">
      <c r="A113" s="604">
        <v>100</v>
      </c>
      <c r="B113" s="316" t="s">
        <v>959</v>
      </c>
      <c r="C113" s="316" t="s">
        <v>430</v>
      </c>
      <c r="D113" s="316" t="s">
        <v>964</v>
      </c>
      <c r="E113" s="602" t="s">
        <v>1497</v>
      </c>
      <c r="F113" s="603">
        <v>0</v>
      </c>
      <c r="G113" s="603">
        <v>0</v>
      </c>
      <c r="H113" s="603">
        <v>0</v>
      </c>
      <c r="I113" s="603">
        <v>0</v>
      </c>
      <c r="J113" s="603">
        <v>0</v>
      </c>
      <c r="K113" s="603">
        <v>0</v>
      </c>
      <c r="L113" s="603">
        <v>0</v>
      </c>
      <c r="M113" s="603">
        <v>0</v>
      </c>
      <c r="N113" s="603">
        <v>0</v>
      </c>
      <c r="O113" s="603">
        <v>0</v>
      </c>
      <c r="P113" s="603">
        <v>0</v>
      </c>
      <c r="Q113" s="603">
        <v>0</v>
      </c>
      <c r="R113" s="603">
        <v>0</v>
      </c>
      <c r="S113" s="484">
        <f t="shared" si="26"/>
        <v>0</v>
      </c>
      <c r="T113" s="604"/>
      <c r="U113" s="642">
        <f t="shared" si="24"/>
        <v>0</v>
      </c>
      <c r="V113" s="679"/>
      <c r="W113" s="679"/>
      <c r="X113" s="702"/>
      <c r="Y113" s="679"/>
      <c r="Z113" s="679"/>
      <c r="AA113" s="642"/>
      <c r="AB113" s="679"/>
      <c r="AC113" s="643"/>
      <c r="AD113" s="644">
        <f t="shared" si="25"/>
        <v>0</v>
      </c>
      <c r="AE113" s="643"/>
      <c r="AF113" s="677">
        <f t="shared" si="20"/>
        <v>0</v>
      </c>
    </row>
    <row r="114" spans="1:32">
      <c r="A114" s="604">
        <v>101</v>
      </c>
      <c r="B114" s="316" t="s">
        <v>984</v>
      </c>
      <c r="C114" s="316" t="s">
        <v>430</v>
      </c>
      <c r="D114" s="316" t="s">
        <v>1114</v>
      </c>
      <c r="E114" s="602" t="s">
        <v>1495</v>
      </c>
      <c r="F114" s="603">
        <v>-76</v>
      </c>
      <c r="G114" s="603">
        <v>0</v>
      </c>
      <c r="H114" s="603">
        <v>0</v>
      </c>
      <c r="I114" s="603">
        <v>0</v>
      </c>
      <c r="J114" s="603">
        <v>0</v>
      </c>
      <c r="K114" s="603">
        <v>0</v>
      </c>
      <c r="L114" s="603">
        <v>0</v>
      </c>
      <c r="M114" s="603">
        <v>0</v>
      </c>
      <c r="N114" s="603">
        <v>0</v>
      </c>
      <c r="O114" s="603">
        <v>0</v>
      </c>
      <c r="P114" s="603">
        <v>0</v>
      </c>
      <c r="Q114" s="603">
        <v>0</v>
      </c>
      <c r="R114" s="603">
        <v>2611</v>
      </c>
      <c r="S114" s="484">
        <f t="shared" si="26"/>
        <v>105.625</v>
      </c>
      <c r="T114" s="604"/>
      <c r="U114" s="642">
        <f t="shared" si="24"/>
        <v>105.625</v>
      </c>
      <c r="V114" s="679"/>
      <c r="W114" s="679"/>
      <c r="X114" s="702"/>
      <c r="Y114" s="679"/>
      <c r="Z114" s="679"/>
      <c r="AA114" s="642"/>
      <c r="AB114" s="679"/>
      <c r="AC114" s="643"/>
      <c r="AD114" s="644">
        <f t="shared" si="25"/>
        <v>105.625</v>
      </c>
      <c r="AE114" s="643"/>
      <c r="AF114" s="677">
        <f t="shared" si="20"/>
        <v>0</v>
      </c>
    </row>
    <row r="115" spans="1:32">
      <c r="A115" s="604">
        <v>102</v>
      </c>
      <c r="B115" s="316" t="s">
        <v>959</v>
      </c>
      <c r="C115" s="316" t="s">
        <v>430</v>
      </c>
      <c r="D115" s="316" t="s">
        <v>1114</v>
      </c>
      <c r="E115" s="602" t="s">
        <v>1495</v>
      </c>
      <c r="F115" s="603">
        <v>76</v>
      </c>
      <c r="G115" s="603">
        <v>0</v>
      </c>
      <c r="H115" s="603">
        <v>0</v>
      </c>
      <c r="I115" s="603">
        <v>0</v>
      </c>
      <c r="J115" s="603">
        <v>0</v>
      </c>
      <c r="K115" s="603">
        <v>0</v>
      </c>
      <c r="L115" s="603">
        <v>0</v>
      </c>
      <c r="M115" s="603">
        <v>0</v>
      </c>
      <c r="N115" s="603">
        <v>0</v>
      </c>
      <c r="O115" s="603">
        <v>0</v>
      </c>
      <c r="P115" s="603">
        <v>0</v>
      </c>
      <c r="Q115" s="603">
        <v>0</v>
      </c>
      <c r="R115" s="603">
        <v>-14139.56</v>
      </c>
      <c r="S115" s="484">
        <f>((F115+R115)+((G115+H115+I115+J115+K115+L115+M115+N115+O115+P115+Q115)*2))/24</f>
        <v>-585.98166666666668</v>
      </c>
      <c r="T115" s="604"/>
      <c r="U115" s="642">
        <f t="shared" si="24"/>
        <v>-585.98166666666668</v>
      </c>
      <c r="V115" s="679"/>
      <c r="W115" s="679"/>
      <c r="X115" s="702"/>
      <c r="Y115" s="679"/>
      <c r="Z115" s="679"/>
      <c r="AA115" s="642"/>
      <c r="AB115" s="679"/>
      <c r="AC115" s="643"/>
      <c r="AD115" s="644">
        <f t="shared" si="25"/>
        <v>-585.98166666666668</v>
      </c>
      <c r="AE115" s="643"/>
      <c r="AF115" s="677">
        <f t="shared" si="20"/>
        <v>0</v>
      </c>
    </row>
    <row r="116" spans="1:32">
      <c r="A116" s="604">
        <v>103</v>
      </c>
      <c r="B116" s="316" t="s">
        <v>956</v>
      </c>
      <c r="C116" s="316" t="s">
        <v>431</v>
      </c>
      <c r="D116" s="316" t="s">
        <v>718</v>
      </c>
      <c r="E116" s="602" t="s">
        <v>1486</v>
      </c>
      <c r="F116" s="603">
        <v>-20000</v>
      </c>
      <c r="G116" s="603">
        <v>-10000</v>
      </c>
      <c r="H116" s="603">
        <v>-10000</v>
      </c>
      <c r="I116" s="603">
        <v>-10000</v>
      </c>
      <c r="J116" s="603">
        <v>-10000</v>
      </c>
      <c r="K116" s="603">
        <v>-10000</v>
      </c>
      <c r="L116" s="603">
        <v>-10000</v>
      </c>
      <c r="M116" s="603">
        <v>-10000</v>
      </c>
      <c r="N116" s="603">
        <v>-10000</v>
      </c>
      <c r="O116" s="603">
        <v>-10000</v>
      </c>
      <c r="P116" s="603">
        <v>-10000</v>
      </c>
      <c r="Q116" s="603">
        <v>-10000</v>
      </c>
      <c r="R116" s="603">
        <v>-10000</v>
      </c>
      <c r="S116" s="484">
        <f>((F116+R116)+((G116+H116+I116+J116+K116+L116+M116+N116+O116+P116+Q116)*2))/24</f>
        <v>-10416.666666666666</v>
      </c>
      <c r="T116" s="604"/>
      <c r="U116" s="642">
        <f t="shared" si="24"/>
        <v>-10416.666666666666</v>
      </c>
      <c r="V116" s="679"/>
      <c r="W116" s="679"/>
      <c r="X116" s="702"/>
      <c r="Y116" s="679"/>
      <c r="Z116" s="679"/>
      <c r="AA116" s="642"/>
      <c r="AB116" s="679"/>
      <c r="AC116" s="643"/>
      <c r="AD116" s="644">
        <f t="shared" si="25"/>
        <v>-10416.666666666666</v>
      </c>
      <c r="AE116" s="643"/>
      <c r="AF116" s="677">
        <f t="shared" si="20"/>
        <v>0</v>
      </c>
    </row>
    <row r="117" spans="1:32">
      <c r="A117" s="604">
        <v>104</v>
      </c>
      <c r="B117" s="316" t="s">
        <v>956</v>
      </c>
      <c r="C117" s="316" t="s">
        <v>431</v>
      </c>
      <c r="D117" s="316" t="s">
        <v>1113</v>
      </c>
      <c r="E117" s="602" t="s">
        <v>1487</v>
      </c>
      <c r="F117" s="603">
        <v>32877.919999999998</v>
      </c>
      <c r="G117" s="603">
        <v>1003.22</v>
      </c>
      <c r="H117" s="603">
        <v>1003.22</v>
      </c>
      <c r="I117" s="603">
        <v>1708.18</v>
      </c>
      <c r="J117" s="603">
        <v>1708.18</v>
      </c>
      <c r="K117" s="603">
        <v>3677.61</v>
      </c>
      <c r="L117" s="603">
        <v>25095.45</v>
      </c>
      <c r="M117" s="603">
        <v>25095.45</v>
      </c>
      <c r="N117" s="603">
        <v>25095.45</v>
      </c>
      <c r="O117" s="603">
        <v>31605.26</v>
      </c>
      <c r="P117" s="603">
        <v>31605.26</v>
      </c>
      <c r="Q117" s="603">
        <v>34847.89</v>
      </c>
      <c r="R117" s="603">
        <v>34847.89</v>
      </c>
      <c r="S117" s="484">
        <f>((F117+R117)+((G117+H117+I117+J117+K117+L117+M117+N117+O117+P117+Q117)*2))/24</f>
        <v>18025.672916666666</v>
      </c>
      <c r="T117" s="604"/>
      <c r="U117" s="642">
        <f t="shared" si="24"/>
        <v>18025.672916666666</v>
      </c>
      <c r="V117" s="679"/>
      <c r="W117" s="679"/>
      <c r="X117" s="702"/>
      <c r="Y117" s="679"/>
      <c r="Z117" s="679"/>
      <c r="AA117" s="642"/>
      <c r="AB117" s="679"/>
      <c r="AC117" s="643"/>
      <c r="AD117" s="644">
        <f t="shared" si="25"/>
        <v>18025.672916666666</v>
      </c>
      <c r="AE117" s="643"/>
      <c r="AF117" s="677">
        <f t="shared" si="20"/>
        <v>0</v>
      </c>
    </row>
    <row r="118" spans="1:32">
      <c r="A118" s="604">
        <v>105</v>
      </c>
      <c r="B118" s="316" t="s">
        <v>956</v>
      </c>
      <c r="C118" s="316" t="s">
        <v>431</v>
      </c>
      <c r="D118" s="316" t="s">
        <v>964</v>
      </c>
      <c r="E118" s="602" t="s">
        <v>1488</v>
      </c>
      <c r="F118" s="603">
        <v>-916.75</v>
      </c>
      <c r="G118" s="603">
        <v>0</v>
      </c>
      <c r="H118" s="603">
        <v>0</v>
      </c>
      <c r="I118" s="603">
        <v>0</v>
      </c>
      <c r="J118" s="603">
        <v>0</v>
      </c>
      <c r="K118" s="603">
        <v>0</v>
      </c>
      <c r="L118" s="603">
        <v>0</v>
      </c>
      <c r="M118" s="603">
        <v>0</v>
      </c>
      <c r="N118" s="603">
        <v>0</v>
      </c>
      <c r="O118" s="603">
        <v>0</v>
      </c>
      <c r="P118" s="603">
        <v>0</v>
      </c>
      <c r="Q118" s="603">
        <v>0</v>
      </c>
      <c r="R118" s="603">
        <v>0</v>
      </c>
      <c r="S118" s="484">
        <f>((F118+R118)+((G118+H118+I118+J118+K118+L118+M118+N118+O118+P118+Q118)*2))/24</f>
        <v>-38.197916666666664</v>
      </c>
      <c r="T118" s="604"/>
      <c r="U118" s="642">
        <f t="shared" si="24"/>
        <v>-38.197916666666664</v>
      </c>
      <c r="V118" s="679"/>
      <c r="W118" s="679"/>
      <c r="X118" s="702"/>
      <c r="Y118" s="679"/>
      <c r="Z118" s="679"/>
      <c r="AA118" s="642"/>
      <c r="AB118" s="679"/>
      <c r="AC118" s="643"/>
      <c r="AD118" s="644">
        <f t="shared" si="25"/>
        <v>-38.197916666666664</v>
      </c>
      <c r="AE118" s="643"/>
      <c r="AF118" s="677">
        <f t="shared" si="20"/>
        <v>0</v>
      </c>
    </row>
    <row r="119" spans="1:32">
      <c r="A119" s="604">
        <v>106</v>
      </c>
      <c r="B119" s="316" t="s">
        <v>956</v>
      </c>
      <c r="C119" s="316" t="s">
        <v>431</v>
      </c>
      <c r="D119" s="316" t="s">
        <v>1114</v>
      </c>
      <c r="E119" s="602" t="s">
        <v>1489</v>
      </c>
      <c r="F119" s="303">
        <v>-21961.17</v>
      </c>
      <c r="G119" s="303">
        <v>0</v>
      </c>
      <c r="H119" s="303">
        <v>0</v>
      </c>
      <c r="I119" s="303">
        <v>0</v>
      </c>
      <c r="J119" s="303">
        <v>0</v>
      </c>
      <c r="K119" s="303">
        <v>0</v>
      </c>
      <c r="L119" s="303">
        <v>-30095.45</v>
      </c>
      <c r="M119" s="303">
        <v>-30095.45</v>
      </c>
      <c r="N119" s="303">
        <v>-30095.45</v>
      </c>
      <c r="O119" s="303">
        <v>-30095.45</v>
      </c>
      <c r="P119" s="303">
        <v>-30095.45</v>
      </c>
      <c r="Q119" s="303">
        <v>-30095.45</v>
      </c>
      <c r="R119" s="303">
        <v>-39847.89</v>
      </c>
      <c r="S119" s="485">
        <f>((F119+R119)+((G119+H119+I119+J119+K119+L119+M119+N119+O119+P119+Q119)*2))/24</f>
        <v>-17623.102500000001</v>
      </c>
      <c r="T119" s="604"/>
      <c r="U119" s="642">
        <f t="shared" si="24"/>
        <v>-17623.102500000001</v>
      </c>
      <c r="V119" s="679"/>
      <c r="W119" s="679"/>
      <c r="X119" s="702"/>
      <c r="Y119" s="679"/>
      <c r="Z119" s="679"/>
      <c r="AA119" s="642"/>
      <c r="AB119" s="679"/>
      <c r="AC119" s="643"/>
      <c r="AD119" s="644">
        <f t="shared" si="25"/>
        <v>-17623.102500000001</v>
      </c>
      <c r="AE119" s="643"/>
      <c r="AF119" s="677">
        <f t="shared" si="20"/>
        <v>0</v>
      </c>
    </row>
    <row r="120" spans="1:32">
      <c r="A120" s="604">
        <v>107</v>
      </c>
      <c r="B120" s="604"/>
      <c r="C120" s="604"/>
      <c r="D120" s="604"/>
      <c r="E120" s="589" t="s">
        <v>432</v>
      </c>
      <c r="F120" s="601">
        <f t="shared" ref="F120:S120" si="27">SUM(F101:F119)</f>
        <v>-460921.83999999991</v>
      </c>
      <c r="G120" s="601">
        <f t="shared" si="27"/>
        <v>-610186.48999999987</v>
      </c>
      <c r="H120" s="601">
        <f t="shared" si="27"/>
        <v>-627038.93999999983</v>
      </c>
      <c r="I120" s="601">
        <f t="shared" si="27"/>
        <v>-726091.9</v>
      </c>
      <c r="J120" s="601">
        <f t="shared" si="27"/>
        <v>-585279.48</v>
      </c>
      <c r="K120" s="601">
        <f t="shared" si="27"/>
        <v>-511404.44000000006</v>
      </c>
      <c r="L120" s="601">
        <f t="shared" si="27"/>
        <v>-466440.58</v>
      </c>
      <c r="M120" s="601">
        <f t="shared" si="27"/>
        <v>-401582.64999999997</v>
      </c>
      <c r="N120" s="601">
        <f t="shared" si="27"/>
        <v>-333317.52</v>
      </c>
      <c r="O120" s="601">
        <f t="shared" si="27"/>
        <v>-298509</v>
      </c>
      <c r="P120" s="601">
        <f t="shared" si="27"/>
        <v>-297492.52999999991</v>
      </c>
      <c r="Q120" s="601">
        <f t="shared" si="27"/>
        <v>-362248.74</v>
      </c>
      <c r="R120" s="601">
        <f t="shared" si="27"/>
        <v>-513355.16000000015</v>
      </c>
      <c r="S120" s="487">
        <f t="shared" si="27"/>
        <v>-475560.8975000002</v>
      </c>
      <c r="T120" s="604"/>
      <c r="U120" s="642"/>
      <c r="V120" s="679"/>
      <c r="W120" s="679"/>
      <c r="X120" s="702"/>
      <c r="Y120" s="679"/>
      <c r="Z120" s="679"/>
      <c r="AA120" s="642"/>
      <c r="AB120" s="679"/>
      <c r="AC120" s="643"/>
      <c r="AD120" s="643"/>
      <c r="AE120" s="643"/>
      <c r="AF120" s="677">
        <f t="shared" si="20"/>
        <v>0</v>
      </c>
    </row>
    <row r="121" spans="1:32">
      <c r="A121" s="604">
        <v>108</v>
      </c>
      <c r="B121" s="604"/>
      <c r="C121" s="604"/>
      <c r="D121" s="604"/>
      <c r="E121" s="589"/>
      <c r="F121" s="296"/>
      <c r="G121" s="296"/>
      <c r="H121" s="296"/>
      <c r="I121" s="296"/>
      <c r="J121" s="296"/>
      <c r="K121" s="296"/>
      <c r="L121" s="296"/>
      <c r="M121" s="296"/>
      <c r="N121" s="296"/>
      <c r="O121" s="296"/>
      <c r="P121" s="296"/>
      <c r="Q121" s="296"/>
      <c r="R121" s="296"/>
      <c r="S121" s="294"/>
      <c r="T121" s="604"/>
      <c r="U121" s="642"/>
      <c r="V121" s="679"/>
      <c r="W121" s="679"/>
      <c r="X121" s="702"/>
      <c r="Y121" s="679"/>
      <c r="Z121" s="679"/>
      <c r="AA121" s="642"/>
      <c r="AB121" s="679"/>
      <c r="AC121" s="643"/>
      <c r="AD121" s="643"/>
      <c r="AE121" s="643"/>
      <c r="AF121" s="677">
        <f t="shared" si="20"/>
        <v>0</v>
      </c>
    </row>
    <row r="122" spans="1:32">
      <c r="A122" s="604">
        <v>109</v>
      </c>
      <c r="B122" s="604"/>
      <c r="C122" s="604"/>
      <c r="D122" s="604"/>
      <c r="E122" s="589" t="s">
        <v>433</v>
      </c>
      <c r="F122" s="295">
        <f t="shared" ref="F122:S122" si="28">+F99+F120</f>
        <v>19454771.420000002</v>
      </c>
      <c r="G122" s="295">
        <f t="shared" si="28"/>
        <v>31452725.970000006</v>
      </c>
      <c r="H122" s="295">
        <f t="shared" si="28"/>
        <v>32145692.82</v>
      </c>
      <c r="I122" s="295">
        <f t="shared" si="28"/>
        <v>25437974.91</v>
      </c>
      <c r="J122" s="295">
        <f t="shared" si="28"/>
        <v>26976293.09</v>
      </c>
      <c r="K122" s="295">
        <f t="shared" si="28"/>
        <v>21363335.059999999</v>
      </c>
      <c r="L122" s="295">
        <f t="shared" si="28"/>
        <v>19195364.800000004</v>
      </c>
      <c r="M122" s="295">
        <f t="shared" si="28"/>
        <v>18819688.880000003</v>
      </c>
      <c r="N122" s="295">
        <f t="shared" si="28"/>
        <v>19801598.75</v>
      </c>
      <c r="O122" s="295">
        <f t="shared" si="28"/>
        <v>17768632.969999999</v>
      </c>
      <c r="P122" s="295">
        <f t="shared" si="28"/>
        <v>21197070.489999998</v>
      </c>
      <c r="Q122" s="295">
        <f t="shared" si="28"/>
        <v>22004153.749999996</v>
      </c>
      <c r="R122" s="295">
        <f t="shared" si="28"/>
        <v>26725781.710000001</v>
      </c>
      <c r="S122" s="486">
        <f t="shared" si="28"/>
        <v>23271067.337916665</v>
      </c>
      <c r="T122" s="604"/>
      <c r="U122" s="642"/>
      <c r="V122" s="679"/>
      <c r="W122" s="679"/>
      <c r="X122" s="702"/>
      <c r="Y122" s="679"/>
      <c r="Z122" s="679"/>
      <c r="AA122" s="642"/>
      <c r="AB122" s="679"/>
      <c r="AC122" s="643"/>
      <c r="AD122" s="643"/>
      <c r="AE122" s="643"/>
      <c r="AF122" s="677">
        <f t="shared" si="20"/>
        <v>0</v>
      </c>
    </row>
    <row r="123" spans="1:32">
      <c r="A123" s="604">
        <v>110</v>
      </c>
      <c r="B123" s="604"/>
      <c r="C123" s="604"/>
      <c r="D123" s="604"/>
      <c r="E123" s="589"/>
      <c r="F123" s="603"/>
      <c r="G123" s="304"/>
      <c r="H123" s="305"/>
      <c r="I123" s="305"/>
      <c r="J123" s="306"/>
      <c r="K123" s="307"/>
      <c r="L123" s="308"/>
      <c r="M123" s="309"/>
      <c r="N123" s="310"/>
      <c r="O123" s="590"/>
      <c r="P123" s="311"/>
      <c r="Q123" s="312"/>
      <c r="R123" s="603"/>
      <c r="S123" s="294"/>
      <c r="T123" s="604"/>
      <c r="U123" s="642"/>
      <c r="V123" s="679"/>
      <c r="W123" s="679"/>
      <c r="X123" s="702"/>
      <c r="Y123" s="679"/>
      <c r="Z123" s="679"/>
      <c r="AA123" s="642"/>
      <c r="AB123" s="679"/>
      <c r="AC123" s="643"/>
      <c r="AD123" s="643"/>
      <c r="AE123" s="643"/>
      <c r="AF123" s="677">
        <f t="shared" si="20"/>
        <v>0</v>
      </c>
    </row>
    <row r="124" spans="1:32">
      <c r="A124" s="604">
        <v>111</v>
      </c>
      <c r="B124" s="316" t="s">
        <v>956</v>
      </c>
      <c r="C124" s="316" t="s">
        <v>434</v>
      </c>
      <c r="D124" s="316" t="s">
        <v>618</v>
      </c>
      <c r="E124" s="602" t="s">
        <v>1498</v>
      </c>
      <c r="F124" s="603">
        <v>1148188.3600000001</v>
      </c>
      <c r="G124" s="603">
        <v>1066587.8600000001</v>
      </c>
      <c r="H124" s="603">
        <v>1095338.69</v>
      </c>
      <c r="I124" s="603">
        <v>1107745.56</v>
      </c>
      <c r="J124" s="603">
        <v>1038046.72</v>
      </c>
      <c r="K124" s="603">
        <v>1078038.79</v>
      </c>
      <c r="L124" s="603">
        <v>1054031.1299999999</v>
      </c>
      <c r="M124" s="603">
        <v>1071865.8899999999</v>
      </c>
      <c r="N124" s="603">
        <v>1036434.56</v>
      </c>
      <c r="O124" s="603">
        <v>985139.99</v>
      </c>
      <c r="P124" s="603">
        <v>1046597.64</v>
      </c>
      <c r="Q124" s="603">
        <v>1045860.97</v>
      </c>
      <c r="R124" s="603">
        <v>1079770.6299999999</v>
      </c>
      <c r="S124" s="484">
        <f>((F124+R124)+((G124+H124+I124+J124+K124+L124+M124+N124+O124+P124+Q124)*2))/24</f>
        <v>1061638.9412500001</v>
      </c>
      <c r="T124" s="604"/>
      <c r="U124" s="642">
        <f t="shared" ref="U124:U148" si="29">+S124</f>
        <v>1061638.9412500001</v>
      </c>
      <c r="V124" s="679"/>
      <c r="W124" s="679"/>
      <c r="X124" s="702"/>
      <c r="Y124" s="679"/>
      <c r="Z124" s="679"/>
      <c r="AA124" s="642"/>
      <c r="AB124" s="679"/>
      <c r="AC124" s="643"/>
      <c r="AD124" s="644">
        <f t="shared" ref="AD124:AD148" si="30">+U124</f>
        <v>1061638.9412500001</v>
      </c>
      <c r="AE124" s="643"/>
      <c r="AF124" s="677">
        <f t="shared" si="20"/>
        <v>0</v>
      </c>
    </row>
    <row r="125" spans="1:32">
      <c r="A125" s="604">
        <v>112</v>
      </c>
      <c r="B125" s="316" t="s">
        <v>1115</v>
      </c>
      <c r="C125" s="316" t="s">
        <v>434</v>
      </c>
      <c r="D125" s="316" t="s">
        <v>618</v>
      </c>
      <c r="E125" s="602" t="s">
        <v>1499</v>
      </c>
      <c r="F125" s="603">
        <v>286270.45</v>
      </c>
      <c r="G125" s="603">
        <v>296702.57</v>
      </c>
      <c r="H125" s="603">
        <v>296956.48</v>
      </c>
      <c r="I125" s="603">
        <v>311992.88</v>
      </c>
      <c r="J125" s="603">
        <v>313145.15999999997</v>
      </c>
      <c r="K125" s="603">
        <v>316290.89</v>
      </c>
      <c r="L125" s="603">
        <v>313205.25</v>
      </c>
      <c r="M125" s="603">
        <v>317461.34999999998</v>
      </c>
      <c r="N125" s="603">
        <v>310609.33</v>
      </c>
      <c r="O125" s="603">
        <v>314118.74</v>
      </c>
      <c r="P125" s="603">
        <v>367328.16</v>
      </c>
      <c r="Q125" s="603">
        <v>362816.84</v>
      </c>
      <c r="R125" s="603">
        <v>369715.35</v>
      </c>
      <c r="S125" s="484">
        <f t="shared" ref="S125:S142" si="31">((F125+R125)+((G125+H125+I125+J125+K125+L125+M125+N125+O125+P125+Q125)*2))/24</f>
        <v>320718.37916666671</v>
      </c>
      <c r="T125" s="604"/>
      <c r="U125" s="642">
        <f t="shared" si="29"/>
        <v>320718.37916666671</v>
      </c>
      <c r="V125" s="679"/>
      <c r="W125" s="679"/>
      <c r="X125" s="702"/>
      <c r="Y125" s="679"/>
      <c r="Z125" s="679"/>
      <c r="AA125" s="642"/>
      <c r="AB125" s="679"/>
      <c r="AC125" s="643"/>
      <c r="AD125" s="644">
        <f t="shared" si="30"/>
        <v>320718.37916666671</v>
      </c>
      <c r="AE125" s="643"/>
      <c r="AF125" s="677">
        <f t="shared" si="20"/>
        <v>0</v>
      </c>
    </row>
    <row r="126" spans="1:32">
      <c r="A126" s="604">
        <v>113</v>
      </c>
      <c r="B126" s="316" t="s">
        <v>1116</v>
      </c>
      <c r="C126" s="316" t="s">
        <v>434</v>
      </c>
      <c r="D126" s="316" t="s">
        <v>618</v>
      </c>
      <c r="E126" s="602" t="s">
        <v>1500</v>
      </c>
      <c r="F126" s="603">
        <v>565509.80000000005</v>
      </c>
      <c r="G126" s="603">
        <v>557942.81000000006</v>
      </c>
      <c r="H126" s="603">
        <v>529928.81999999995</v>
      </c>
      <c r="I126" s="603">
        <v>548886.77</v>
      </c>
      <c r="J126" s="603">
        <v>632294.38</v>
      </c>
      <c r="K126" s="603">
        <v>752330.31</v>
      </c>
      <c r="L126" s="603">
        <v>763438.39</v>
      </c>
      <c r="M126" s="603">
        <v>793373.22</v>
      </c>
      <c r="N126" s="603">
        <v>785538.39</v>
      </c>
      <c r="O126" s="603">
        <v>840933.18</v>
      </c>
      <c r="P126" s="603">
        <v>784135.39</v>
      </c>
      <c r="Q126" s="603">
        <v>823376.38</v>
      </c>
      <c r="R126" s="603">
        <v>759358.35</v>
      </c>
      <c r="S126" s="484">
        <f t="shared" si="31"/>
        <v>706217.6762499999</v>
      </c>
      <c r="T126" s="604"/>
      <c r="U126" s="642">
        <f t="shared" si="29"/>
        <v>706217.6762499999</v>
      </c>
      <c r="V126" s="679"/>
      <c r="W126" s="679"/>
      <c r="X126" s="702"/>
      <c r="Y126" s="679"/>
      <c r="Z126" s="679"/>
      <c r="AA126" s="642"/>
      <c r="AB126" s="679"/>
      <c r="AC126" s="643"/>
      <c r="AD126" s="644">
        <f t="shared" si="30"/>
        <v>706217.6762499999</v>
      </c>
      <c r="AE126" s="643"/>
      <c r="AF126" s="677">
        <f t="shared" si="20"/>
        <v>0</v>
      </c>
    </row>
    <row r="127" spans="1:32">
      <c r="A127" s="604">
        <v>114</v>
      </c>
      <c r="B127" s="316" t="s">
        <v>1117</v>
      </c>
      <c r="C127" s="316" t="s">
        <v>434</v>
      </c>
      <c r="D127" s="316" t="s">
        <v>618</v>
      </c>
      <c r="E127" s="602" t="s">
        <v>1501</v>
      </c>
      <c r="F127" s="603">
        <v>487398.36</v>
      </c>
      <c r="G127" s="603">
        <v>520148.81</v>
      </c>
      <c r="H127" s="603">
        <v>530813.31000000006</v>
      </c>
      <c r="I127" s="603">
        <v>528475.22</v>
      </c>
      <c r="J127" s="603">
        <v>522217.27</v>
      </c>
      <c r="K127" s="603">
        <v>513403.15</v>
      </c>
      <c r="L127" s="603">
        <v>490312.09</v>
      </c>
      <c r="M127" s="603">
        <v>558594.31000000006</v>
      </c>
      <c r="N127" s="603">
        <v>713660.09</v>
      </c>
      <c r="O127" s="603">
        <v>565130.98</v>
      </c>
      <c r="P127" s="603">
        <v>565532.80000000005</v>
      </c>
      <c r="Q127" s="603">
        <v>554393.81000000006</v>
      </c>
      <c r="R127" s="603">
        <v>555522.68999999994</v>
      </c>
      <c r="S127" s="484">
        <f t="shared" si="31"/>
        <v>548678.53041666665</v>
      </c>
      <c r="T127" s="604"/>
      <c r="U127" s="642">
        <f t="shared" si="29"/>
        <v>548678.53041666665</v>
      </c>
      <c r="V127" s="679"/>
      <c r="W127" s="679"/>
      <c r="X127" s="702"/>
      <c r="Y127" s="679"/>
      <c r="Z127" s="679"/>
      <c r="AA127" s="642"/>
      <c r="AB127" s="679"/>
      <c r="AC127" s="643"/>
      <c r="AD127" s="644">
        <f t="shared" si="30"/>
        <v>548678.53041666665</v>
      </c>
      <c r="AE127" s="643"/>
      <c r="AF127" s="677">
        <f t="shared" si="20"/>
        <v>0</v>
      </c>
    </row>
    <row r="128" spans="1:32">
      <c r="A128" s="604">
        <v>115</v>
      </c>
      <c r="B128" s="316" t="s">
        <v>1118</v>
      </c>
      <c r="C128" s="316" t="s">
        <v>434</v>
      </c>
      <c r="D128" s="316" t="s">
        <v>618</v>
      </c>
      <c r="E128" s="602" t="s">
        <v>1502</v>
      </c>
      <c r="F128" s="603">
        <v>407258.54</v>
      </c>
      <c r="G128" s="603">
        <v>422847.83</v>
      </c>
      <c r="H128" s="603">
        <v>439067.36</v>
      </c>
      <c r="I128" s="603">
        <v>431343.95</v>
      </c>
      <c r="J128" s="603">
        <v>463934.18</v>
      </c>
      <c r="K128" s="603">
        <v>471312.56</v>
      </c>
      <c r="L128" s="603">
        <v>485744.1</v>
      </c>
      <c r="M128" s="603">
        <v>450857.4</v>
      </c>
      <c r="N128" s="603">
        <v>463587.29</v>
      </c>
      <c r="O128" s="603">
        <v>474397.51</v>
      </c>
      <c r="P128" s="603">
        <v>475167.87</v>
      </c>
      <c r="Q128" s="603">
        <v>471439.59</v>
      </c>
      <c r="R128" s="603">
        <v>441378.52</v>
      </c>
      <c r="S128" s="484">
        <f t="shared" si="31"/>
        <v>456168.18083333335</v>
      </c>
      <c r="T128" s="604"/>
      <c r="U128" s="642">
        <f t="shared" si="29"/>
        <v>456168.18083333335</v>
      </c>
      <c r="V128" s="679"/>
      <c r="W128" s="679"/>
      <c r="X128" s="702"/>
      <c r="Y128" s="679"/>
      <c r="Z128" s="679"/>
      <c r="AA128" s="642"/>
      <c r="AB128" s="679"/>
      <c r="AC128" s="643"/>
      <c r="AD128" s="644">
        <f t="shared" si="30"/>
        <v>456168.18083333335</v>
      </c>
      <c r="AE128" s="643"/>
      <c r="AF128" s="677">
        <f t="shared" si="20"/>
        <v>0</v>
      </c>
    </row>
    <row r="129" spans="1:32">
      <c r="A129" s="604">
        <v>116</v>
      </c>
      <c r="B129" s="316" t="s">
        <v>1119</v>
      </c>
      <c r="C129" s="316" t="s">
        <v>434</v>
      </c>
      <c r="D129" s="316" t="s">
        <v>618</v>
      </c>
      <c r="E129" s="602" t="s">
        <v>1503</v>
      </c>
      <c r="F129" s="603">
        <v>135918.65</v>
      </c>
      <c r="G129" s="603">
        <v>142005.07999999999</v>
      </c>
      <c r="H129" s="603">
        <v>136239.81</v>
      </c>
      <c r="I129" s="603">
        <v>133922.47</v>
      </c>
      <c r="J129" s="603">
        <v>133522.87</v>
      </c>
      <c r="K129" s="603">
        <v>135561.39000000001</v>
      </c>
      <c r="L129" s="603">
        <v>114554.61</v>
      </c>
      <c r="M129" s="603">
        <v>121688.17</v>
      </c>
      <c r="N129" s="603">
        <v>121049.79</v>
      </c>
      <c r="O129" s="603">
        <v>119420.88</v>
      </c>
      <c r="P129" s="603">
        <v>121183.77</v>
      </c>
      <c r="Q129" s="603">
        <v>127331.22</v>
      </c>
      <c r="R129" s="603">
        <v>107415.88</v>
      </c>
      <c r="S129" s="484">
        <f t="shared" si="31"/>
        <v>127345.61041666666</v>
      </c>
      <c r="T129" s="604"/>
      <c r="U129" s="642">
        <f t="shared" si="29"/>
        <v>127345.61041666666</v>
      </c>
      <c r="V129" s="679"/>
      <c r="W129" s="679"/>
      <c r="X129" s="702"/>
      <c r="Y129" s="679"/>
      <c r="Z129" s="679"/>
      <c r="AA129" s="642"/>
      <c r="AB129" s="679"/>
      <c r="AC129" s="643"/>
      <c r="AD129" s="644">
        <f t="shared" si="30"/>
        <v>127345.61041666666</v>
      </c>
      <c r="AE129" s="643"/>
      <c r="AF129" s="677">
        <f t="shared" si="20"/>
        <v>0</v>
      </c>
    </row>
    <row r="130" spans="1:32">
      <c r="A130" s="604">
        <v>117</v>
      </c>
      <c r="B130" s="316" t="s">
        <v>1120</v>
      </c>
      <c r="C130" s="316" t="s">
        <v>434</v>
      </c>
      <c r="D130" s="316" t="s">
        <v>618</v>
      </c>
      <c r="E130" s="602" t="s">
        <v>1504</v>
      </c>
      <c r="F130" s="603">
        <v>291155.42</v>
      </c>
      <c r="G130" s="603">
        <v>256774.73</v>
      </c>
      <c r="H130" s="603">
        <v>257911.49</v>
      </c>
      <c r="I130" s="603">
        <v>291273.14</v>
      </c>
      <c r="J130" s="603">
        <v>323272.15000000002</v>
      </c>
      <c r="K130" s="603">
        <v>288981.40000000002</v>
      </c>
      <c r="L130" s="603">
        <v>302630.07</v>
      </c>
      <c r="M130" s="603">
        <v>298178.46000000002</v>
      </c>
      <c r="N130" s="603">
        <v>339653.89</v>
      </c>
      <c r="O130" s="603">
        <v>271255.34000000003</v>
      </c>
      <c r="P130" s="603">
        <v>313485.19</v>
      </c>
      <c r="Q130" s="603">
        <v>342981.09</v>
      </c>
      <c r="R130" s="603">
        <v>304137.73</v>
      </c>
      <c r="S130" s="484">
        <f t="shared" si="31"/>
        <v>298670.29374999995</v>
      </c>
      <c r="T130" s="604"/>
      <c r="U130" s="642">
        <f t="shared" si="29"/>
        <v>298670.29374999995</v>
      </c>
      <c r="V130" s="679"/>
      <c r="W130" s="679"/>
      <c r="X130" s="702"/>
      <c r="Y130" s="679"/>
      <c r="Z130" s="679"/>
      <c r="AA130" s="642"/>
      <c r="AB130" s="679"/>
      <c r="AC130" s="643"/>
      <c r="AD130" s="644">
        <f t="shared" si="30"/>
        <v>298670.29374999995</v>
      </c>
      <c r="AE130" s="643"/>
      <c r="AF130" s="677">
        <f t="shared" si="20"/>
        <v>0</v>
      </c>
    </row>
    <row r="131" spans="1:32">
      <c r="A131" s="604">
        <v>118</v>
      </c>
      <c r="B131" s="316" t="s">
        <v>1121</v>
      </c>
      <c r="C131" s="316" t="s">
        <v>434</v>
      </c>
      <c r="D131" s="316" t="s">
        <v>618</v>
      </c>
      <c r="E131" s="602" t="s">
        <v>1505</v>
      </c>
      <c r="F131" s="603">
        <v>363923.37</v>
      </c>
      <c r="G131" s="603">
        <v>364023.92</v>
      </c>
      <c r="H131" s="603">
        <v>361795.99</v>
      </c>
      <c r="I131" s="603">
        <v>362910.55</v>
      </c>
      <c r="J131" s="603">
        <v>295140.8</v>
      </c>
      <c r="K131" s="603">
        <v>330264.78000000003</v>
      </c>
      <c r="L131" s="603">
        <v>353339.79</v>
      </c>
      <c r="M131" s="603">
        <v>544471.72</v>
      </c>
      <c r="N131" s="603">
        <v>716071.25</v>
      </c>
      <c r="O131" s="603">
        <v>536277.96</v>
      </c>
      <c r="P131" s="603">
        <v>485547.63</v>
      </c>
      <c r="Q131" s="603">
        <v>472140.26</v>
      </c>
      <c r="R131" s="603">
        <v>377671.84</v>
      </c>
      <c r="S131" s="484">
        <f t="shared" si="31"/>
        <v>432731.85458333325</v>
      </c>
      <c r="T131" s="604"/>
      <c r="U131" s="642">
        <f t="shared" si="29"/>
        <v>432731.85458333325</v>
      </c>
      <c r="V131" s="679"/>
      <c r="W131" s="679"/>
      <c r="X131" s="702"/>
      <c r="Y131" s="679"/>
      <c r="Z131" s="679"/>
      <c r="AA131" s="642"/>
      <c r="AB131" s="679"/>
      <c r="AC131" s="643"/>
      <c r="AD131" s="644">
        <f t="shared" si="30"/>
        <v>432731.85458333325</v>
      </c>
      <c r="AE131" s="643"/>
      <c r="AF131" s="677">
        <f t="shared" si="20"/>
        <v>0</v>
      </c>
    </row>
    <row r="132" spans="1:32">
      <c r="A132" s="604">
        <v>119</v>
      </c>
      <c r="B132" s="316" t="s">
        <v>1122</v>
      </c>
      <c r="C132" s="316" t="s">
        <v>434</v>
      </c>
      <c r="D132" s="316" t="s">
        <v>618</v>
      </c>
      <c r="E132" s="602" t="s">
        <v>1506</v>
      </c>
      <c r="F132" s="603">
        <v>75781.679999999993</v>
      </c>
      <c r="G132" s="603">
        <v>91002.5</v>
      </c>
      <c r="H132" s="603">
        <v>90986.23</v>
      </c>
      <c r="I132" s="603">
        <v>80120.36</v>
      </c>
      <c r="J132" s="603">
        <v>79391.5</v>
      </c>
      <c r="K132" s="603">
        <v>79384.240000000005</v>
      </c>
      <c r="L132" s="603">
        <v>88942.11</v>
      </c>
      <c r="M132" s="603">
        <v>96893.64</v>
      </c>
      <c r="N132" s="603">
        <v>105341.28</v>
      </c>
      <c r="O132" s="603">
        <v>104635.52</v>
      </c>
      <c r="P132" s="603">
        <v>99291.48</v>
      </c>
      <c r="Q132" s="603">
        <v>132638.14000000001</v>
      </c>
      <c r="R132" s="603">
        <v>132295.67999999999</v>
      </c>
      <c r="S132" s="484">
        <f t="shared" si="31"/>
        <v>96055.473333333328</v>
      </c>
      <c r="T132" s="604"/>
      <c r="U132" s="642">
        <f t="shared" si="29"/>
        <v>96055.473333333328</v>
      </c>
      <c r="V132" s="679"/>
      <c r="W132" s="679"/>
      <c r="X132" s="702"/>
      <c r="Y132" s="679"/>
      <c r="Z132" s="679"/>
      <c r="AA132" s="642"/>
      <c r="AB132" s="679"/>
      <c r="AC132" s="643"/>
      <c r="AD132" s="644">
        <f t="shared" si="30"/>
        <v>96055.473333333328</v>
      </c>
      <c r="AE132" s="643"/>
      <c r="AF132" s="677">
        <f t="shared" si="20"/>
        <v>0</v>
      </c>
    </row>
    <row r="133" spans="1:32">
      <c r="A133" s="604">
        <v>120</v>
      </c>
      <c r="B133" s="316" t="s">
        <v>1123</v>
      </c>
      <c r="C133" s="316" t="s">
        <v>434</v>
      </c>
      <c r="D133" s="316" t="s">
        <v>618</v>
      </c>
      <c r="E133" s="602" t="s">
        <v>1507</v>
      </c>
      <c r="F133" s="603">
        <v>476417.96</v>
      </c>
      <c r="G133" s="603">
        <v>467459.95</v>
      </c>
      <c r="H133" s="603">
        <v>472879.54</v>
      </c>
      <c r="I133" s="603">
        <v>492583.51</v>
      </c>
      <c r="J133" s="603">
        <v>492493.29</v>
      </c>
      <c r="K133" s="603">
        <v>569146.01</v>
      </c>
      <c r="L133" s="603">
        <v>611348.47999999998</v>
      </c>
      <c r="M133" s="603">
        <v>688643.7</v>
      </c>
      <c r="N133" s="603">
        <v>656213.01</v>
      </c>
      <c r="O133" s="603">
        <v>673920.71</v>
      </c>
      <c r="P133" s="603">
        <v>712010.12</v>
      </c>
      <c r="Q133" s="603">
        <v>712732.27</v>
      </c>
      <c r="R133" s="603">
        <v>748426.94</v>
      </c>
      <c r="S133" s="484">
        <f t="shared" si="31"/>
        <v>596821.08666666667</v>
      </c>
      <c r="T133" s="604"/>
      <c r="U133" s="642">
        <f t="shared" si="29"/>
        <v>596821.08666666667</v>
      </c>
      <c r="V133" s="679"/>
      <c r="W133" s="679"/>
      <c r="X133" s="702"/>
      <c r="Y133" s="679"/>
      <c r="Z133" s="679"/>
      <c r="AA133" s="642"/>
      <c r="AB133" s="679"/>
      <c r="AC133" s="643"/>
      <c r="AD133" s="644">
        <f t="shared" si="30"/>
        <v>596821.08666666667</v>
      </c>
      <c r="AE133" s="643"/>
      <c r="AF133" s="677">
        <f t="shared" si="20"/>
        <v>0</v>
      </c>
    </row>
    <row r="134" spans="1:32">
      <c r="A134" s="604">
        <v>121</v>
      </c>
      <c r="B134" s="316" t="s">
        <v>1380</v>
      </c>
      <c r="C134" s="316" t="s">
        <v>434</v>
      </c>
      <c r="D134" s="316" t="s">
        <v>618</v>
      </c>
      <c r="E134" s="602" t="s">
        <v>1508</v>
      </c>
      <c r="F134" s="603">
        <v>536.36</v>
      </c>
      <c r="G134" s="603">
        <v>-9.9999999999909103E-3</v>
      </c>
      <c r="H134" s="603">
        <v>-9.9999999999909103E-3</v>
      </c>
      <c r="I134" s="603">
        <v>-0.119999999999991</v>
      </c>
      <c r="J134" s="603">
        <v>-0.119999999999991</v>
      </c>
      <c r="K134" s="603">
        <v>-0.119999999999991</v>
      </c>
      <c r="L134" s="603">
        <v>-0.12999999999999101</v>
      </c>
      <c r="M134" s="603">
        <v>-0.12999999999999101</v>
      </c>
      <c r="N134" s="603">
        <v>-0.12999999999999101</v>
      </c>
      <c r="O134" s="603">
        <v>-0.12999999999999101</v>
      </c>
      <c r="P134" s="603">
        <v>438.24</v>
      </c>
      <c r="Q134" s="603">
        <v>301</v>
      </c>
      <c r="R134" s="603">
        <v>0</v>
      </c>
      <c r="S134" s="484">
        <f t="shared" si="31"/>
        <v>83.876666666666679</v>
      </c>
      <c r="T134" s="604"/>
      <c r="U134" s="642">
        <f t="shared" si="29"/>
        <v>83.876666666666679</v>
      </c>
      <c r="V134" s="679"/>
      <c r="W134" s="679"/>
      <c r="X134" s="702"/>
      <c r="Y134" s="679"/>
      <c r="Z134" s="679"/>
      <c r="AA134" s="642"/>
      <c r="AB134" s="679"/>
      <c r="AC134" s="643"/>
      <c r="AD134" s="644">
        <f t="shared" si="30"/>
        <v>83.876666666666679</v>
      </c>
      <c r="AE134" s="643"/>
      <c r="AF134" s="677">
        <f t="shared" si="20"/>
        <v>0</v>
      </c>
    </row>
    <row r="135" spans="1:32">
      <c r="A135" s="604">
        <v>122</v>
      </c>
      <c r="B135" s="316" t="s">
        <v>1124</v>
      </c>
      <c r="C135" s="316" t="s">
        <v>434</v>
      </c>
      <c r="D135" s="316" t="s">
        <v>618</v>
      </c>
      <c r="E135" s="602" t="s">
        <v>1509</v>
      </c>
      <c r="F135" s="603">
        <v>307766.09000000003</v>
      </c>
      <c r="G135" s="603">
        <v>333531.90999999997</v>
      </c>
      <c r="H135" s="603">
        <v>337831.14</v>
      </c>
      <c r="I135" s="603">
        <v>376089.57</v>
      </c>
      <c r="J135" s="603">
        <v>373404.21</v>
      </c>
      <c r="K135" s="603">
        <v>400312.55</v>
      </c>
      <c r="L135" s="603">
        <v>401400.87</v>
      </c>
      <c r="M135" s="603">
        <v>394222.13</v>
      </c>
      <c r="N135" s="603">
        <v>334060.74</v>
      </c>
      <c r="O135" s="603">
        <v>334039.48</v>
      </c>
      <c r="P135" s="603">
        <v>327504.84999999998</v>
      </c>
      <c r="Q135" s="603">
        <v>342023.69</v>
      </c>
      <c r="R135" s="603">
        <v>335701.16</v>
      </c>
      <c r="S135" s="484">
        <f t="shared" si="31"/>
        <v>356346.23041666672</v>
      </c>
      <c r="T135" s="604"/>
      <c r="U135" s="642">
        <f t="shared" si="29"/>
        <v>356346.23041666672</v>
      </c>
      <c r="V135" s="679"/>
      <c r="W135" s="679"/>
      <c r="X135" s="702"/>
      <c r="Y135" s="679"/>
      <c r="Z135" s="679"/>
      <c r="AA135" s="642"/>
      <c r="AB135" s="679"/>
      <c r="AC135" s="643"/>
      <c r="AD135" s="644">
        <f t="shared" si="30"/>
        <v>356346.23041666672</v>
      </c>
      <c r="AE135" s="643"/>
      <c r="AF135" s="677">
        <f t="shared" si="20"/>
        <v>0</v>
      </c>
    </row>
    <row r="136" spans="1:32">
      <c r="A136" s="604">
        <v>123</v>
      </c>
      <c r="B136" s="316" t="s">
        <v>1125</v>
      </c>
      <c r="C136" s="316" t="s">
        <v>434</v>
      </c>
      <c r="D136" s="316" t="s">
        <v>618</v>
      </c>
      <c r="E136" s="602" t="s">
        <v>1510</v>
      </c>
      <c r="F136" s="603">
        <v>348930.45</v>
      </c>
      <c r="G136" s="603">
        <v>316020.49</v>
      </c>
      <c r="H136" s="603">
        <v>311190.42</v>
      </c>
      <c r="I136" s="603">
        <v>313079.14</v>
      </c>
      <c r="J136" s="603">
        <v>308208.81</v>
      </c>
      <c r="K136" s="603">
        <v>333227.8</v>
      </c>
      <c r="L136" s="603">
        <v>325831.02</v>
      </c>
      <c r="M136" s="603">
        <v>318188.95</v>
      </c>
      <c r="N136" s="603">
        <v>310247.08</v>
      </c>
      <c r="O136" s="603">
        <v>318837.53000000003</v>
      </c>
      <c r="P136" s="603">
        <v>339435.53</v>
      </c>
      <c r="Q136" s="603">
        <v>338797.96</v>
      </c>
      <c r="R136" s="603">
        <v>251761.23</v>
      </c>
      <c r="S136" s="484">
        <f t="shared" si="31"/>
        <v>319450.88083333336</v>
      </c>
      <c r="T136" s="604"/>
      <c r="U136" s="642">
        <f t="shared" si="29"/>
        <v>319450.88083333336</v>
      </c>
      <c r="V136" s="679"/>
      <c r="W136" s="679"/>
      <c r="X136" s="702"/>
      <c r="Y136" s="679"/>
      <c r="Z136" s="679"/>
      <c r="AA136" s="642"/>
      <c r="AB136" s="679"/>
      <c r="AC136" s="643"/>
      <c r="AD136" s="644">
        <f t="shared" si="30"/>
        <v>319450.88083333336</v>
      </c>
      <c r="AE136" s="643"/>
      <c r="AF136" s="677">
        <f t="shared" si="20"/>
        <v>0</v>
      </c>
    </row>
    <row r="137" spans="1:32">
      <c r="A137" s="604">
        <v>124</v>
      </c>
      <c r="B137" s="316" t="s">
        <v>1126</v>
      </c>
      <c r="C137" s="316" t="s">
        <v>434</v>
      </c>
      <c r="D137" s="316" t="s">
        <v>618</v>
      </c>
      <c r="E137" s="602" t="s">
        <v>1511</v>
      </c>
      <c r="F137" s="603">
        <v>144477.1</v>
      </c>
      <c r="G137" s="603">
        <v>141959.82</v>
      </c>
      <c r="H137" s="603">
        <v>143740.49</v>
      </c>
      <c r="I137" s="603">
        <v>148297.29999999999</v>
      </c>
      <c r="J137" s="603">
        <v>148045.94</v>
      </c>
      <c r="K137" s="603">
        <v>147676.54</v>
      </c>
      <c r="L137" s="603">
        <v>143696.63</v>
      </c>
      <c r="M137" s="603">
        <v>138270.57999999999</v>
      </c>
      <c r="N137" s="603">
        <v>150672.95999999999</v>
      </c>
      <c r="O137" s="603">
        <v>153418.91</v>
      </c>
      <c r="P137" s="603">
        <v>141472.29</v>
      </c>
      <c r="Q137" s="603">
        <v>143707.03</v>
      </c>
      <c r="R137" s="603">
        <v>142314.16</v>
      </c>
      <c r="S137" s="484">
        <f t="shared" si="31"/>
        <v>145362.84333333335</v>
      </c>
      <c r="T137" s="604"/>
      <c r="U137" s="642">
        <f t="shared" si="29"/>
        <v>145362.84333333335</v>
      </c>
      <c r="V137" s="679"/>
      <c r="W137" s="679"/>
      <c r="X137" s="702"/>
      <c r="Y137" s="679"/>
      <c r="Z137" s="679"/>
      <c r="AA137" s="642"/>
      <c r="AB137" s="679"/>
      <c r="AC137" s="643"/>
      <c r="AD137" s="644">
        <f t="shared" si="30"/>
        <v>145362.84333333335</v>
      </c>
      <c r="AE137" s="643"/>
      <c r="AF137" s="677">
        <f t="shared" si="20"/>
        <v>0</v>
      </c>
    </row>
    <row r="138" spans="1:32">
      <c r="A138" s="604">
        <v>125</v>
      </c>
      <c r="B138" s="316" t="s">
        <v>1127</v>
      </c>
      <c r="C138" s="316" t="s">
        <v>434</v>
      </c>
      <c r="D138" s="316" t="s">
        <v>618</v>
      </c>
      <c r="E138" s="602" t="s">
        <v>1512</v>
      </c>
      <c r="F138" s="603">
        <v>58203.88</v>
      </c>
      <c r="G138" s="603">
        <v>59485.39</v>
      </c>
      <c r="H138" s="603">
        <v>59610.83</v>
      </c>
      <c r="I138" s="603">
        <v>59165.21</v>
      </c>
      <c r="J138" s="603">
        <v>58764.37</v>
      </c>
      <c r="K138" s="603">
        <v>56733.97</v>
      </c>
      <c r="L138" s="603">
        <v>56958.17</v>
      </c>
      <c r="M138" s="603">
        <v>55829.18</v>
      </c>
      <c r="N138" s="603">
        <v>56518.74</v>
      </c>
      <c r="O138" s="603">
        <v>55774.22</v>
      </c>
      <c r="P138" s="603">
        <v>66490.77</v>
      </c>
      <c r="Q138" s="603">
        <v>62884.21</v>
      </c>
      <c r="R138" s="603">
        <v>62373.23</v>
      </c>
      <c r="S138" s="484">
        <f t="shared" si="31"/>
        <v>59041.967916666668</v>
      </c>
      <c r="T138" s="604"/>
      <c r="U138" s="642">
        <f t="shared" si="29"/>
        <v>59041.967916666668</v>
      </c>
      <c r="V138" s="679"/>
      <c r="W138" s="679"/>
      <c r="X138" s="702"/>
      <c r="Y138" s="679"/>
      <c r="Z138" s="679"/>
      <c r="AA138" s="642"/>
      <c r="AB138" s="679"/>
      <c r="AC138" s="643"/>
      <c r="AD138" s="644">
        <f t="shared" si="30"/>
        <v>59041.967916666668</v>
      </c>
      <c r="AE138" s="643"/>
      <c r="AF138" s="677">
        <f t="shared" si="20"/>
        <v>0</v>
      </c>
    </row>
    <row r="139" spans="1:32">
      <c r="A139" s="604">
        <v>126</v>
      </c>
      <c r="B139" s="316" t="s">
        <v>1128</v>
      </c>
      <c r="C139" s="316" t="s">
        <v>434</v>
      </c>
      <c r="D139" s="316" t="s">
        <v>618</v>
      </c>
      <c r="E139" s="602" t="s">
        <v>1513</v>
      </c>
      <c r="F139" s="603">
        <v>255478.3</v>
      </c>
      <c r="G139" s="603">
        <v>259044.32</v>
      </c>
      <c r="H139" s="603">
        <v>252470.7</v>
      </c>
      <c r="I139" s="603">
        <v>319141.57</v>
      </c>
      <c r="J139" s="603">
        <v>328578.74</v>
      </c>
      <c r="K139" s="603">
        <v>321366.49</v>
      </c>
      <c r="L139" s="603">
        <v>253625.88</v>
      </c>
      <c r="M139" s="603">
        <v>256666.02</v>
      </c>
      <c r="N139" s="603">
        <v>222846.84</v>
      </c>
      <c r="O139" s="603">
        <v>250737.87</v>
      </c>
      <c r="P139" s="603">
        <v>378460.07</v>
      </c>
      <c r="Q139" s="603">
        <v>402588.21</v>
      </c>
      <c r="R139" s="603">
        <v>446580.76</v>
      </c>
      <c r="S139" s="484">
        <f t="shared" si="31"/>
        <v>299713.02</v>
      </c>
      <c r="T139" s="604"/>
      <c r="U139" s="642">
        <f t="shared" si="29"/>
        <v>299713.02</v>
      </c>
      <c r="V139" s="679"/>
      <c r="W139" s="679"/>
      <c r="X139" s="702"/>
      <c r="Y139" s="679"/>
      <c r="Z139" s="679"/>
      <c r="AA139" s="642"/>
      <c r="AB139" s="679"/>
      <c r="AC139" s="643"/>
      <c r="AD139" s="644">
        <f t="shared" si="30"/>
        <v>299713.02</v>
      </c>
      <c r="AE139" s="643"/>
      <c r="AF139" s="677">
        <f t="shared" si="20"/>
        <v>0</v>
      </c>
    </row>
    <row r="140" spans="1:32">
      <c r="A140" s="604">
        <v>127</v>
      </c>
      <c r="B140" s="316" t="s">
        <v>1381</v>
      </c>
      <c r="C140" s="316" t="s">
        <v>434</v>
      </c>
      <c r="D140" s="316" t="s">
        <v>618</v>
      </c>
      <c r="E140" s="602" t="s">
        <v>1514</v>
      </c>
      <c r="F140" s="603">
        <v>-1541.61</v>
      </c>
      <c r="G140" s="603">
        <v>0</v>
      </c>
      <c r="H140" s="603">
        <v>0</v>
      </c>
      <c r="I140" s="603">
        <v>-0.01</v>
      </c>
      <c r="J140" s="603">
        <v>-0.01</v>
      </c>
      <c r="K140" s="603">
        <v>9811.2099999999991</v>
      </c>
      <c r="L140" s="603">
        <v>-1.00000000002183E-2</v>
      </c>
      <c r="M140" s="603">
        <v>-1.00000000002183E-2</v>
      </c>
      <c r="N140" s="603">
        <v>-1.00000000002183E-2</v>
      </c>
      <c r="O140" s="603">
        <v>-1.00000000002183E-2</v>
      </c>
      <c r="P140" s="603">
        <v>-1.00000000002183E-2</v>
      </c>
      <c r="Q140" s="603">
        <v>-1.00000000002183E-2</v>
      </c>
      <c r="R140" s="603">
        <v>-2.1827852025868599E-13</v>
      </c>
      <c r="S140" s="484">
        <f t="shared" si="31"/>
        <v>753.36041666666642</v>
      </c>
      <c r="T140" s="604"/>
      <c r="U140" s="642">
        <f t="shared" si="29"/>
        <v>753.36041666666642</v>
      </c>
      <c r="V140" s="679"/>
      <c r="W140" s="679"/>
      <c r="X140" s="702"/>
      <c r="Y140" s="679"/>
      <c r="Z140" s="679"/>
      <c r="AA140" s="642"/>
      <c r="AB140" s="679"/>
      <c r="AC140" s="643"/>
      <c r="AD140" s="644">
        <f t="shared" si="30"/>
        <v>753.36041666666642</v>
      </c>
      <c r="AE140" s="643"/>
      <c r="AF140" s="677">
        <f t="shared" si="20"/>
        <v>0</v>
      </c>
    </row>
    <row r="141" spans="1:32">
      <c r="A141" s="604">
        <v>128</v>
      </c>
      <c r="B141" s="316" t="s">
        <v>956</v>
      </c>
      <c r="C141" s="316" t="s">
        <v>434</v>
      </c>
      <c r="D141" s="316" t="s">
        <v>1129</v>
      </c>
      <c r="E141" s="602" t="s">
        <v>1515</v>
      </c>
      <c r="F141" s="603">
        <v>342609.97</v>
      </c>
      <c r="G141" s="603">
        <v>270974.21000000002</v>
      </c>
      <c r="H141" s="603">
        <v>314373.59999999998</v>
      </c>
      <c r="I141" s="603">
        <v>314373.59999999998</v>
      </c>
      <c r="J141" s="603">
        <v>360932.07</v>
      </c>
      <c r="K141" s="603">
        <v>366522.79</v>
      </c>
      <c r="L141" s="603">
        <v>366522.79</v>
      </c>
      <c r="M141" s="603">
        <v>305781.68</v>
      </c>
      <c r="N141" s="603">
        <v>309144.18</v>
      </c>
      <c r="O141" s="603">
        <v>428507.61</v>
      </c>
      <c r="P141" s="603">
        <v>362627.49</v>
      </c>
      <c r="Q141" s="603">
        <v>361977.49</v>
      </c>
      <c r="R141" s="603">
        <v>361977.49</v>
      </c>
      <c r="S141" s="484">
        <f t="shared" si="31"/>
        <v>342835.9366666667</v>
      </c>
      <c r="T141" s="604"/>
      <c r="U141" s="642">
        <f t="shared" si="29"/>
        <v>342835.9366666667</v>
      </c>
      <c r="V141" s="679"/>
      <c r="W141" s="679"/>
      <c r="X141" s="702"/>
      <c r="Y141" s="679"/>
      <c r="Z141" s="679"/>
      <c r="AA141" s="642"/>
      <c r="AB141" s="679"/>
      <c r="AC141" s="643"/>
      <c r="AD141" s="644">
        <f t="shared" si="30"/>
        <v>342835.9366666667</v>
      </c>
      <c r="AE141" s="643"/>
      <c r="AF141" s="677">
        <f t="shared" si="20"/>
        <v>0</v>
      </c>
    </row>
    <row r="142" spans="1:32">
      <c r="A142" s="604"/>
      <c r="B142" s="316"/>
      <c r="C142" s="316" t="s">
        <v>434</v>
      </c>
      <c r="D142" s="316" t="s">
        <v>1130</v>
      </c>
      <c r="E142" s="602" t="s">
        <v>1847</v>
      </c>
      <c r="F142" s="603">
        <v>0</v>
      </c>
      <c r="G142" s="603">
        <v>0</v>
      </c>
      <c r="H142" s="603">
        <v>0</v>
      </c>
      <c r="I142" s="603">
        <v>0</v>
      </c>
      <c r="J142" s="603">
        <v>0</v>
      </c>
      <c r="K142" s="603">
        <v>30.08</v>
      </c>
      <c r="L142" s="603">
        <v>30.08</v>
      </c>
      <c r="M142" s="603">
        <v>30.08</v>
      </c>
      <c r="N142" s="603">
        <v>30.08</v>
      </c>
      <c r="O142" s="603">
        <v>0</v>
      </c>
      <c r="P142" s="603">
        <v>0</v>
      </c>
      <c r="Q142" s="603">
        <v>0</v>
      </c>
      <c r="R142" s="603">
        <v>0</v>
      </c>
      <c r="S142" s="484">
        <f t="shared" si="31"/>
        <v>10.026666666666666</v>
      </c>
      <c r="T142" s="604"/>
      <c r="U142" s="642">
        <f>+S142</f>
        <v>10.026666666666666</v>
      </c>
      <c r="V142" s="679"/>
      <c r="W142" s="679"/>
      <c r="X142" s="702"/>
      <c r="Y142" s="679"/>
      <c r="Z142" s="679"/>
      <c r="AA142" s="642"/>
      <c r="AB142" s="679"/>
      <c r="AC142" s="643"/>
      <c r="AD142" s="644">
        <f t="shared" si="30"/>
        <v>10.026666666666666</v>
      </c>
      <c r="AE142" s="643"/>
      <c r="AF142" s="677">
        <f t="shared" si="20"/>
        <v>0</v>
      </c>
    </row>
    <row r="143" spans="1:32">
      <c r="A143" s="604">
        <v>129</v>
      </c>
      <c r="B143" s="316" t="s">
        <v>956</v>
      </c>
      <c r="C143" s="316" t="s">
        <v>435</v>
      </c>
      <c r="D143" s="316" t="s">
        <v>1131</v>
      </c>
      <c r="E143" s="602" t="s">
        <v>1516</v>
      </c>
      <c r="F143" s="603">
        <v>0</v>
      </c>
      <c r="G143" s="603">
        <v>5554.66</v>
      </c>
      <c r="H143" s="603">
        <v>7006</v>
      </c>
      <c r="I143" s="603">
        <v>12453.95</v>
      </c>
      <c r="J143" s="603">
        <v>24053.51</v>
      </c>
      <c r="K143" s="603">
        <v>31758.91</v>
      </c>
      <c r="L143" s="603">
        <v>35174.400000000001</v>
      </c>
      <c r="M143" s="603">
        <v>40466.97</v>
      </c>
      <c r="N143" s="603">
        <v>46492.78</v>
      </c>
      <c r="O143" s="603">
        <v>49842.92</v>
      </c>
      <c r="P143" s="603">
        <v>52568.959999999999</v>
      </c>
      <c r="Q143" s="603">
        <v>56544.08</v>
      </c>
      <c r="R143" s="603">
        <v>0</v>
      </c>
      <c r="S143" s="484">
        <f t="shared" ref="S143:S148" si="32">((F143+R143)+((G143+H143+I143+J143+K143+L143+M143+N143+O143+P143+Q143)*2))/24</f>
        <v>30159.761666666669</v>
      </c>
      <c r="T143" s="604"/>
      <c r="U143" s="642">
        <f t="shared" si="29"/>
        <v>30159.761666666669</v>
      </c>
      <c r="V143" s="679"/>
      <c r="W143" s="679"/>
      <c r="X143" s="702"/>
      <c r="Y143" s="679"/>
      <c r="Z143" s="679"/>
      <c r="AA143" s="642"/>
      <c r="AB143" s="679"/>
      <c r="AC143" s="643"/>
      <c r="AD143" s="644">
        <f t="shared" si="30"/>
        <v>30159.761666666669</v>
      </c>
      <c r="AE143" s="643"/>
      <c r="AF143" s="677">
        <f t="shared" si="20"/>
        <v>0</v>
      </c>
    </row>
    <row r="144" spans="1:32">
      <c r="A144" s="604">
        <v>130</v>
      </c>
      <c r="B144" s="316" t="s">
        <v>956</v>
      </c>
      <c r="C144" s="316" t="s">
        <v>435</v>
      </c>
      <c r="D144" s="316" t="s">
        <v>1132</v>
      </c>
      <c r="E144" s="602" t="s">
        <v>1848</v>
      </c>
      <c r="F144" s="603">
        <v>0</v>
      </c>
      <c r="G144" s="603">
        <v>1200.6099999999999</v>
      </c>
      <c r="H144" s="603">
        <v>0</v>
      </c>
      <c r="I144" s="603">
        <v>0</v>
      </c>
      <c r="J144" s="603">
        <v>0</v>
      </c>
      <c r="K144" s="603">
        <v>0</v>
      </c>
      <c r="L144" s="603">
        <v>0</v>
      </c>
      <c r="M144" s="603">
        <v>0</v>
      </c>
      <c r="N144" s="603">
        <v>0</v>
      </c>
      <c r="O144" s="603">
        <v>0</v>
      </c>
      <c r="P144" s="603">
        <v>0</v>
      </c>
      <c r="Q144" s="603">
        <v>0</v>
      </c>
      <c r="R144" s="603">
        <v>0</v>
      </c>
      <c r="S144" s="484">
        <f t="shared" si="32"/>
        <v>100.05083333333333</v>
      </c>
      <c r="T144" s="604"/>
      <c r="U144" s="642">
        <f t="shared" si="29"/>
        <v>100.05083333333333</v>
      </c>
      <c r="V144" s="679"/>
      <c r="W144" s="679"/>
      <c r="X144" s="702"/>
      <c r="Y144" s="679"/>
      <c r="Z144" s="679"/>
      <c r="AA144" s="642"/>
      <c r="AB144" s="679"/>
      <c r="AC144" s="643"/>
      <c r="AD144" s="644">
        <f t="shared" si="30"/>
        <v>100.05083333333333</v>
      </c>
      <c r="AE144" s="643"/>
      <c r="AF144" s="677">
        <f t="shared" si="20"/>
        <v>0</v>
      </c>
    </row>
    <row r="145" spans="1:32">
      <c r="A145" s="604">
        <v>131</v>
      </c>
      <c r="B145" s="316" t="s">
        <v>956</v>
      </c>
      <c r="C145" s="316" t="s">
        <v>435</v>
      </c>
      <c r="D145" s="316" t="s">
        <v>1133</v>
      </c>
      <c r="E145" s="602" t="s">
        <v>1517</v>
      </c>
      <c r="F145" s="603">
        <v>1.45519152283669E-11</v>
      </c>
      <c r="G145" s="603">
        <v>5491.47</v>
      </c>
      <c r="H145" s="603">
        <v>4727.83</v>
      </c>
      <c r="I145" s="603">
        <v>5058.41</v>
      </c>
      <c r="J145" s="603">
        <v>16509</v>
      </c>
      <c r="K145" s="603">
        <v>265880.13</v>
      </c>
      <c r="L145" s="603">
        <v>0</v>
      </c>
      <c r="M145" s="603">
        <v>170.96</v>
      </c>
      <c r="N145" s="603">
        <v>4905.74</v>
      </c>
      <c r="O145" s="603">
        <v>4968.67</v>
      </c>
      <c r="P145" s="603">
        <v>4861.63</v>
      </c>
      <c r="Q145" s="603">
        <v>5867.16</v>
      </c>
      <c r="R145" s="603">
        <v>0</v>
      </c>
      <c r="S145" s="484">
        <f t="shared" si="32"/>
        <v>26536.75</v>
      </c>
      <c r="T145" s="604"/>
      <c r="U145" s="642">
        <f t="shared" si="29"/>
        <v>26536.75</v>
      </c>
      <c r="V145" s="679"/>
      <c r="W145" s="679"/>
      <c r="X145" s="702"/>
      <c r="Y145" s="679"/>
      <c r="Z145" s="679"/>
      <c r="AA145" s="642"/>
      <c r="AB145" s="679"/>
      <c r="AC145" s="643"/>
      <c r="AD145" s="644">
        <f t="shared" si="30"/>
        <v>26536.75</v>
      </c>
      <c r="AE145" s="643"/>
      <c r="AF145" s="677">
        <f t="shared" si="20"/>
        <v>0</v>
      </c>
    </row>
    <row r="146" spans="1:32">
      <c r="A146" s="604">
        <v>132</v>
      </c>
      <c r="B146" s="316" t="s">
        <v>956</v>
      </c>
      <c r="C146" s="316" t="s">
        <v>436</v>
      </c>
      <c r="D146" s="316" t="s">
        <v>437</v>
      </c>
      <c r="E146" s="602" t="s">
        <v>438</v>
      </c>
      <c r="F146" s="603">
        <v>299383.02</v>
      </c>
      <c r="G146" s="603">
        <v>352269.37</v>
      </c>
      <c r="H146" s="603">
        <v>0</v>
      </c>
      <c r="I146" s="603">
        <v>1962286.41</v>
      </c>
      <c r="J146" s="603">
        <v>174242.51</v>
      </c>
      <c r="K146" s="603">
        <v>45156.81</v>
      </c>
      <c r="L146" s="603">
        <v>52366.44</v>
      </c>
      <c r="M146" s="603">
        <v>28125.27</v>
      </c>
      <c r="N146" s="603">
        <v>74226.77</v>
      </c>
      <c r="O146" s="603">
        <v>86273</v>
      </c>
      <c r="P146" s="603">
        <v>1.45519152283669E-11</v>
      </c>
      <c r="Q146" s="603">
        <v>85807.33</v>
      </c>
      <c r="R146" s="603">
        <v>792674.16</v>
      </c>
      <c r="S146" s="484">
        <f t="shared" si="32"/>
        <v>283898.54166666669</v>
      </c>
      <c r="T146" s="604"/>
      <c r="U146" s="642">
        <f t="shared" si="29"/>
        <v>283898.54166666669</v>
      </c>
      <c r="V146" s="679"/>
      <c r="W146" s="679"/>
      <c r="X146" s="702"/>
      <c r="Y146" s="679"/>
      <c r="Z146" s="679"/>
      <c r="AA146" s="642"/>
      <c r="AB146" s="679"/>
      <c r="AC146" s="643"/>
      <c r="AD146" s="644">
        <f t="shared" si="30"/>
        <v>283898.54166666669</v>
      </c>
      <c r="AE146" s="643"/>
      <c r="AF146" s="677">
        <f t="shared" si="20"/>
        <v>0</v>
      </c>
    </row>
    <row r="147" spans="1:32">
      <c r="A147" s="604">
        <v>133</v>
      </c>
      <c r="B147" s="316" t="s">
        <v>956</v>
      </c>
      <c r="C147" s="316" t="s">
        <v>436</v>
      </c>
      <c r="D147" s="316" t="s">
        <v>482</v>
      </c>
      <c r="E147" s="602" t="s">
        <v>715</v>
      </c>
      <c r="F147" s="603">
        <v>97275.8</v>
      </c>
      <c r="G147" s="603">
        <v>124685.06</v>
      </c>
      <c r="H147" s="603">
        <v>152853.23000000001</v>
      </c>
      <c r="I147" s="603">
        <v>96949.61</v>
      </c>
      <c r="J147" s="603">
        <v>107933.45</v>
      </c>
      <c r="K147" s="603">
        <v>117734.06</v>
      </c>
      <c r="L147" s="603">
        <v>134136.34</v>
      </c>
      <c r="M147" s="603">
        <v>89459.73</v>
      </c>
      <c r="N147" s="603">
        <v>109607.47</v>
      </c>
      <c r="O147" s="603">
        <v>133693.88</v>
      </c>
      <c r="P147" s="603">
        <v>44634.29</v>
      </c>
      <c r="Q147" s="603">
        <v>71995.61</v>
      </c>
      <c r="R147" s="603">
        <v>100984.61</v>
      </c>
      <c r="S147" s="484">
        <f t="shared" si="32"/>
        <v>106901.07791666669</v>
      </c>
      <c r="T147" s="604"/>
      <c r="U147" s="642">
        <f t="shared" si="29"/>
        <v>106901.07791666669</v>
      </c>
      <c r="V147" s="679"/>
      <c r="W147" s="679"/>
      <c r="X147" s="702"/>
      <c r="Y147" s="679"/>
      <c r="Z147" s="679"/>
      <c r="AA147" s="642"/>
      <c r="AB147" s="679"/>
      <c r="AC147" s="643"/>
      <c r="AD147" s="644">
        <f t="shared" si="30"/>
        <v>106901.07791666669</v>
      </c>
      <c r="AE147" s="643"/>
      <c r="AF147" s="677">
        <f t="shared" si="20"/>
        <v>0</v>
      </c>
    </row>
    <row r="148" spans="1:32">
      <c r="A148" s="604">
        <v>134</v>
      </c>
      <c r="B148" s="316" t="s">
        <v>956</v>
      </c>
      <c r="C148" s="316" t="s">
        <v>439</v>
      </c>
      <c r="D148" s="316" t="s">
        <v>450</v>
      </c>
      <c r="E148" s="602" t="s">
        <v>440</v>
      </c>
      <c r="F148" s="603">
        <v>1940548.63</v>
      </c>
      <c r="G148" s="603">
        <v>1806480.37</v>
      </c>
      <c r="H148" s="603">
        <v>459068.21</v>
      </c>
      <c r="I148" s="603">
        <v>151095.42000000001</v>
      </c>
      <c r="J148" s="603">
        <v>480683.88</v>
      </c>
      <c r="K148" s="603">
        <v>826643.67</v>
      </c>
      <c r="L148" s="603">
        <v>1367391.12</v>
      </c>
      <c r="M148" s="603">
        <v>1817922.09</v>
      </c>
      <c r="N148" s="603">
        <v>2343168.5299999998</v>
      </c>
      <c r="O148" s="603">
        <v>3003087.8</v>
      </c>
      <c r="P148" s="603">
        <v>3407746.16</v>
      </c>
      <c r="Q148" s="603">
        <v>3032829.84</v>
      </c>
      <c r="R148" s="603">
        <v>1844137.53</v>
      </c>
      <c r="S148" s="484">
        <f t="shared" si="32"/>
        <v>1715705.0141666669</v>
      </c>
      <c r="T148" s="604"/>
      <c r="U148" s="642">
        <f t="shared" si="29"/>
        <v>1715705.0141666669</v>
      </c>
      <c r="V148" s="679"/>
      <c r="W148" s="679"/>
      <c r="X148" s="702"/>
      <c r="Y148" s="679"/>
      <c r="Z148" s="679"/>
      <c r="AA148" s="642"/>
      <c r="AB148" s="679"/>
      <c r="AC148" s="643"/>
      <c r="AD148" s="644">
        <f t="shared" si="30"/>
        <v>1715705.0141666669</v>
      </c>
      <c r="AE148" s="643"/>
      <c r="AF148" s="677">
        <f t="shared" si="20"/>
        <v>0</v>
      </c>
    </row>
    <row r="149" spans="1:32">
      <c r="A149" s="604">
        <v>135</v>
      </c>
      <c r="B149" s="604"/>
      <c r="C149" s="604"/>
      <c r="D149" s="604"/>
      <c r="E149" s="602" t="s">
        <v>441</v>
      </c>
      <c r="F149" s="295">
        <f t="shared" ref="F149:S149" si="33">SUM(F124:F148)</f>
        <v>8031490.5800000001</v>
      </c>
      <c r="G149" s="295">
        <f t="shared" si="33"/>
        <v>7862193.7300000014</v>
      </c>
      <c r="H149" s="295">
        <f t="shared" si="33"/>
        <v>6254790.1600000001</v>
      </c>
      <c r="I149" s="295">
        <f t="shared" si="33"/>
        <v>8047244.4700000007</v>
      </c>
      <c r="J149" s="295">
        <f t="shared" si="33"/>
        <v>6674814.6799999997</v>
      </c>
      <c r="K149" s="295">
        <f t="shared" si="33"/>
        <v>7457568.4099999992</v>
      </c>
      <c r="L149" s="295">
        <f t="shared" si="33"/>
        <v>7714679.6200000001</v>
      </c>
      <c r="M149" s="295">
        <f t="shared" si="33"/>
        <v>8387161.3599999985</v>
      </c>
      <c r="N149" s="295">
        <f t="shared" si="33"/>
        <v>9210080.6500000004</v>
      </c>
      <c r="O149" s="295">
        <f t="shared" si="33"/>
        <v>9704412.5600000005</v>
      </c>
      <c r="P149" s="295">
        <f t="shared" si="33"/>
        <v>10096520.32</v>
      </c>
      <c r="Q149" s="295">
        <f t="shared" si="33"/>
        <v>9951034.1700000018</v>
      </c>
      <c r="R149" s="295">
        <f t="shared" si="33"/>
        <v>9214197.9400000013</v>
      </c>
      <c r="S149" s="486">
        <f t="shared" si="33"/>
        <v>8331945.3658333337</v>
      </c>
      <c r="T149" s="604"/>
      <c r="U149" s="642"/>
      <c r="V149" s="679"/>
      <c r="W149" s="679"/>
      <c r="X149" s="702"/>
      <c r="Y149" s="679"/>
      <c r="Z149" s="679"/>
      <c r="AA149" s="642"/>
      <c r="AB149" s="679"/>
      <c r="AC149" s="643"/>
      <c r="AD149" s="643"/>
      <c r="AE149" s="643"/>
      <c r="AF149" s="677">
        <f t="shared" si="20"/>
        <v>0</v>
      </c>
    </row>
    <row r="150" spans="1:32">
      <c r="A150" s="604">
        <v>136</v>
      </c>
      <c r="B150" s="604"/>
      <c r="C150" s="604"/>
      <c r="D150" s="604"/>
      <c r="E150" s="589"/>
      <c r="F150" s="603"/>
      <c r="G150" s="304"/>
      <c r="H150" s="305"/>
      <c r="I150" s="305"/>
      <c r="J150" s="306"/>
      <c r="K150" s="307"/>
      <c r="L150" s="308"/>
      <c r="M150" s="309"/>
      <c r="N150" s="310"/>
      <c r="O150" s="590"/>
      <c r="P150" s="311"/>
      <c r="Q150" s="312"/>
      <c r="R150" s="603"/>
      <c r="S150" s="294"/>
      <c r="T150" s="604"/>
      <c r="U150" s="642"/>
      <c r="V150" s="679"/>
      <c r="W150" s="679"/>
      <c r="X150" s="702"/>
      <c r="Y150" s="679"/>
      <c r="Z150" s="679"/>
      <c r="AA150" s="642"/>
      <c r="AB150" s="679"/>
      <c r="AC150" s="643"/>
      <c r="AD150" s="643"/>
      <c r="AE150" s="643"/>
      <c r="AF150" s="677">
        <f t="shared" ref="AF150:AF224" si="34">+U150+V150-AD150</f>
        <v>0</v>
      </c>
    </row>
    <row r="151" spans="1:32">
      <c r="A151" s="604">
        <v>137</v>
      </c>
      <c r="B151" s="316" t="s">
        <v>956</v>
      </c>
      <c r="C151" s="316" t="s">
        <v>442</v>
      </c>
      <c r="D151" s="316" t="s">
        <v>949</v>
      </c>
      <c r="E151" s="602" t="s">
        <v>1849</v>
      </c>
      <c r="F151" s="603">
        <v>130504.06</v>
      </c>
      <c r="G151" s="603">
        <v>1134528.29</v>
      </c>
      <c r="H151" s="603">
        <v>1068508.95</v>
      </c>
      <c r="I151" s="603">
        <v>1009952.35</v>
      </c>
      <c r="J151" s="603">
        <v>853139</v>
      </c>
      <c r="K151" s="603">
        <v>744691.34</v>
      </c>
      <c r="L151" s="603">
        <v>645685.64</v>
      </c>
      <c r="M151" s="603">
        <v>527132.48</v>
      </c>
      <c r="N151" s="603">
        <v>408579.32</v>
      </c>
      <c r="O151" s="603">
        <v>329784.62</v>
      </c>
      <c r="P151" s="603">
        <v>211491.97</v>
      </c>
      <c r="Q151" s="603">
        <v>257118.74</v>
      </c>
      <c r="R151" s="603">
        <v>138018.51999999999</v>
      </c>
      <c r="S151" s="484">
        <f t="shared" ref="S151:S168" si="35">((F151+R151)+((G151+H151+I151+J151+K151+L151+M151+N151+O151+P151+Q151)*2))/24</f>
        <v>610406.16583333339</v>
      </c>
      <c r="T151" s="604"/>
      <c r="U151" s="642">
        <f t="shared" ref="U151:U166" si="36">+S151</f>
        <v>610406.16583333339</v>
      </c>
      <c r="V151" s="679"/>
      <c r="W151" s="679"/>
      <c r="X151" s="702"/>
      <c r="Y151" s="679"/>
      <c r="Z151" s="679"/>
      <c r="AA151" s="642"/>
      <c r="AB151" s="679"/>
      <c r="AC151" s="643"/>
      <c r="AD151" s="644">
        <f t="shared" ref="AD151:AD168" si="37">+U151</f>
        <v>610406.16583333339</v>
      </c>
      <c r="AE151" s="643"/>
      <c r="AF151" s="677">
        <f t="shared" si="34"/>
        <v>0</v>
      </c>
    </row>
    <row r="152" spans="1:32">
      <c r="A152" s="604">
        <v>138</v>
      </c>
      <c r="B152" s="316" t="s">
        <v>956</v>
      </c>
      <c r="C152" s="316" t="s">
        <v>443</v>
      </c>
      <c r="D152" s="316" t="s">
        <v>466</v>
      </c>
      <c r="E152" s="592" t="s">
        <v>1520</v>
      </c>
      <c r="F152" s="603">
        <v>10266422.640000001</v>
      </c>
      <c r="G152" s="603">
        <v>0</v>
      </c>
      <c r="H152" s="603">
        <v>0</v>
      </c>
      <c r="I152" s="603">
        <v>0</v>
      </c>
      <c r="J152" s="603">
        <v>0</v>
      </c>
      <c r="K152" s="603">
        <v>0</v>
      </c>
      <c r="L152" s="603">
        <v>0</v>
      </c>
      <c r="M152" s="603">
        <v>0</v>
      </c>
      <c r="N152" s="603">
        <v>0</v>
      </c>
      <c r="O152" s="603">
        <v>0</v>
      </c>
      <c r="P152" s="603">
        <v>0</v>
      </c>
      <c r="Q152" s="603">
        <v>0</v>
      </c>
      <c r="R152" s="603">
        <v>0</v>
      </c>
      <c r="S152" s="484">
        <f t="shared" si="35"/>
        <v>427767.61000000004</v>
      </c>
      <c r="T152" s="604"/>
      <c r="U152" s="642">
        <f t="shared" si="36"/>
        <v>427767.61000000004</v>
      </c>
      <c r="V152" s="679"/>
      <c r="W152" s="679"/>
      <c r="X152" s="702"/>
      <c r="Y152" s="679"/>
      <c r="Z152" s="679"/>
      <c r="AA152" s="642"/>
      <c r="AB152" s="679"/>
      <c r="AC152" s="643"/>
      <c r="AD152" s="644">
        <f t="shared" si="37"/>
        <v>427767.61000000004</v>
      </c>
      <c r="AE152" s="643"/>
      <c r="AF152" s="677">
        <f t="shared" si="34"/>
        <v>0</v>
      </c>
    </row>
    <row r="153" spans="1:32">
      <c r="A153" s="604">
        <v>139</v>
      </c>
      <c r="B153" s="316" t="s">
        <v>984</v>
      </c>
      <c r="C153" s="316" t="s">
        <v>443</v>
      </c>
      <c r="D153" s="316" t="s">
        <v>468</v>
      </c>
      <c r="E153" s="592" t="s">
        <v>1525</v>
      </c>
      <c r="F153" s="603">
        <v>810941.04</v>
      </c>
      <c r="G153" s="603">
        <v>0</v>
      </c>
      <c r="H153" s="603">
        <v>0</v>
      </c>
      <c r="I153" s="603">
        <v>0</v>
      </c>
      <c r="J153" s="603">
        <v>0</v>
      </c>
      <c r="K153" s="603">
        <v>0</v>
      </c>
      <c r="L153" s="603">
        <v>0</v>
      </c>
      <c r="M153" s="603">
        <v>0</v>
      </c>
      <c r="N153" s="603">
        <v>0</v>
      </c>
      <c r="O153" s="603">
        <v>0</v>
      </c>
      <c r="P153" s="603">
        <v>0</v>
      </c>
      <c r="Q153" s="603">
        <v>0</v>
      </c>
      <c r="R153" s="603">
        <v>0</v>
      </c>
      <c r="S153" s="484">
        <f t="shared" si="35"/>
        <v>33789.21</v>
      </c>
      <c r="T153" s="604"/>
      <c r="U153" s="642">
        <f t="shared" si="36"/>
        <v>33789.21</v>
      </c>
      <c r="V153" s="679"/>
      <c r="W153" s="679"/>
      <c r="X153" s="702"/>
      <c r="Y153" s="679"/>
      <c r="Z153" s="679"/>
      <c r="AA153" s="642"/>
      <c r="AB153" s="679"/>
      <c r="AC153" s="643"/>
      <c r="AD153" s="644">
        <f t="shared" si="37"/>
        <v>33789.21</v>
      </c>
      <c r="AE153" s="643"/>
      <c r="AF153" s="677">
        <f t="shared" si="34"/>
        <v>0</v>
      </c>
    </row>
    <row r="154" spans="1:32">
      <c r="A154" s="604">
        <v>140</v>
      </c>
      <c r="B154" s="316" t="s">
        <v>956</v>
      </c>
      <c r="C154" s="316" t="s">
        <v>443</v>
      </c>
      <c r="D154" s="316" t="s">
        <v>470</v>
      </c>
      <c r="E154" s="592" t="s">
        <v>1521</v>
      </c>
      <c r="F154" s="603">
        <v>-71714</v>
      </c>
      <c r="G154" s="603">
        <v>0</v>
      </c>
      <c r="H154" s="603">
        <v>0</v>
      </c>
      <c r="I154" s="603">
        <v>0</v>
      </c>
      <c r="J154" s="603">
        <v>0</v>
      </c>
      <c r="K154" s="603">
        <v>0</v>
      </c>
      <c r="L154" s="603">
        <v>0</v>
      </c>
      <c r="M154" s="603">
        <v>0</v>
      </c>
      <c r="N154" s="603">
        <v>0</v>
      </c>
      <c r="O154" s="603">
        <v>0</v>
      </c>
      <c r="P154" s="603">
        <v>0</v>
      </c>
      <c r="Q154" s="603">
        <v>0</v>
      </c>
      <c r="R154" s="603">
        <v>0</v>
      </c>
      <c r="S154" s="484">
        <f t="shared" si="35"/>
        <v>-2988.0833333333335</v>
      </c>
      <c r="T154" s="604"/>
      <c r="U154" s="642">
        <f t="shared" si="36"/>
        <v>-2988.0833333333335</v>
      </c>
      <c r="V154" s="679"/>
      <c r="W154" s="679"/>
      <c r="X154" s="702"/>
      <c r="Y154" s="679"/>
      <c r="Z154" s="679"/>
      <c r="AA154" s="642"/>
      <c r="AB154" s="679"/>
      <c r="AC154" s="643"/>
      <c r="AD154" s="644">
        <f t="shared" si="37"/>
        <v>-2988.0833333333335</v>
      </c>
      <c r="AE154" s="643"/>
      <c r="AF154" s="677">
        <f t="shared" si="34"/>
        <v>0</v>
      </c>
    </row>
    <row r="155" spans="1:32">
      <c r="A155" s="604">
        <v>141</v>
      </c>
      <c r="B155" s="316" t="s">
        <v>956</v>
      </c>
      <c r="C155" s="316" t="s">
        <v>443</v>
      </c>
      <c r="D155" s="316" t="s">
        <v>444</v>
      </c>
      <c r="E155" s="592" t="s">
        <v>445</v>
      </c>
      <c r="F155" s="603">
        <v>3059262.74</v>
      </c>
      <c r="G155" s="603">
        <v>1737616.51</v>
      </c>
      <c r="H155" s="603">
        <v>419291.36</v>
      </c>
      <c r="I155" s="603">
        <v>3271523.49</v>
      </c>
      <c r="J155" s="603">
        <v>3808129.94</v>
      </c>
      <c r="K155" s="603">
        <v>3919844.69</v>
      </c>
      <c r="L155" s="603">
        <v>4186822.04</v>
      </c>
      <c r="M155" s="603">
        <v>4639280.42</v>
      </c>
      <c r="N155" s="603">
        <v>4836448.09</v>
      </c>
      <c r="O155" s="603">
        <v>4927090.6100000003</v>
      </c>
      <c r="P155" s="603">
        <v>4366986.1399999997</v>
      </c>
      <c r="Q155" s="603">
        <v>3550736.14</v>
      </c>
      <c r="R155" s="603">
        <v>3853770.95</v>
      </c>
      <c r="S155" s="484">
        <f t="shared" si="35"/>
        <v>3593357.1895833332</v>
      </c>
      <c r="T155" s="604"/>
      <c r="U155" s="642">
        <f t="shared" si="36"/>
        <v>3593357.1895833332</v>
      </c>
      <c r="V155" s="679"/>
      <c r="W155" s="679"/>
      <c r="X155" s="702"/>
      <c r="Y155" s="679"/>
      <c r="Z155" s="679"/>
      <c r="AA155" s="642"/>
      <c r="AB155" s="679"/>
      <c r="AC155" s="643"/>
      <c r="AD155" s="644">
        <f t="shared" si="37"/>
        <v>3593357.1895833332</v>
      </c>
      <c r="AE155" s="643"/>
      <c r="AF155" s="677">
        <f t="shared" si="34"/>
        <v>0</v>
      </c>
    </row>
    <row r="156" spans="1:32">
      <c r="A156" s="604">
        <v>142</v>
      </c>
      <c r="B156" s="316" t="s">
        <v>956</v>
      </c>
      <c r="C156" s="316" t="s">
        <v>443</v>
      </c>
      <c r="D156" s="316" t="s">
        <v>475</v>
      </c>
      <c r="E156" s="592" t="s">
        <v>1383</v>
      </c>
      <c r="F156" s="603">
        <v>218269.33</v>
      </c>
      <c r="G156" s="603">
        <v>0</v>
      </c>
      <c r="H156" s="603">
        <v>0</v>
      </c>
      <c r="I156" s="603">
        <v>0</v>
      </c>
      <c r="J156" s="603">
        <v>0</v>
      </c>
      <c r="K156" s="603">
        <v>0</v>
      </c>
      <c r="L156" s="603">
        <v>0</v>
      </c>
      <c r="M156" s="603">
        <v>0</v>
      </c>
      <c r="N156" s="603">
        <v>0</v>
      </c>
      <c r="O156" s="603">
        <v>0</v>
      </c>
      <c r="P156" s="603">
        <v>0</v>
      </c>
      <c r="Q156" s="603">
        <v>45364.26</v>
      </c>
      <c r="R156" s="603">
        <v>319155.09999999998</v>
      </c>
      <c r="S156" s="484">
        <f t="shared" si="35"/>
        <v>26173.039583333331</v>
      </c>
      <c r="T156" s="604"/>
      <c r="U156" s="642">
        <f t="shared" si="36"/>
        <v>26173.039583333331</v>
      </c>
      <c r="V156" s="679"/>
      <c r="W156" s="679"/>
      <c r="X156" s="702"/>
      <c r="Y156" s="679"/>
      <c r="Z156" s="679"/>
      <c r="AA156" s="642"/>
      <c r="AB156" s="679"/>
      <c r="AC156" s="643"/>
      <c r="AD156" s="644">
        <f t="shared" si="37"/>
        <v>26173.039583333331</v>
      </c>
      <c r="AE156" s="643"/>
      <c r="AF156" s="677">
        <f t="shared" si="34"/>
        <v>0</v>
      </c>
    </row>
    <row r="157" spans="1:32">
      <c r="A157" s="604">
        <v>143</v>
      </c>
      <c r="B157" s="316" t="s">
        <v>956</v>
      </c>
      <c r="C157" s="316" t="s">
        <v>443</v>
      </c>
      <c r="D157" s="316" t="s">
        <v>1134</v>
      </c>
      <c r="E157" s="602" t="s">
        <v>1384</v>
      </c>
      <c r="F157" s="603">
        <v>157660.22</v>
      </c>
      <c r="G157" s="603">
        <v>0</v>
      </c>
      <c r="H157" s="603">
        <v>0</v>
      </c>
      <c r="I157" s="603">
        <v>0</v>
      </c>
      <c r="J157" s="603">
        <v>0</v>
      </c>
      <c r="K157" s="603">
        <v>0</v>
      </c>
      <c r="L157" s="603">
        <v>0</v>
      </c>
      <c r="M157" s="603">
        <v>0</v>
      </c>
      <c r="N157" s="603">
        <v>0</v>
      </c>
      <c r="O157" s="603">
        <v>0</v>
      </c>
      <c r="P157" s="603">
        <v>0</v>
      </c>
      <c r="Q157" s="603">
        <v>28021.95</v>
      </c>
      <c r="R157" s="603">
        <v>167630.71</v>
      </c>
      <c r="S157" s="484">
        <f t="shared" si="35"/>
        <v>15888.95125</v>
      </c>
      <c r="T157" s="604"/>
      <c r="U157" s="642">
        <f t="shared" si="36"/>
        <v>15888.95125</v>
      </c>
      <c r="V157" s="679"/>
      <c r="W157" s="679"/>
      <c r="X157" s="702"/>
      <c r="Y157" s="679"/>
      <c r="Z157" s="679"/>
      <c r="AA157" s="642"/>
      <c r="AB157" s="679"/>
      <c r="AC157" s="643"/>
      <c r="AD157" s="644">
        <f t="shared" si="37"/>
        <v>15888.95125</v>
      </c>
      <c r="AE157" s="643"/>
      <c r="AF157" s="677">
        <f t="shared" si="34"/>
        <v>0</v>
      </c>
    </row>
    <row r="158" spans="1:32">
      <c r="A158" s="604">
        <v>144</v>
      </c>
      <c r="B158" s="316" t="s">
        <v>956</v>
      </c>
      <c r="C158" s="316" t="s">
        <v>443</v>
      </c>
      <c r="D158" s="316" t="s">
        <v>1382</v>
      </c>
      <c r="E158" s="602" t="s">
        <v>1519</v>
      </c>
      <c r="F158" s="603">
        <v>0</v>
      </c>
      <c r="G158" s="603">
        <v>0</v>
      </c>
      <c r="H158" s="603">
        <v>0</v>
      </c>
      <c r="I158" s="603">
        <v>0</v>
      </c>
      <c r="J158" s="603">
        <v>0</v>
      </c>
      <c r="K158" s="603">
        <v>0</v>
      </c>
      <c r="L158" s="603">
        <v>0</v>
      </c>
      <c r="M158" s="603">
        <v>0</v>
      </c>
      <c r="N158" s="603">
        <v>0</v>
      </c>
      <c r="O158" s="603">
        <v>0</v>
      </c>
      <c r="P158" s="603">
        <v>0</v>
      </c>
      <c r="Q158" s="603">
        <v>0</v>
      </c>
      <c r="R158" s="603">
        <v>0</v>
      </c>
      <c r="S158" s="484">
        <f t="shared" si="35"/>
        <v>0</v>
      </c>
      <c r="T158" s="604"/>
      <c r="U158" s="642">
        <f t="shared" si="36"/>
        <v>0</v>
      </c>
      <c r="V158" s="679"/>
      <c r="W158" s="679"/>
      <c r="X158" s="702"/>
      <c r="Y158" s="679"/>
      <c r="Z158" s="679"/>
      <c r="AA158" s="642"/>
      <c r="AB158" s="679"/>
      <c r="AC158" s="643"/>
      <c r="AD158" s="644">
        <f t="shared" si="37"/>
        <v>0</v>
      </c>
      <c r="AE158" s="643"/>
      <c r="AF158" s="677">
        <f t="shared" si="34"/>
        <v>0</v>
      </c>
    </row>
    <row r="159" spans="1:32">
      <c r="A159" s="604">
        <v>145</v>
      </c>
      <c r="B159" s="316" t="s">
        <v>984</v>
      </c>
      <c r="C159" s="316" t="s">
        <v>443</v>
      </c>
      <c r="D159" s="316" t="s">
        <v>450</v>
      </c>
      <c r="E159" s="602" t="s">
        <v>1522</v>
      </c>
      <c r="F159" s="603">
        <v>-3.2741809263825397E-11</v>
      </c>
      <c r="G159" s="603">
        <v>0</v>
      </c>
      <c r="H159" s="603">
        <v>0</v>
      </c>
      <c r="I159" s="603">
        <v>139384.79999999999</v>
      </c>
      <c r="J159" s="603">
        <v>123897.54</v>
      </c>
      <c r="K159" s="603">
        <v>108410.28</v>
      </c>
      <c r="L159" s="603">
        <v>92923.02</v>
      </c>
      <c r="M159" s="603">
        <v>77435.759999999995</v>
      </c>
      <c r="N159" s="603">
        <v>61948.5</v>
      </c>
      <c r="O159" s="603">
        <v>46461.24</v>
      </c>
      <c r="P159" s="603">
        <v>30973.98</v>
      </c>
      <c r="Q159" s="603">
        <v>15486.72</v>
      </c>
      <c r="R159" s="603">
        <v>-0.53999999999723503</v>
      </c>
      <c r="S159" s="484">
        <f t="shared" si="35"/>
        <v>58076.797499999993</v>
      </c>
      <c r="T159" s="604"/>
      <c r="U159" s="642">
        <f t="shared" si="36"/>
        <v>58076.797499999993</v>
      </c>
      <c r="V159" s="679"/>
      <c r="W159" s="679"/>
      <c r="X159" s="702"/>
      <c r="Y159" s="679"/>
      <c r="Z159" s="679"/>
      <c r="AA159" s="642"/>
      <c r="AB159" s="679"/>
      <c r="AC159" s="643"/>
      <c r="AD159" s="644">
        <f t="shared" si="37"/>
        <v>58076.797499999993</v>
      </c>
      <c r="AE159" s="643"/>
      <c r="AF159" s="677">
        <f t="shared" si="34"/>
        <v>0</v>
      </c>
    </row>
    <row r="160" spans="1:32">
      <c r="A160" s="604">
        <v>146</v>
      </c>
      <c r="B160" s="316" t="s">
        <v>984</v>
      </c>
      <c r="C160" s="316" t="s">
        <v>443</v>
      </c>
      <c r="D160" s="316" t="s">
        <v>437</v>
      </c>
      <c r="E160" s="602" t="s">
        <v>1523</v>
      </c>
      <c r="F160" s="603">
        <v>34487.9</v>
      </c>
      <c r="G160" s="603">
        <v>27590.32</v>
      </c>
      <c r="H160" s="603">
        <v>20692.740000000002</v>
      </c>
      <c r="I160" s="603">
        <v>13795.16</v>
      </c>
      <c r="J160" s="603">
        <v>6897.58</v>
      </c>
      <c r="K160" s="603">
        <v>-1.8189894035458601E-12</v>
      </c>
      <c r="L160" s="603">
        <v>-1.8189894035458601E-12</v>
      </c>
      <c r="M160" s="603">
        <v>-1.8189894035458601E-12</v>
      </c>
      <c r="N160" s="603">
        <v>-1.8189894035458601E-12</v>
      </c>
      <c r="O160" s="603">
        <v>48622.28</v>
      </c>
      <c r="P160" s="603">
        <v>42544.5</v>
      </c>
      <c r="Q160" s="603">
        <v>36466.720000000001</v>
      </c>
      <c r="R160" s="603">
        <v>30388.94</v>
      </c>
      <c r="S160" s="484">
        <f t="shared" si="35"/>
        <v>19087.310000000001</v>
      </c>
      <c r="T160" s="604"/>
      <c r="U160" s="642">
        <f t="shared" si="36"/>
        <v>19087.310000000001</v>
      </c>
      <c r="V160" s="679"/>
      <c r="W160" s="679"/>
      <c r="X160" s="702"/>
      <c r="Y160" s="679"/>
      <c r="Z160" s="679"/>
      <c r="AA160" s="642"/>
      <c r="AB160" s="679"/>
      <c r="AC160" s="643"/>
      <c r="AD160" s="644">
        <f t="shared" si="37"/>
        <v>19087.310000000001</v>
      </c>
      <c r="AE160" s="643"/>
      <c r="AF160" s="677">
        <f t="shared" si="34"/>
        <v>0</v>
      </c>
    </row>
    <row r="161" spans="1:32">
      <c r="A161" s="604">
        <v>147</v>
      </c>
      <c r="B161" s="316" t="s">
        <v>984</v>
      </c>
      <c r="C161" s="316" t="s">
        <v>443</v>
      </c>
      <c r="D161" s="316" t="s">
        <v>481</v>
      </c>
      <c r="E161" s="602" t="s">
        <v>1524</v>
      </c>
      <c r="F161" s="603">
        <v>843102</v>
      </c>
      <c r="G161" s="603">
        <v>702585</v>
      </c>
      <c r="H161" s="603">
        <v>562068</v>
      </c>
      <c r="I161" s="603">
        <v>421551</v>
      </c>
      <c r="J161" s="603">
        <v>281034</v>
      </c>
      <c r="K161" s="603">
        <v>140517</v>
      </c>
      <c r="L161" s="603">
        <v>0</v>
      </c>
      <c r="M161" s="603">
        <v>0</v>
      </c>
      <c r="N161" s="603">
        <v>0</v>
      </c>
      <c r="O161" s="603">
        <v>0</v>
      </c>
      <c r="P161" s="603">
        <v>0</v>
      </c>
      <c r="Q161" s="603">
        <v>1095682</v>
      </c>
      <c r="R161" s="603">
        <v>939156</v>
      </c>
      <c r="S161" s="484">
        <f t="shared" si="35"/>
        <v>341213.83333333331</v>
      </c>
      <c r="T161" s="604"/>
      <c r="U161" s="642">
        <f t="shared" si="36"/>
        <v>341213.83333333331</v>
      </c>
      <c r="V161" s="679"/>
      <c r="W161" s="679"/>
      <c r="X161" s="702"/>
      <c r="Y161" s="679"/>
      <c r="Z161" s="679"/>
      <c r="AA161" s="642"/>
      <c r="AB161" s="679"/>
      <c r="AC161" s="643"/>
      <c r="AD161" s="644">
        <f t="shared" si="37"/>
        <v>341213.83333333331</v>
      </c>
      <c r="AE161" s="643"/>
      <c r="AF161" s="677">
        <f t="shared" si="34"/>
        <v>0</v>
      </c>
    </row>
    <row r="162" spans="1:32">
      <c r="A162" s="604">
        <v>148</v>
      </c>
      <c r="B162" s="316" t="s">
        <v>956</v>
      </c>
      <c r="C162" s="316" t="s">
        <v>443</v>
      </c>
      <c r="D162" s="316" t="s">
        <v>482</v>
      </c>
      <c r="E162" s="602" t="s">
        <v>1518</v>
      </c>
      <c r="F162" s="603">
        <v>54001.75</v>
      </c>
      <c r="G162" s="603">
        <v>0</v>
      </c>
      <c r="H162" s="603">
        <v>0</v>
      </c>
      <c r="I162" s="603">
        <v>0</v>
      </c>
      <c r="J162" s="603">
        <v>0</v>
      </c>
      <c r="K162" s="603">
        <v>0</v>
      </c>
      <c r="L162" s="603">
        <v>0</v>
      </c>
      <c r="M162" s="603">
        <v>0</v>
      </c>
      <c r="N162" s="603">
        <v>0</v>
      </c>
      <c r="O162" s="603">
        <v>0</v>
      </c>
      <c r="P162" s="603">
        <v>0</v>
      </c>
      <c r="Q162" s="603">
        <v>0</v>
      </c>
      <c r="R162" s="603">
        <v>54525.75</v>
      </c>
      <c r="S162" s="484">
        <f t="shared" si="35"/>
        <v>4521.979166666667</v>
      </c>
      <c r="T162" s="604"/>
      <c r="U162" s="642">
        <f t="shared" si="36"/>
        <v>4521.979166666667</v>
      </c>
      <c r="V162" s="679"/>
      <c r="W162" s="679"/>
      <c r="X162" s="702"/>
      <c r="Y162" s="679"/>
      <c r="Z162" s="679"/>
      <c r="AA162" s="642"/>
      <c r="AB162" s="679"/>
      <c r="AC162" s="643"/>
      <c r="AD162" s="644">
        <f t="shared" si="37"/>
        <v>4521.979166666667</v>
      </c>
      <c r="AE162" s="643"/>
      <c r="AF162" s="677">
        <f t="shared" si="34"/>
        <v>0</v>
      </c>
    </row>
    <row r="163" spans="1:32">
      <c r="A163" s="604">
        <v>149</v>
      </c>
      <c r="B163" s="316" t="s">
        <v>984</v>
      </c>
      <c r="C163" s="316" t="s">
        <v>446</v>
      </c>
      <c r="D163" s="316" t="s">
        <v>1135</v>
      </c>
      <c r="E163" s="602" t="s">
        <v>1526</v>
      </c>
      <c r="F163" s="603">
        <v>0</v>
      </c>
      <c r="G163" s="603">
        <v>0</v>
      </c>
      <c r="H163" s="603">
        <v>0</v>
      </c>
      <c r="I163" s="603">
        <v>0</v>
      </c>
      <c r="J163" s="603">
        <v>0</v>
      </c>
      <c r="K163" s="603">
        <v>0</v>
      </c>
      <c r="L163" s="603">
        <v>0</v>
      </c>
      <c r="M163" s="603">
        <v>0</v>
      </c>
      <c r="N163" s="603">
        <v>0</v>
      </c>
      <c r="O163" s="603">
        <v>0</v>
      </c>
      <c r="P163" s="603">
        <v>0</v>
      </c>
      <c r="Q163" s="603">
        <v>179.76</v>
      </c>
      <c r="R163" s="603">
        <v>0</v>
      </c>
      <c r="S163" s="484">
        <f t="shared" si="35"/>
        <v>14.979999999999999</v>
      </c>
      <c r="T163" s="604"/>
      <c r="U163" s="642">
        <f t="shared" si="36"/>
        <v>14.979999999999999</v>
      </c>
      <c r="V163" s="679"/>
      <c r="W163" s="679"/>
      <c r="X163" s="702"/>
      <c r="Y163" s="679"/>
      <c r="Z163" s="679"/>
      <c r="AA163" s="642"/>
      <c r="AB163" s="679"/>
      <c r="AC163" s="643"/>
      <c r="AD163" s="644">
        <f t="shared" si="37"/>
        <v>14.979999999999999</v>
      </c>
      <c r="AE163" s="643"/>
      <c r="AF163" s="677">
        <f t="shared" si="34"/>
        <v>0</v>
      </c>
    </row>
    <row r="164" spans="1:32">
      <c r="A164" s="604">
        <v>150</v>
      </c>
      <c r="B164" s="316" t="s">
        <v>959</v>
      </c>
      <c r="C164" s="316" t="s">
        <v>446</v>
      </c>
      <c r="D164" s="316" t="s">
        <v>1136</v>
      </c>
      <c r="E164" s="602" t="s">
        <v>1526</v>
      </c>
      <c r="F164" s="603">
        <v>0</v>
      </c>
      <c r="G164" s="603">
        <v>0</v>
      </c>
      <c r="H164" s="603">
        <v>0</v>
      </c>
      <c r="I164" s="603">
        <v>0</v>
      </c>
      <c r="J164" s="603">
        <v>0</v>
      </c>
      <c r="K164" s="603">
        <v>0</v>
      </c>
      <c r="L164" s="603">
        <v>0</v>
      </c>
      <c r="M164" s="603">
        <v>0</v>
      </c>
      <c r="N164" s="603">
        <v>0</v>
      </c>
      <c r="O164" s="603">
        <v>0</v>
      </c>
      <c r="P164" s="603">
        <v>0</v>
      </c>
      <c r="Q164" s="603">
        <v>650.24</v>
      </c>
      <c r="R164" s="603">
        <v>0</v>
      </c>
      <c r="S164" s="484">
        <f t="shared" si="35"/>
        <v>54.186666666666667</v>
      </c>
      <c r="T164" s="604"/>
      <c r="U164" s="642">
        <f t="shared" si="36"/>
        <v>54.186666666666667</v>
      </c>
      <c r="V164" s="679"/>
      <c r="W164" s="679"/>
      <c r="X164" s="702"/>
      <c r="Y164" s="679"/>
      <c r="Z164" s="679"/>
      <c r="AA164" s="642"/>
      <c r="AB164" s="679"/>
      <c r="AC164" s="643"/>
      <c r="AD164" s="644">
        <f t="shared" si="37"/>
        <v>54.186666666666667</v>
      </c>
      <c r="AE164" s="643"/>
      <c r="AF164" s="677">
        <f t="shared" si="34"/>
        <v>0</v>
      </c>
    </row>
    <row r="165" spans="1:32">
      <c r="A165" s="604">
        <v>151</v>
      </c>
      <c r="B165" s="316" t="s">
        <v>956</v>
      </c>
      <c r="C165" s="316" t="s">
        <v>447</v>
      </c>
      <c r="D165" s="316" t="s">
        <v>450</v>
      </c>
      <c r="E165" s="602" t="s">
        <v>448</v>
      </c>
      <c r="F165" s="603">
        <v>0</v>
      </c>
      <c r="G165" s="603">
        <v>0</v>
      </c>
      <c r="H165" s="603">
        <v>0</v>
      </c>
      <c r="I165" s="603">
        <v>0</v>
      </c>
      <c r="J165" s="603">
        <v>0</v>
      </c>
      <c r="K165" s="603">
        <v>0</v>
      </c>
      <c r="L165" s="603">
        <v>0</v>
      </c>
      <c r="M165" s="603">
        <v>0</v>
      </c>
      <c r="N165" s="603">
        <v>0</v>
      </c>
      <c r="O165" s="603">
        <v>0</v>
      </c>
      <c r="P165" s="603">
        <v>0</v>
      </c>
      <c r="Q165" s="603">
        <v>0</v>
      </c>
      <c r="R165" s="603">
        <v>0</v>
      </c>
      <c r="S165" s="484">
        <f t="shared" si="35"/>
        <v>0</v>
      </c>
      <c r="T165" s="604"/>
      <c r="U165" s="642">
        <f t="shared" si="36"/>
        <v>0</v>
      </c>
      <c r="V165" s="679"/>
      <c r="W165" s="679"/>
      <c r="X165" s="702"/>
      <c r="Y165" s="679"/>
      <c r="Z165" s="679"/>
      <c r="AA165" s="642"/>
      <c r="AB165" s="679"/>
      <c r="AC165" s="643"/>
      <c r="AD165" s="644">
        <f t="shared" si="37"/>
        <v>0</v>
      </c>
      <c r="AE165" s="643"/>
      <c r="AF165" s="677">
        <f t="shared" si="34"/>
        <v>0</v>
      </c>
    </row>
    <row r="166" spans="1:32">
      <c r="A166" s="604">
        <v>152</v>
      </c>
      <c r="B166" s="316" t="s">
        <v>956</v>
      </c>
      <c r="C166" s="316" t="s">
        <v>449</v>
      </c>
      <c r="D166" s="316" t="s">
        <v>450</v>
      </c>
      <c r="E166" s="602" t="s">
        <v>451</v>
      </c>
      <c r="F166" s="603">
        <v>0</v>
      </c>
      <c r="G166" s="603">
        <v>0</v>
      </c>
      <c r="H166" s="603">
        <v>0</v>
      </c>
      <c r="I166" s="603">
        <v>0</v>
      </c>
      <c r="J166" s="603">
        <v>0</v>
      </c>
      <c r="K166" s="603">
        <v>0</v>
      </c>
      <c r="L166" s="603">
        <v>0</v>
      </c>
      <c r="M166" s="603">
        <v>0</v>
      </c>
      <c r="N166" s="603">
        <v>0</v>
      </c>
      <c r="O166" s="603">
        <v>0</v>
      </c>
      <c r="P166" s="603">
        <v>970</v>
      </c>
      <c r="Q166" s="603">
        <v>0</v>
      </c>
      <c r="R166" s="603">
        <v>138098</v>
      </c>
      <c r="S166" s="484">
        <f t="shared" si="35"/>
        <v>5834.916666666667</v>
      </c>
      <c r="T166" s="604"/>
      <c r="U166" s="642">
        <f t="shared" si="36"/>
        <v>5834.916666666667</v>
      </c>
      <c r="V166" s="679"/>
      <c r="W166" s="679"/>
      <c r="X166" s="702"/>
      <c r="Y166" s="679"/>
      <c r="Z166" s="679"/>
      <c r="AA166" s="642"/>
      <c r="AB166" s="679"/>
      <c r="AC166" s="643"/>
      <c r="AD166" s="644">
        <f t="shared" si="37"/>
        <v>5834.916666666667</v>
      </c>
      <c r="AE166" s="643"/>
      <c r="AF166" s="677">
        <f t="shared" si="34"/>
        <v>0</v>
      </c>
    </row>
    <row r="167" spans="1:32">
      <c r="A167" s="604">
        <v>153</v>
      </c>
      <c r="B167" s="316" t="s">
        <v>1844</v>
      </c>
      <c r="C167" s="316" t="s">
        <v>443</v>
      </c>
      <c r="D167" s="316" t="s">
        <v>1113</v>
      </c>
      <c r="E167" s="602" t="s">
        <v>1850</v>
      </c>
      <c r="F167" s="603">
        <v>0</v>
      </c>
      <c r="G167" s="603">
        <v>0</v>
      </c>
      <c r="H167" s="603">
        <v>0</v>
      </c>
      <c r="I167" s="603">
        <v>12407398.130000001</v>
      </c>
      <c r="J167" s="603">
        <v>0</v>
      </c>
      <c r="K167" s="603">
        <v>0</v>
      </c>
      <c r="L167" s="603">
        <v>0</v>
      </c>
      <c r="M167" s="603">
        <v>0</v>
      </c>
      <c r="N167" s="603">
        <v>0</v>
      </c>
      <c r="O167" s="603">
        <v>0</v>
      </c>
      <c r="P167" s="603">
        <v>0</v>
      </c>
      <c r="Q167" s="603">
        <v>0</v>
      </c>
      <c r="R167" s="603">
        <v>0</v>
      </c>
      <c r="S167" s="484">
        <f t="shared" si="35"/>
        <v>1033949.8441666667</v>
      </c>
      <c r="T167" s="604"/>
      <c r="U167" s="642">
        <f>+S167</f>
        <v>1033949.8441666667</v>
      </c>
      <c r="V167" s="679"/>
      <c r="W167" s="679"/>
      <c r="X167" s="702"/>
      <c r="Y167" s="679"/>
      <c r="Z167" s="679"/>
      <c r="AA167" s="642"/>
      <c r="AB167" s="679"/>
      <c r="AC167" s="643"/>
      <c r="AD167" s="644">
        <f t="shared" si="37"/>
        <v>1033949.8441666667</v>
      </c>
      <c r="AE167" s="643"/>
      <c r="AF167" s="677">
        <f t="shared" si="34"/>
        <v>0</v>
      </c>
    </row>
    <row r="168" spans="1:32">
      <c r="A168" s="604">
        <v>154</v>
      </c>
      <c r="B168" s="316" t="s">
        <v>1844</v>
      </c>
      <c r="C168" s="316" t="s">
        <v>447</v>
      </c>
      <c r="D168" s="316" t="s">
        <v>369</v>
      </c>
      <c r="E168" s="602" t="s">
        <v>448</v>
      </c>
      <c r="F168" s="603">
        <v>0</v>
      </c>
      <c r="G168" s="603">
        <v>6608847.7199999997</v>
      </c>
      <c r="H168" s="603">
        <v>5786788.9500000002</v>
      </c>
      <c r="I168" s="603">
        <v>5526639.8300000001</v>
      </c>
      <c r="J168" s="603">
        <v>5959971.2999999998</v>
      </c>
      <c r="K168" s="603">
        <v>6195366.1200000001</v>
      </c>
      <c r="L168" s="603">
        <v>6744853.4000000004</v>
      </c>
      <c r="M168" s="603">
        <v>7218543.9699999997</v>
      </c>
      <c r="N168" s="603">
        <v>7648108.7699999996</v>
      </c>
      <c r="O168" s="603">
        <v>8128912.3099999996</v>
      </c>
      <c r="P168" s="603">
        <v>8088749.96</v>
      </c>
      <c r="Q168" s="603">
        <v>7546135.9699999997</v>
      </c>
      <c r="R168" s="603">
        <v>7163930.3700000001</v>
      </c>
      <c r="S168" s="484">
        <f t="shared" si="35"/>
        <v>6586240.2904166663</v>
      </c>
      <c r="T168" s="604"/>
      <c r="U168" s="642">
        <f>+S168</f>
        <v>6586240.2904166663</v>
      </c>
      <c r="V168" s="679"/>
      <c r="W168" s="679"/>
      <c r="X168" s="702"/>
      <c r="Y168" s="679"/>
      <c r="Z168" s="679"/>
      <c r="AA168" s="642"/>
      <c r="AB168" s="679"/>
      <c r="AC168" s="643"/>
      <c r="AD168" s="644">
        <f t="shared" si="37"/>
        <v>6586240.2904166663</v>
      </c>
      <c r="AE168" s="643"/>
      <c r="AF168" s="677">
        <f t="shared" si="34"/>
        <v>0</v>
      </c>
    </row>
    <row r="169" spans="1:32">
      <c r="A169" s="604">
        <v>155</v>
      </c>
      <c r="B169" s="604"/>
      <c r="C169" s="604"/>
      <c r="D169" s="604"/>
      <c r="E169" s="602" t="s">
        <v>452</v>
      </c>
      <c r="F169" s="486">
        <f t="shared" ref="F169:R169" si="38">SUM(F151:F168)</f>
        <v>15502937.680000003</v>
      </c>
      <c r="G169" s="486">
        <f t="shared" si="38"/>
        <v>10211167.84</v>
      </c>
      <c r="H169" s="486">
        <f t="shared" si="38"/>
        <v>7857350</v>
      </c>
      <c r="I169" s="486">
        <f t="shared" si="38"/>
        <v>22790244.759999998</v>
      </c>
      <c r="J169" s="486">
        <f t="shared" si="38"/>
        <v>11033069.359999999</v>
      </c>
      <c r="K169" s="486">
        <f t="shared" si="38"/>
        <v>11108829.43</v>
      </c>
      <c r="L169" s="486">
        <f t="shared" si="38"/>
        <v>11670284.1</v>
      </c>
      <c r="M169" s="486">
        <f t="shared" si="38"/>
        <v>12462392.629999999</v>
      </c>
      <c r="N169" s="486">
        <f t="shared" si="38"/>
        <v>12955084.68</v>
      </c>
      <c r="O169" s="486">
        <f t="shared" si="38"/>
        <v>13480871.060000001</v>
      </c>
      <c r="P169" s="486">
        <f t="shared" si="38"/>
        <v>12741716.550000001</v>
      </c>
      <c r="Q169" s="486">
        <f t="shared" si="38"/>
        <v>12575842.5</v>
      </c>
      <c r="R169" s="486">
        <f t="shared" si="38"/>
        <v>12804673.800000001</v>
      </c>
      <c r="S169" s="486">
        <f>SUM(S151:S168)</f>
        <v>12753388.220833335</v>
      </c>
      <c r="T169" s="604"/>
      <c r="U169" s="642"/>
      <c r="V169" s="679"/>
      <c r="W169" s="679"/>
      <c r="X169" s="702"/>
      <c r="Y169" s="679"/>
      <c r="Z169" s="679"/>
      <c r="AA169" s="642"/>
      <c r="AB169" s="679"/>
      <c r="AC169" s="643"/>
      <c r="AD169" s="643"/>
      <c r="AE169" s="643"/>
      <c r="AF169" s="677">
        <f t="shared" si="34"/>
        <v>0</v>
      </c>
    </row>
    <row r="170" spans="1:32">
      <c r="A170" s="604">
        <v>156</v>
      </c>
      <c r="B170" s="604"/>
      <c r="C170" s="604"/>
      <c r="D170" s="604"/>
      <c r="E170" s="589"/>
      <c r="F170" s="603"/>
      <c r="G170" s="314"/>
      <c r="H170" s="305"/>
      <c r="I170" s="305"/>
      <c r="J170" s="306"/>
      <c r="K170" s="307"/>
      <c r="L170" s="308"/>
      <c r="M170" s="309"/>
      <c r="N170" s="310"/>
      <c r="O170" s="590"/>
      <c r="P170" s="311"/>
      <c r="Q170" s="315"/>
      <c r="R170" s="603"/>
      <c r="S170" s="294"/>
      <c r="T170" s="604"/>
      <c r="U170" s="642"/>
      <c r="V170" s="679"/>
      <c r="W170" s="679"/>
      <c r="X170" s="702"/>
      <c r="Y170" s="679"/>
      <c r="Z170" s="679"/>
      <c r="AA170" s="642"/>
      <c r="AB170" s="679"/>
      <c r="AC170" s="643"/>
      <c r="AD170" s="643"/>
      <c r="AE170" s="643"/>
      <c r="AF170" s="677">
        <f t="shared" si="34"/>
        <v>0</v>
      </c>
    </row>
    <row r="171" spans="1:32">
      <c r="A171" s="604">
        <v>157</v>
      </c>
      <c r="B171" s="316" t="s">
        <v>984</v>
      </c>
      <c r="C171" s="316" t="s">
        <v>453</v>
      </c>
      <c r="D171" s="316" t="s">
        <v>450</v>
      </c>
      <c r="E171" s="602" t="s">
        <v>1527</v>
      </c>
      <c r="F171" s="603">
        <v>3996207.51</v>
      </c>
      <c r="G171" s="603">
        <v>4142082.6</v>
      </c>
      <c r="H171" s="603">
        <v>4519025.45</v>
      </c>
      <c r="I171" s="603">
        <v>3009326.44</v>
      </c>
      <c r="J171" s="603">
        <v>1956278.65</v>
      </c>
      <c r="K171" s="603">
        <v>962759.14999999898</v>
      </c>
      <c r="L171" s="603">
        <v>731962.76999999897</v>
      </c>
      <c r="M171" s="603">
        <v>565739.179999999</v>
      </c>
      <c r="N171" s="603">
        <v>288823.299999999</v>
      </c>
      <c r="O171" s="603">
        <v>718108.98</v>
      </c>
      <c r="P171" s="603">
        <v>2314646.5499999998</v>
      </c>
      <c r="Q171" s="603">
        <v>3445820.69</v>
      </c>
      <c r="R171" s="603">
        <v>3995882.3</v>
      </c>
      <c r="S171" s="484">
        <f>((F171+R171)+((G171+H171+I171+J171+K171+L171+M171+N171+O171+P171+Q171)*2))/24</f>
        <v>2220884.8887499999</v>
      </c>
      <c r="T171" s="604"/>
      <c r="U171" s="642">
        <f t="shared" ref="U171:U180" si="39">+S171</f>
        <v>2220884.8887499999</v>
      </c>
      <c r="V171" s="679"/>
      <c r="W171" s="679"/>
      <c r="X171" s="702"/>
      <c r="Y171" s="679"/>
      <c r="Z171" s="679"/>
      <c r="AA171" s="642"/>
      <c r="AB171" s="679"/>
      <c r="AC171" s="643"/>
      <c r="AD171" s="644">
        <f t="shared" ref="AD171:AD180" si="40">+U171</f>
        <v>2220884.8887499999</v>
      </c>
      <c r="AE171" s="643"/>
      <c r="AF171" s="677">
        <f t="shared" si="34"/>
        <v>0</v>
      </c>
    </row>
    <row r="172" spans="1:32">
      <c r="A172" s="604">
        <v>158</v>
      </c>
      <c r="B172" s="316" t="s">
        <v>959</v>
      </c>
      <c r="C172" s="316" t="s">
        <v>453</v>
      </c>
      <c r="D172" s="316" t="s">
        <v>450</v>
      </c>
      <c r="E172" s="602" t="s">
        <v>1527</v>
      </c>
      <c r="F172" s="603">
        <v>9812907.4100000001</v>
      </c>
      <c r="G172" s="603">
        <v>9814210.4800000004</v>
      </c>
      <c r="H172" s="603">
        <v>12289714.92</v>
      </c>
      <c r="I172" s="603">
        <v>7916537.5599999996</v>
      </c>
      <c r="J172" s="603">
        <v>4541958.57</v>
      </c>
      <c r="K172" s="603">
        <v>2644109.17</v>
      </c>
      <c r="L172" s="603">
        <v>1735971.12</v>
      </c>
      <c r="M172" s="603">
        <v>1633900.5</v>
      </c>
      <c r="N172" s="603">
        <v>873816.87</v>
      </c>
      <c r="O172" s="603">
        <v>2140292.2200000002</v>
      </c>
      <c r="P172" s="603">
        <v>5885722.04</v>
      </c>
      <c r="Q172" s="603">
        <v>10448165.050000001</v>
      </c>
      <c r="R172" s="603">
        <v>12363365.84</v>
      </c>
      <c r="S172" s="484">
        <f t="shared" ref="S172:S179" si="41">((F172+R172)+((G172+H172+I172+J172+K172+L172+M172+N172+O172+P172+Q172)*2))/24</f>
        <v>5917711.260416667</v>
      </c>
      <c r="T172" s="604"/>
      <c r="U172" s="642">
        <f t="shared" si="39"/>
        <v>5917711.260416667</v>
      </c>
      <c r="V172" s="679"/>
      <c r="W172" s="679"/>
      <c r="X172" s="702"/>
      <c r="Y172" s="679"/>
      <c r="Z172" s="679"/>
      <c r="AA172" s="642"/>
      <c r="AB172" s="679"/>
      <c r="AC172" s="643"/>
      <c r="AD172" s="644">
        <f t="shared" si="40"/>
        <v>5917711.260416667</v>
      </c>
      <c r="AE172" s="643"/>
      <c r="AF172" s="677">
        <f t="shared" si="34"/>
        <v>0</v>
      </c>
    </row>
    <row r="173" spans="1:32">
      <c r="A173" s="604">
        <v>159</v>
      </c>
      <c r="B173" s="316" t="s">
        <v>984</v>
      </c>
      <c r="C173" s="316" t="s">
        <v>453</v>
      </c>
      <c r="D173" s="316" t="s">
        <v>437</v>
      </c>
      <c r="E173" s="602" t="s">
        <v>1528</v>
      </c>
      <c r="F173" s="603">
        <v>2076923.47</v>
      </c>
      <c r="G173" s="603">
        <v>2053249.37</v>
      </c>
      <c r="H173" s="603">
        <v>2290904.6800000002</v>
      </c>
      <c r="I173" s="603">
        <v>1537587.61</v>
      </c>
      <c r="J173" s="603">
        <v>967695.83</v>
      </c>
      <c r="K173" s="603">
        <v>498879.2</v>
      </c>
      <c r="L173" s="603">
        <v>403631.59</v>
      </c>
      <c r="M173" s="603">
        <v>376763.13</v>
      </c>
      <c r="N173" s="603">
        <v>205193.59</v>
      </c>
      <c r="O173" s="603">
        <v>492757.75</v>
      </c>
      <c r="P173" s="603">
        <v>1334048.1200000001</v>
      </c>
      <c r="Q173" s="603">
        <v>2147785.9700000002</v>
      </c>
      <c r="R173" s="603">
        <v>2358929.9900000002</v>
      </c>
      <c r="S173" s="484">
        <f t="shared" si="41"/>
        <v>1210535.2975000001</v>
      </c>
      <c r="T173" s="604"/>
      <c r="U173" s="642">
        <f t="shared" si="39"/>
        <v>1210535.2975000001</v>
      </c>
      <c r="V173" s="679"/>
      <c r="W173" s="679"/>
      <c r="X173" s="702"/>
      <c r="Y173" s="679"/>
      <c r="Z173" s="679"/>
      <c r="AA173" s="642"/>
      <c r="AB173" s="679"/>
      <c r="AC173" s="643"/>
      <c r="AD173" s="644">
        <f t="shared" si="40"/>
        <v>1210535.2975000001</v>
      </c>
      <c r="AE173" s="643"/>
      <c r="AF173" s="677">
        <f t="shared" si="34"/>
        <v>0</v>
      </c>
    </row>
    <row r="174" spans="1:32">
      <c r="A174" s="604">
        <v>160</v>
      </c>
      <c r="B174" s="316" t="s">
        <v>959</v>
      </c>
      <c r="C174" s="316" t="s">
        <v>453</v>
      </c>
      <c r="D174" s="316" t="s">
        <v>437</v>
      </c>
      <c r="E174" s="602" t="s">
        <v>1528</v>
      </c>
      <c r="F174" s="603">
        <v>6666508.6600000001</v>
      </c>
      <c r="G174" s="603">
        <v>6649850.4900000002</v>
      </c>
      <c r="H174" s="603">
        <v>8273711.4400000004</v>
      </c>
      <c r="I174" s="603">
        <v>5636600.1699999999</v>
      </c>
      <c r="J174" s="603">
        <v>3435315.38</v>
      </c>
      <c r="K174" s="603">
        <v>1959769.25</v>
      </c>
      <c r="L174" s="603">
        <v>1523835.36</v>
      </c>
      <c r="M174" s="603">
        <v>1586638.99</v>
      </c>
      <c r="N174" s="603">
        <v>901948.3</v>
      </c>
      <c r="O174" s="603">
        <v>2164917.37</v>
      </c>
      <c r="P174" s="603">
        <v>4639424.57</v>
      </c>
      <c r="Q174" s="603">
        <v>8421329.5999999996</v>
      </c>
      <c r="R174" s="603">
        <v>9421371.3000000007</v>
      </c>
      <c r="S174" s="484">
        <f t="shared" si="41"/>
        <v>4436440.0750000002</v>
      </c>
      <c r="T174" s="604"/>
      <c r="U174" s="642">
        <f t="shared" si="39"/>
        <v>4436440.0750000002</v>
      </c>
      <c r="V174" s="679"/>
      <c r="W174" s="679"/>
      <c r="X174" s="702"/>
      <c r="Y174" s="679"/>
      <c r="Z174" s="679"/>
      <c r="AA174" s="642"/>
      <c r="AB174" s="679"/>
      <c r="AC174" s="643"/>
      <c r="AD174" s="644">
        <f t="shared" si="40"/>
        <v>4436440.0750000002</v>
      </c>
      <c r="AE174" s="643"/>
      <c r="AF174" s="677">
        <f t="shared" si="34"/>
        <v>0</v>
      </c>
    </row>
    <row r="175" spans="1:32">
      <c r="A175" s="604">
        <v>161</v>
      </c>
      <c r="B175" s="316" t="s">
        <v>984</v>
      </c>
      <c r="C175" s="316" t="s">
        <v>453</v>
      </c>
      <c r="D175" s="316" t="s">
        <v>481</v>
      </c>
      <c r="E175" s="602" t="s">
        <v>1529</v>
      </c>
      <c r="F175" s="603">
        <v>160375.5</v>
      </c>
      <c r="G175" s="603">
        <v>164204.10999999999</v>
      </c>
      <c r="H175" s="603">
        <v>164627.15</v>
      </c>
      <c r="I175" s="603">
        <v>142983.69</v>
      </c>
      <c r="J175" s="603">
        <v>90175.79</v>
      </c>
      <c r="K175" s="603">
        <v>70393.39</v>
      </c>
      <c r="L175" s="603">
        <v>57118.6</v>
      </c>
      <c r="M175" s="603">
        <v>55829.62</v>
      </c>
      <c r="N175" s="603">
        <v>53275.48</v>
      </c>
      <c r="O175" s="603">
        <v>58696.7</v>
      </c>
      <c r="P175" s="603">
        <v>117247.05</v>
      </c>
      <c r="Q175" s="603">
        <v>80567.87</v>
      </c>
      <c r="R175" s="603">
        <v>11691.44</v>
      </c>
      <c r="S175" s="484">
        <f t="shared" si="41"/>
        <v>95096.07666666666</v>
      </c>
      <c r="T175" s="604"/>
      <c r="U175" s="642">
        <f t="shared" si="39"/>
        <v>95096.07666666666</v>
      </c>
      <c r="V175" s="679"/>
      <c r="W175" s="679"/>
      <c r="X175" s="702"/>
      <c r="Y175" s="679"/>
      <c r="Z175" s="679"/>
      <c r="AA175" s="642"/>
      <c r="AB175" s="679"/>
      <c r="AC175" s="643"/>
      <c r="AD175" s="644">
        <f t="shared" si="40"/>
        <v>95096.07666666666</v>
      </c>
      <c r="AE175" s="643"/>
      <c r="AF175" s="677">
        <f t="shared" si="34"/>
        <v>0</v>
      </c>
    </row>
    <row r="176" spans="1:32">
      <c r="A176" s="604">
        <v>162</v>
      </c>
      <c r="B176" s="316" t="s">
        <v>959</v>
      </c>
      <c r="C176" s="316" t="s">
        <v>453</v>
      </c>
      <c r="D176" s="316" t="s">
        <v>481</v>
      </c>
      <c r="E176" s="602" t="s">
        <v>1529</v>
      </c>
      <c r="F176" s="603">
        <v>136949.03</v>
      </c>
      <c r="G176" s="603">
        <v>135933.35999999999</v>
      </c>
      <c r="H176" s="603">
        <v>142057.14000000001</v>
      </c>
      <c r="I176" s="603">
        <v>129581.72</v>
      </c>
      <c r="J176" s="603">
        <v>115413.98</v>
      </c>
      <c r="K176" s="603">
        <v>85958.92</v>
      </c>
      <c r="L176" s="603">
        <v>67762.22</v>
      </c>
      <c r="M176" s="603">
        <v>74171.570000000007</v>
      </c>
      <c r="N176" s="603">
        <v>57928.02</v>
      </c>
      <c r="O176" s="603">
        <v>68424.179999999993</v>
      </c>
      <c r="P176" s="603">
        <v>895072.26</v>
      </c>
      <c r="Q176" s="603">
        <v>1128354.18</v>
      </c>
      <c r="R176" s="603">
        <v>1264015.1200000001</v>
      </c>
      <c r="S176" s="484">
        <f t="shared" si="41"/>
        <v>300094.96875</v>
      </c>
      <c r="T176" s="604"/>
      <c r="U176" s="642">
        <f t="shared" si="39"/>
        <v>300094.96875</v>
      </c>
      <c r="V176" s="679"/>
      <c r="W176" s="679"/>
      <c r="X176" s="702"/>
      <c r="Y176" s="679"/>
      <c r="Z176" s="679"/>
      <c r="AA176" s="642"/>
      <c r="AB176" s="679"/>
      <c r="AC176" s="643"/>
      <c r="AD176" s="644">
        <f t="shared" si="40"/>
        <v>300094.96875</v>
      </c>
      <c r="AE176" s="643"/>
      <c r="AF176" s="677">
        <f t="shared" si="34"/>
        <v>0</v>
      </c>
    </row>
    <row r="177" spans="1:32">
      <c r="A177" s="604">
        <v>163</v>
      </c>
      <c r="B177" s="316" t="s">
        <v>984</v>
      </c>
      <c r="C177" s="316" t="s">
        <v>454</v>
      </c>
      <c r="D177" s="316" t="s">
        <v>481</v>
      </c>
      <c r="E177" s="602" t="s">
        <v>1530</v>
      </c>
      <c r="F177" s="603">
        <v>217372.61</v>
      </c>
      <c r="G177" s="603">
        <v>237798.2</v>
      </c>
      <c r="H177" s="603">
        <v>220817.29</v>
      </c>
      <c r="I177" s="603">
        <v>240347.6</v>
      </c>
      <c r="J177" s="603">
        <v>234810.43</v>
      </c>
      <c r="K177" s="603">
        <v>260714.04</v>
      </c>
      <c r="L177" s="603">
        <v>257076.87</v>
      </c>
      <c r="M177" s="603">
        <v>248708.24</v>
      </c>
      <c r="N177" s="603">
        <v>251855.92</v>
      </c>
      <c r="O177" s="603">
        <v>263967.65000000002</v>
      </c>
      <c r="P177" s="603">
        <v>281100.45</v>
      </c>
      <c r="Q177" s="603">
        <v>253310.96</v>
      </c>
      <c r="R177" s="603">
        <v>248515.71</v>
      </c>
      <c r="S177" s="484">
        <f t="shared" si="41"/>
        <v>248620.98416666672</v>
      </c>
      <c r="T177" s="604"/>
      <c r="U177" s="642">
        <f t="shared" si="39"/>
        <v>248620.98416666672</v>
      </c>
      <c r="V177" s="679"/>
      <c r="W177" s="679"/>
      <c r="X177" s="702"/>
      <c r="Y177" s="679"/>
      <c r="Z177" s="679"/>
      <c r="AA177" s="642"/>
      <c r="AB177" s="679"/>
      <c r="AC177" s="643"/>
      <c r="AD177" s="644">
        <f t="shared" si="40"/>
        <v>248620.98416666672</v>
      </c>
      <c r="AE177" s="643"/>
      <c r="AF177" s="677">
        <f t="shared" si="34"/>
        <v>0</v>
      </c>
    </row>
    <row r="178" spans="1:32">
      <c r="A178" s="604">
        <v>164</v>
      </c>
      <c r="B178" s="316" t="s">
        <v>959</v>
      </c>
      <c r="C178" s="316" t="s">
        <v>454</v>
      </c>
      <c r="D178" s="522" t="s">
        <v>481</v>
      </c>
      <c r="E178" s="602" t="s">
        <v>1530</v>
      </c>
      <c r="F178" s="603">
        <v>1287630.96</v>
      </c>
      <c r="G178" s="603">
        <v>1369074.9</v>
      </c>
      <c r="H178" s="603">
        <v>1344197.03</v>
      </c>
      <c r="I178" s="603">
        <v>1328253.71</v>
      </c>
      <c r="J178" s="603">
        <v>1274208.5900000001</v>
      </c>
      <c r="K178" s="603">
        <v>1255156.82</v>
      </c>
      <c r="L178" s="603">
        <v>1239995.3799999999</v>
      </c>
      <c r="M178" s="603">
        <v>1213999.1299999999</v>
      </c>
      <c r="N178" s="603">
        <v>1240715.43</v>
      </c>
      <c r="O178" s="603">
        <v>1281485.6100000001</v>
      </c>
      <c r="P178" s="603">
        <v>1376337.89</v>
      </c>
      <c r="Q178" s="603">
        <v>1306930.72</v>
      </c>
      <c r="R178" s="603">
        <v>1349347.15</v>
      </c>
      <c r="S178" s="484">
        <f t="shared" si="41"/>
        <v>1295737.0220833332</v>
      </c>
      <c r="T178" s="604"/>
      <c r="U178" s="642">
        <f t="shared" si="39"/>
        <v>1295737.0220833332</v>
      </c>
      <c r="V178" s="679"/>
      <c r="W178" s="679"/>
      <c r="X178" s="702"/>
      <c r="Y178" s="679"/>
      <c r="Z178" s="679"/>
      <c r="AA178" s="642"/>
      <c r="AB178" s="679"/>
      <c r="AC178" s="643"/>
      <c r="AD178" s="644">
        <f t="shared" si="40"/>
        <v>1295737.0220833332</v>
      </c>
      <c r="AE178" s="643"/>
      <c r="AF178" s="677">
        <f t="shared" si="34"/>
        <v>0</v>
      </c>
    </row>
    <row r="179" spans="1:32">
      <c r="A179" s="604">
        <v>165</v>
      </c>
      <c r="B179" s="316" t="s">
        <v>984</v>
      </c>
      <c r="C179" s="316" t="s">
        <v>454</v>
      </c>
      <c r="D179" s="316" t="s">
        <v>482</v>
      </c>
      <c r="E179" s="602" t="s">
        <v>1531</v>
      </c>
      <c r="F179" s="603">
        <v>131375.94</v>
      </c>
      <c r="G179" s="603">
        <v>121852.75</v>
      </c>
      <c r="H179" s="603">
        <v>127017.49</v>
      </c>
      <c r="I179" s="603">
        <v>119652.65</v>
      </c>
      <c r="J179" s="603">
        <v>105493.9</v>
      </c>
      <c r="K179" s="603">
        <v>100627.94</v>
      </c>
      <c r="L179" s="603">
        <v>109752.04</v>
      </c>
      <c r="M179" s="603">
        <v>127696.94</v>
      </c>
      <c r="N179" s="603">
        <v>128311.34</v>
      </c>
      <c r="O179" s="603">
        <v>125645.68</v>
      </c>
      <c r="P179" s="603">
        <v>128657.13</v>
      </c>
      <c r="Q179" s="603">
        <v>127628.79</v>
      </c>
      <c r="R179" s="603">
        <v>131522.85999999999</v>
      </c>
      <c r="S179" s="484">
        <f t="shared" si="41"/>
        <v>121148.83749999998</v>
      </c>
      <c r="T179" s="604"/>
      <c r="U179" s="642">
        <f t="shared" si="39"/>
        <v>121148.83749999998</v>
      </c>
      <c r="V179" s="679"/>
      <c r="W179" s="679"/>
      <c r="X179" s="702"/>
      <c r="Y179" s="679"/>
      <c r="Z179" s="679"/>
      <c r="AA179" s="642"/>
      <c r="AB179" s="679"/>
      <c r="AC179" s="643"/>
      <c r="AD179" s="644">
        <f t="shared" si="40"/>
        <v>121148.83749999998</v>
      </c>
      <c r="AE179" s="643"/>
      <c r="AF179" s="677">
        <f t="shared" si="34"/>
        <v>0</v>
      </c>
    </row>
    <row r="180" spans="1:32">
      <c r="A180" s="604">
        <v>166</v>
      </c>
      <c r="B180" s="316" t="s">
        <v>959</v>
      </c>
      <c r="C180" s="316" t="s">
        <v>454</v>
      </c>
      <c r="D180" s="316" t="s">
        <v>482</v>
      </c>
      <c r="E180" s="602" t="s">
        <v>1531</v>
      </c>
      <c r="F180" s="303">
        <v>678698.73</v>
      </c>
      <c r="G180" s="303">
        <v>671884.93</v>
      </c>
      <c r="H180" s="303">
        <v>674056.5</v>
      </c>
      <c r="I180" s="303">
        <v>661556.25</v>
      </c>
      <c r="J180" s="303">
        <v>621975.87</v>
      </c>
      <c r="K180" s="303">
        <v>552268.14</v>
      </c>
      <c r="L180" s="303">
        <v>611119.44999999995</v>
      </c>
      <c r="M180" s="303">
        <v>867027.65</v>
      </c>
      <c r="N180" s="303">
        <v>925701.44</v>
      </c>
      <c r="O180" s="303">
        <v>848272.93</v>
      </c>
      <c r="P180" s="303">
        <v>656542.81000000006</v>
      </c>
      <c r="Q180" s="303">
        <v>676138.75</v>
      </c>
      <c r="R180" s="303">
        <v>859829.44</v>
      </c>
      <c r="S180" s="485">
        <f>((F180+R180)+((G180+H180+I180+J180+K180+L180+M180+N180+O180+P180+Q180)*2))/24</f>
        <v>711317.40041666664</v>
      </c>
      <c r="T180" s="604"/>
      <c r="U180" s="642">
        <f t="shared" si="39"/>
        <v>711317.40041666664</v>
      </c>
      <c r="V180" s="679"/>
      <c r="W180" s="679"/>
      <c r="X180" s="702"/>
      <c r="Y180" s="679"/>
      <c r="Z180" s="679"/>
      <c r="AA180" s="642"/>
      <c r="AB180" s="679"/>
      <c r="AC180" s="643"/>
      <c r="AD180" s="644">
        <f t="shared" si="40"/>
        <v>711317.40041666664</v>
      </c>
      <c r="AE180" s="643"/>
      <c r="AF180" s="677">
        <f t="shared" si="34"/>
        <v>0</v>
      </c>
    </row>
    <row r="181" spans="1:32">
      <c r="A181" s="604">
        <v>167</v>
      </c>
      <c r="B181" s="604"/>
      <c r="C181" s="604"/>
      <c r="D181" s="604"/>
      <c r="E181" s="602" t="s">
        <v>455</v>
      </c>
      <c r="F181" s="295">
        <f>SUM(F171:F180)</f>
        <v>25164949.820000004</v>
      </c>
      <c r="G181" s="295">
        <f t="shared" ref="G181:R181" si="42">SUM(G171:G180)</f>
        <v>25360141.189999994</v>
      </c>
      <c r="H181" s="295">
        <f t="shared" si="42"/>
        <v>30046129.09</v>
      </c>
      <c r="I181" s="295">
        <f t="shared" si="42"/>
        <v>20722427.400000002</v>
      </c>
      <c r="J181" s="295">
        <f t="shared" si="42"/>
        <v>13343326.989999998</v>
      </c>
      <c r="K181" s="295">
        <f t="shared" si="42"/>
        <v>8390636.0199999996</v>
      </c>
      <c r="L181" s="295">
        <f t="shared" si="42"/>
        <v>6738225.3999999985</v>
      </c>
      <c r="M181" s="295">
        <f t="shared" si="42"/>
        <v>6750474.9500000002</v>
      </c>
      <c r="N181" s="295">
        <f t="shared" si="42"/>
        <v>4927569.6899999995</v>
      </c>
      <c r="O181" s="295">
        <f t="shared" si="42"/>
        <v>8162569.0700000003</v>
      </c>
      <c r="P181" s="295">
        <f t="shared" si="42"/>
        <v>17628798.869999997</v>
      </c>
      <c r="Q181" s="295">
        <f t="shared" si="42"/>
        <v>28036032.580000002</v>
      </c>
      <c r="R181" s="295">
        <f t="shared" si="42"/>
        <v>32004471.150000006</v>
      </c>
      <c r="S181" s="486">
        <f>SUM(S171:S180)</f>
        <v>16557586.811250001</v>
      </c>
      <c r="T181" s="604"/>
      <c r="U181" s="642"/>
      <c r="V181" s="679"/>
      <c r="W181" s="679"/>
      <c r="X181" s="702"/>
      <c r="Y181" s="679"/>
      <c r="Z181" s="679"/>
      <c r="AA181" s="642"/>
      <c r="AB181" s="679"/>
      <c r="AC181" s="643"/>
      <c r="AD181" s="643"/>
      <c r="AE181" s="643"/>
      <c r="AF181" s="677">
        <f t="shared" si="34"/>
        <v>0</v>
      </c>
    </row>
    <row r="182" spans="1:32">
      <c r="A182" s="604">
        <v>168</v>
      </c>
      <c r="B182" s="604"/>
      <c r="C182" s="604"/>
      <c r="D182" s="604"/>
      <c r="E182" s="589"/>
      <c r="F182" s="603"/>
      <c r="G182" s="314"/>
      <c r="H182" s="305"/>
      <c r="I182" s="305"/>
      <c r="J182" s="306"/>
      <c r="K182" s="307"/>
      <c r="L182" s="308"/>
      <c r="M182" s="309"/>
      <c r="N182" s="310"/>
      <c r="O182" s="590"/>
      <c r="P182" s="311"/>
      <c r="Q182" s="315"/>
      <c r="R182" s="603"/>
      <c r="S182" s="294"/>
      <c r="T182" s="604"/>
      <c r="U182" s="642"/>
      <c r="V182" s="679"/>
      <c r="W182" s="679"/>
      <c r="X182" s="702"/>
      <c r="Y182" s="679"/>
      <c r="Z182" s="679"/>
      <c r="AA182" s="642"/>
      <c r="AB182" s="679"/>
      <c r="AC182" s="643"/>
      <c r="AD182" s="643"/>
      <c r="AE182" s="643"/>
      <c r="AF182" s="677">
        <f t="shared" si="34"/>
        <v>0</v>
      </c>
    </row>
    <row r="183" spans="1:32">
      <c r="A183" s="604">
        <v>169</v>
      </c>
      <c r="B183" s="316" t="s">
        <v>956</v>
      </c>
      <c r="C183" s="316" t="s">
        <v>456</v>
      </c>
      <c r="D183" s="316" t="s">
        <v>988</v>
      </c>
      <c r="E183" s="602" t="s">
        <v>1532</v>
      </c>
      <c r="F183" s="603">
        <v>-82824.95</v>
      </c>
      <c r="G183" s="603">
        <v>-81863.039999999994</v>
      </c>
      <c r="H183" s="603">
        <v>-80901.16</v>
      </c>
      <c r="I183" s="603">
        <v>-79939.23</v>
      </c>
      <c r="J183" s="603">
        <v>-78977.33</v>
      </c>
      <c r="K183" s="603">
        <v>-78015.429999999993</v>
      </c>
      <c r="L183" s="603">
        <v>-77053.539999999994</v>
      </c>
      <c r="M183" s="603">
        <v>-76091.649999999994</v>
      </c>
      <c r="N183" s="603">
        <v>-75129.75</v>
      </c>
      <c r="O183" s="603">
        <v>-74167.83</v>
      </c>
      <c r="P183" s="603">
        <v>-73205.919999999998</v>
      </c>
      <c r="Q183" s="603">
        <v>-72244.02</v>
      </c>
      <c r="R183" s="603">
        <v>-71282.13</v>
      </c>
      <c r="S183" s="484">
        <f>((F183+R183)+((G183+H183+I183+J183+K183+L183+M183+N183+O183+P183+Q183)*2))/24</f>
        <v>-77053.536666666667</v>
      </c>
      <c r="T183" s="604"/>
      <c r="U183" s="642"/>
      <c r="V183" s="679"/>
      <c r="W183" s="679"/>
      <c r="X183" s="702">
        <f>+S183</f>
        <v>-77053.536666666667</v>
      </c>
      <c r="Y183" s="679"/>
      <c r="Z183" s="679"/>
      <c r="AA183" s="642"/>
      <c r="AB183" s="679">
        <f>+S183</f>
        <v>-77053.536666666667</v>
      </c>
      <c r="AC183" s="643"/>
      <c r="AD183" s="644">
        <f>+U183</f>
        <v>0</v>
      </c>
      <c r="AE183" s="643"/>
      <c r="AF183" s="677">
        <f t="shared" si="34"/>
        <v>0</v>
      </c>
    </row>
    <row r="184" spans="1:32">
      <c r="A184" s="604">
        <v>170</v>
      </c>
      <c r="B184" s="316" t="s">
        <v>956</v>
      </c>
      <c r="C184" s="316" t="s">
        <v>456</v>
      </c>
      <c r="D184" s="316" t="s">
        <v>989</v>
      </c>
      <c r="E184" s="602" t="s">
        <v>1533</v>
      </c>
      <c r="F184" s="603">
        <v>-314153.82</v>
      </c>
      <c r="G184" s="603">
        <v>-310487.56</v>
      </c>
      <c r="H184" s="603">
        <v>-306821.32</v>
      </c>
      <c r="I184" s="603">
        <v>-303155.03999999998</v>
      </c>
      <c r="J184" s="603">
        <v>-299488.8</v>
      </c>
      <c r="K184" s="603">
        <v>-295822.51</v>
      </c>
      <c r="L184" s="603">
        <v>-292156.31</v>
      </c>
      <c r="M184" s="603">
        <v>-288490.09000000003</v>
      </c>
      <c r="N184" s="603">
        <v>-284823.81</v>
      </c>
      <c r="O184" s="603">
        <v>-281157.56</v>
      </c>
      <c r="P184" s="603">
        <v>-277491.31</v>
      </c>
      <c r="Q184" s="603">
        <v>-273824.98</v>
      </c>
      <c r="R184" s="603">
        <v>-270158.8</v>
      </c>
      <c r="S184" s="484">
        <f>((F184+R184)+((G184+H184+I184+J184+K184+L184+M184+N184+O184+P184+Q184)*2))/24</f>
        <v>-292156.3</v>
      </c>
      <c r="T184" s="604"/>
      <c r="U184" s="642"/>
      <c r="V184" s="679"/>
      <c r="W184" s="679"/>
      <c r="X184" s="702">
        <f>+S184</f>
        <v>-292156.3</v>
      </c>
      <c r="Y184" s="679"/>
      <c r="Z184" s="679"/>
      <c r="AA184" s="642"/>
      <c r="AB184" s="679">
        <f>+S184</f>
        <v>-292156.3</v>
      </c>
      <c r="AC184" s="643"/>
      <c r="AD184" s="644">
        <f>+U184</f>
        <v>0</v>
      </c>
      <c r="AE184" s="643"/>
      <c r="AF184" s="677">
        <f t="shared" si="34"/>
        <v>0</v>
      </c>
    </row>
    <row r="185" spans="1:32">
      <c r="A185" s="604">
        <v>171</v>
      </c>
      <c r="B185" s="316" t="s">
        <v>956</v>
      </c>
      <c r="C185" s="316" t="s">
        <v>456</v>
      </c>
      <c r="D185" s="316" t="s">
        <v>1311</v>
      </c>
      <c r="E185" s="602" t="s">
        <v>1534</v>
      </c>
      <c r="F185" s="603">
        <v>680831.94</v>
      </c>
      <c r="G185" s="603">
        <v>681059.07</v>
      </c>
      <c r="H185" s="603">
        <v>682798.4</v>
      </c>
      <c r="I185" s="603">
        <v>672259.39</v>
      </c>
      <c r="J185" s="603">
        <v>671430.12</v>
      </c>
      <c r="K185" s="603">
        <v>-1.16415321826935E-10</v>
      </c>
      <c r="L185" s="603">
        <v>-1.16415321826935E-10</v>
      </c>
      <c r="M185" s="603">
        <v>-1.16415321826935E-10</v>
      </c>
      <c r="N185" s="603">
        <v>-1.16415321826935E-10</v>
      </c>
      <c r="O185" s="603">
        <v>-1.16415321826935E-10</v>
      </c>
      <c r="P185" s="603">
        <v>-1.16415321826935E-10</v>
      </c>
      <c r="Q185" s="603">
        <v>-1.16415321826935E-10</v>
      </c>
      <c r="R185" s="603">
        <v>-1.16415321826935E-10</v>
      </c>
      <c r="S185" s="484">
        <f>((F185+R185)+((G185+H185+I185+J185+K185+L185+M185+N185+O185+P185+Q185)*2))/24</f>
        <v>253996.91249999998</v>
      </c>
      <c r="T185" s="604"/>
      <c r="U185" s="642"/>
      <c r="V185" s="679"/>
      <c r="W185" s="679"/>
      <c r="X185" s="702">
        <f>+S185</f>
        <v>253996.91249999998</v>
      </c>
      <c r="Y185" s="679">
        <f>+X185*Z7</f>
        <v>190929.47912624999</v>
      </c>
      <c r="Z185" s="679">
        <f>+X185*Z8</f>
        <v>63067.433373749991</v>
      </c>
      <c r="AA185" s="642"/>
      <c r="AB185" s="679"/>
      <c r="AC185" s="643"/>
      <c r="AD185" s="644">
        <f>+U185</f>
        <v>0</v>
      </c>
      <c r="AE185" s="643"/>
      <c r="AF185" s="677">
        <f t="shared" si="34"/>
        <v>0</v>
      </c>
    </row>
    <row r="186" spans="1:32">
      <c r="A186" s="604">
        <v>172</v>
      </c>
      <c r="B186" s="316" t="s">
        <v>956</v>
      </c>
      <c r="C186" s="316" t="s">
        <v>456</v>
      </c>
      <c r="D186" s="316" t="s">
        <v>1373</v>
      </c>
      <c r="E186" s="602" t="s">
        <v>1535</v>
      </c>
      <c r="F186" s="603">
        <v>1956266.79</v>
      </c>
      <c r="G186" s="603">
        <v>1934611.41</v>
      </c>
      <c r="H186" s="603">
        <v>1936237.98</v>
      </c>
      <c r="I186" s="603">
        <v>1937864.53</v>
      </c>
      <c r="J186" s="603">
        <v>1949463.84</v>
      </c>
      <c r="K186" s="603">
        <v>1320391.5900000001</v>
      </c>
      <c r="L186" s="603">
        <v>1331604.73</v>
      </c>
      <c r="M186" s="603">
        <v>1302926.93</v>
      </c>
      <c r="N186" s="603">
        <v>1304167.32</v>
      </c>
      <c r="O186" s="603">
        <v>1305407.72</v>
      </c>
      <c r="P186" s="603">
        <v>1306648.1100000001</v>
      </c>
      <c r="Q186" s="603">
        <v>1307888.52</v>
      </c>
      <c r="R186" s="603">
        <v>1401147.76</v>
      </c>
      <c r="S186" s="484">
        <f t="shared" ref="S186:S199" si="43">((F186+R186)+((G186+H186+I186+J186+K186+L186+M186+N186+O186+P186+Q186)*2))/24</f>
        <v>1551326.6629166666</v>
      </c>
      <c r="T186" s="604"/>
      <c r="U186" s="642"/>
      <c r="V186" s="679"/>
      <c r="W186" s="679"/>
      <c r="X186" s="702">
        <f>+S186</f>
        <v>1551326.6629166666</v>
      </c>
      <c r="Y186" s="679"/>
      <c r="Z186" s="679"/>
      <c r="AA186" s="642"/>
      <c r="AB186" s="679">
        <f>+S186</f>
        <v>1551326.6629166666</v>
      </c>
      <c r="AC186" s="643"/>
      <c r="AD186" s="644">
        <f t="shared" ref="AD186:AD198" si="44">+U186</f>
        <v>0</v>
      </c>
      <c r="AE186" s="643"/>
      <c r="AF186" s="677">
        <f t="shared" si="34"/>
        <v>0</v>
      </c>
    </row>
    <row r="187" spans="1:32">
      <c r="A187" s="604">
        <v>173</v>
      </c>
      <c r="B187" s="316" t="s">
        <v>956</v>
      </c>
      <c r="C187" s="316" t="s">
        <v>456</v>
      </c>
      <c r="D187" s="316" t="s">
        <v>990</v>
      </c>
      <c r="E187" s="602" t="s">
        <v>1536</v>
      </c>
      <c r="F187" s="603">
        <v>11510145.4</v>
      </c>
      <c r="G187" s="603">
        <v>11507312.039999999</v>
      </c>
      <c r="H187" s="603">
        <v>11493190.75</v>
      </c>
      <c r="I187" s="603">
        <v>11469718.529999999</v>
      </c>
      <c r="J187" s="603">
        <v>11436977.539999999</v>
      </c>
      <c r="K187" s="603">
        <v>4785984.6900000004</v>
      </c>
      <c r="L187" s="603">
        <v>4664356.68</v>
      </c>
      <c r="M187" s="603">
        <v>4654083.1500000004</v>
      </c>
      <c r="N187" s="603">
        <v>4633846.72</v>
      </c>
      <c r="O187" s="603">
        <v>4619999.8499999996</v>
      </c>
      <c r="P187" s="603">
        <v>4581896.46</v>
      </c>
      <c r="Q187" s="603">
        <v>4566634.12</v>
      </c>
      <c r="R187" s="603">
        <v>3764796.5</v>
      </c>
      <c r="S187" s="484">
        <f t="shared" si="43"/>
        <v>7170955.9566666661</v>
      </c>
      <c r="T187" s="604"/>
      <c r="U187" s="642">
        <f>+S187</f>
        <v>7170955.9566666661</v>
      </c>
      <c r="V187" s="679"/>
      <c r="W187" s="679"/>
      <c r="X187" s="702"/>
      <c r="Y187" s="679"/>
      <c r="Z187" s="679"/>
      <c r="AA187" s="642"/>
      <c r="AB187" s="679"/>
      <c r="AC187" s="643"/>
      <c r="AD187" s="644">
        <f t="shared" si="44"/>
        <v>7170955.9566666661</v>
      </c>
      <c r="AE187" s="643"/>
      <c r="AF187" s="677">
        <f t="shared" si="34"/>
        <v>0</v>
      </c>
    </row>
    <row r="188" spans="1:32">
      <c r="A188" s="604">
        <v>174</v>
      </c>
      <c r="B188" s="316" t="s">
        <v>956</v>
      </c>
      <c r="C188" s="316" t="s">
        <v>456</v>
      </c>
      <c r="D188" s="316" t="s">
        <v>1137</v>
      </c>
      <c r="E188" s="602" t="s">
        <v>1537</v>
      </c>
      <c r="F188" s="603">
        <v>1661184.9</v>
      </c>
      <c r="G188" s="603">
        <v>1695741.01</v>
      </c>
      <c r="H188" s="603">
        <v>1471236.01</v>
      </c>
      <c r="I188" s="603">
        <v>1483644.41</v>
      </c>
      <c r="J188" s="603">
        <v>1289414.67</v>
      </c>
      <c r="K188" s="603">
        <v>1308074.3700000001</v>
      </c>
      <c r="L188" s="603">
        <v>1339199.76</v>
      </c>
      <c r="M188" s="603">
        <v>1361362.4</v>
      </c>
      <c r="N188" s="603">
        <v>1385573.15</v>
      </c>
      <c r="O188" s="603">
        <v>1380832.33</v>
      </c>
      <c r="P188" s="603">
        <v>1374347.93</v>
      </c>
      <c r="Q188" s="603">
        <v>1150002.48</v>
      </c>
      <c r="R188" s="603">
        <v>1739299.2</v>
      </c>
      <c r="S188" s="484">
        <f t="shared" si="43"/>
        <v>1411639.2141666666</v>
      </c>
      <c r="T188" s="604"/>
      <c r="U188" s="642">
        <f>+S188</f>
        <v>1411639.2141666666</v>
      </c>
      <c r="V188" s="679"/>
      <c r="W188" s="679"/>
      <c r="X188" s="702"/>
      <c r="Y188" s="679"/>
      <c r="Z188" s="679"/>
      <c r="AA188" s="642"/>
      <c r="AB188" s="679"/>
      <c r="AC188" s="643"/>
      <c r="AD188" s="644">
        <f t="shared" si="44"/>
        <v>1411639.2141666666</v>
      </c>
      <c r="AE188" s="643"/>
      <c r="AF188" s="677">
        <f t="shared" si="34"/>
        <v>0</v>
      </c>
    </row>
    <row r="189" spans="1:32">
      <c r="A189" s="604">
        <v>175</v>
      </c>
      <c r="B189" s="316" t="s">
        <v>984</v>
      </c>
      <c r="C189" s="316" t="s">
        <v>456</v>
      </c>
      <c r="D189" s="316" t="s">
        <v>985</v>
      </c>
      <c r="E189" s="602" t="s">
        <v>1538</v>
      </c>
      <c r="F189" s="603">
        <v>-7249.34</v>
      </c>
      <c r="G189" s="603">
        <v>-7165.15</v>
      </c>
      <c r="H189" s="603">
        <v>-7080.94</v>
      </c>
      <c r="I189" s="603">
        <v>-6996.75</v>
      </c>
      <c r="J189" s="603">
        <v>-6912.56</v>
      </c>
      <c r="K189" s="603">
        <v>-6828.37</v>
      </c>
      <c r="L189" s="603">
        <v>-6744.18</v>
      </c>
      <c r="M189" s="603">
        <v>-6659.99</v>
      </c>
      <c r="N189" s="603">
        <v>-6575.8</v>
      </c>
      <c r="O189" s="603">
        <v>-6491.61</v>
      </c>
      <c r="P189" s="603">
        <v>-6407.42</v>
      </c>
      <c r="Q189" s="603">
        <v>-6323.23</v>
      </c>
      <c r="R189" s="603">
        <v>-6239.04</v>
      </c>
      <c r="S189" s="484">
        <f t="shared" si="43"/>
        <v>-6744.1824999999999</v>
      </c>
      <c r="T189" s="604"/>
      <c r="U189" s="642"/>
      <c r="V189" s="679"/>
      <c r="W189" s="679"/>
      <c r="X189" s="702">
        <f>+S189</f>
        <v>-6744.1824999999999</v>
      </c>
      <c r="Y189" s="679"/>
      <c r="Z189" s="679"/>
      <c r="AA189" s="642"/>
      <c r="AB189" s="679">
        <f>+S189</f>
        <v>-6744.1824999999999</v>
      </c>
      <c r="AC189" s="643"/>
      <c r="AD189" s="644">
        <f t="shared" si="44"/>
        <v>0</v>
      </c>
      <c r="AE189" s="643"/>
      <c r="AF189" s="677">
        <f t="shared" si="34"/>
        <v>0</v>
      </c>
    </row>
    <row r="190" spans="1:32">
      <c r="A190" s="604">
        <v>176</v>
      </c>
      <c r="B190" s="316" t="s">
        <v>984</v>
      </c>
      <c r="C190" s="316" t="s">
        <v>456</v>
      </c>
      <c r="D190" s="316" t="s">
        <v>986</v>
      </c>
      <c r="E190" s="602" t="s">
        <v>1539</v>
      </c>
      <c r="F190" s="603">
        <v>2574.23</v>
      </c>
      <c r="G190" s="603">
        <v>2526.5500000000002</v>
      </c>
      <c r="H190" s="603">
        <v>2478.9</v>
      </c>
      <c r="I190" s="603">
        <v>2431.23</v>
      </c>
      <c r="J190" s="603">
        <v>2383.5700000000002</v>
      </c>
      <c r="K190" s="603">
        <v>2335.9</v>
      </c>
      <c r="L190" s="603">
        <v>2288.2199999999998</v>
      </c>
      <c r="M190" s="603">
        <v>2240.5700000000002</v>
      </c>
      <c r="N190" s="603">
        <v>2192.91</v>
      </c>
      <c r="O190" s="603">
        <v>2145.2199999999998</v>
      </c>
      <c r="P190" s="603">
        <v>2097.56</v>
      </c>
      <c r="Q190" s="603">
        <v>2049.87</v>
      </c>
      <c r="R190" s="603">
        <v>2002.16</v>
      </c>
      <c r="S190" s="484">
        <f t="shared" si="43"/>
        <v>2288.2245833333332</v>
      </c>
      <c r="T190" s="604"/>
      <c r="U190" s="642"/>
      <c r="V190" s="679"/>
      <c r="W190" s="679"/>
      <c r="X190" s="702">
        <f>+S190</f>
        <v>2288.2245833333332</v>
      </c>
      <c r="Y190" s="679"/>
      <c r="Z190" s="679"/>
      <c r="AA190" s="642"/>
      <c r="AB190" s="679">
        <f>+S190</f>
        <v>2288.2245833333332</v>
      </c>
      <c r="AC190" s="643"/>
      <c r="AD190" s="644">
        <f t="shared" si="44"/>
        <v>0</v>
      </c>
      <c r="AE190" s="643"/>
      <c r="AF190" s="677">
        <f t="shared" si="34"/>
        <v>0</v>
      </c>
    </row>
    <row r="191" spans="1:32">
      <c r="A191" s="604">
        <v>177</v>
      </c>
      <c r="B191" s="316" t="s">
        <v>984</v>
      </c>
      <c r="C191" s="316" t="s">
        <v>456</v>
      </c>
      <c r="D191" s="316" t="s">
        <v>1314</v>
      </c>
      <c r="E191" s="602" t="s">
        <v>1540</v>
      </c>
      <c r="F191" s="603">
        <v>59590.47</v>
      </c>
      <c r="G191" s="603">
        <v>59610.35</v>
      </c>
      <c r="H191" s="603">
        <v>59762.59</v>
      </c>
      <c r="I191" s="603">
        <v>58840.15</v>
      </c>
      <c r="J191" s="603">
        <v>58767.57</v>
      </c>
      <c r="K191" s="603">
        <v>58869.7</v>
      </c>
      <c r="L191" s="603">
        <v>58869.7</v>
      </c>
      <c r="M191" s="603">
        <v>58819.12</v>
      </c>
      <c r="N191" s="603">
        <v>58888.59</v>
      </c>
      <c r="O191" s="603">
        <v>57753.95</v>
      </c>
      <c r="P191" s="603">
        <v>57815.58</v>
      </c>
      <c r="Q191" s="603">
        <v>57928.94</v>
      </c>
      <c r="R191" s="603">
        <v>57928.94</v>
      </c>
      <c r="S191" s="484">
        <f t="shared" si="43"/>
        <v>58723.828749999993</v>
      </c>
      <c r="T191" s="604"/>
      <c r="U191" s="642"/>
      <c r="V191" s="679"/>
      <c r="W191" s="679"/>
      <c r="X191" s="702">
        <f>+S191</f>
        <v>58723.828749999993</v>
      </c>
      <c r="Y191" s="679"/>
      <c r="Z191" s="679">
        <f>+X191</f>
        <v>58723.828749999993</v>
      </c>
      <c r="AA191" s="642"/>
      <c r="AB191" s="679"/>
      <c r="AC191" s="643"/>
      <c r="AD191" s="644">
        <f t="shared" si="44"/>
        <v>0</v>
      </c>
      <c r="AE191" s="643"/>
      <c r="AF191" s="677">
        <f t="shared" si="34"/>
        <v>0</v>
      </c>
    </row>
    <row r="192" spans="1:32">
      <c r="A192" s="604">
        <v>178</v>
      </c>
      <c r="B192" s="316" t="s">
        <v>984</v>
      </c>
      <c r="C192" s="316" t="s">
        <v>456</v>
      </c>
      <c r="D192" s="316" t="s">
        <v>1315</v>
      </c>
      <c r="E192" s="602" t="s">
        <v>1541</v>
      </c>
      <c r="F192" s="603">
        <v>-2574.25</v>
      </c>
      <c r="G192" s="603">
        <v>-2526.58</v>
      </c>
      <c r="H192" s="603">
        <v>-2478.91</v>
      </c>
      <c r="I192" s="603">
        <v>-2431.2399999999998</v>
      </c>
      <c r="J192" s="603">
        <v>-2383.5700000000002</v>
      </c>
      <c r="K192" s="603">
        <v>-2335.9</v>
      </c>
      <c r="L192" s="603">
        <v>-2288.2199999999998</v>
      </c>
      <c r="M192" s="603">
        <v>-2240.5500000000002</v>
      </c>
      <c r="N192" s="603">
        <v>-2192.88</v>
      </c>
      <c r="O192" s="603">
        <v>-2145.21</v>
      </c>
      <c r="P192" s="603">
        <v>-2097.54</v>
      </c>
      <c r="Q192" s="603">
        <v>-2049.87</v>
      </c>
      <c r="R192" s="603">
        <v>-2002.19</v>
      </c>
      <c r="S192" s="484">
        <f t="shared" si="43"/>
        <v>-2288.2241666666664</v>
      </c>
      <c r="T192" s="604"/>
      <c r="U192" s="642"/>
      <c r="V192" s="679"/>
      <c r="W192" s="679"/>
      <c r="X192" s="702">
        <f>+S192</f>
        <v>-2288.2241666666664</v>
      </c>
      <c r="Y192" s="679"/>
      <c r="Z192" s="679">
        <f>+X192</f>
        <v>-2288.2241666666664</v>
      </c>
      <c r="AA192" s="642"/>
      <c r="AB192" s="679"/>
      <c r="AC192" s="643"/>
      <c r="AD192" s="644">
        <f t="shared" si="44"/>
        <v>0</v>
      </c>
      <c r="AE192" s="643"/>
      <c r="AF192" s="677">
        <f t="shared" si="34"/>
        <v>0</v>
      </c>
    </row>
    <row r="193" spans="1:32">
      <c r="A193" s="604">
        <v>179</v>
      </c>
      <c r="B193" s="316" t="s">
        <v>984</v>
      </c>
      <c r="C193" s="316" t="s">
        <v>456</v>
      </c>
      <c r="D193" s="316" t="s">
        <v>1372</v>
      </c>
      <c r="E193" s="602" t="s">
        <v>1542</v>
      </c>
      <c r="F193" s="603">
        <v>171224.15</v>
      </c>
      <c r="G193" s="603">
        <v>169328.75</v>
      </c>
      <c r="H193" s="603">
        <v>169471.11</v>
      </c>
      <c r="I193" s="603">
        <v>169613.47</v>
      </c>
      <c r="J193" s="603">
        <v>170628.72</v>
      </c>
      <c r="K193" s="603">
        <v>115568.55</v>
      </c>
      <c r="L193" s="603">
        <v>116549.99</v>
      </c>
      <c r="M193" s="603">
        <v>114039.95</v>
      </c>
      <c r="N193" s="603">
        <v>114148.51</v>
      </c>
      <c r="O193" s="603">
        <v>114257.08</v>
      </c>
      <c r="P193" s="603">
        <v>114365.65</v>
      </c>
      <c r="Q193" s="603">
        <v>114474.22</v>
      </c>
      <c r="R193" s="603">
        <v>122636.81</v>
      </c>
      <c r="S193" s="484">
        <f t="shared" si="43"/>
        <v>135781.37333333332</v>
      </c>
      <c r="T193" s="604"/>
      <c r="U193" s="642"/>
      <c r="V193" s="679"/>
      <c r="W193" s="679"/>
      <c r="X193" s="702">
        <f>+S193</f>
        <v>135781.37333333332</v>
      </c>
      <c r="Y193" s="679"/>
      <c r="Z193" s="679"/>
      <c r="AA193" s="642"/>
      <c r="AB193" s="679">
        <f>+S193</f>
        <v>135781.37333333332</v>
      </c>
      <c r="AC193" s="643"/>
      <c r="AD193" s="644">
        <f t="shared" si="44"/>
        <v>0</v>
      </c>
      <c r="AE193" s="643"/>
      <c r="AF193" s="677">
        <f t="shared" si="34"/>
        <v>0</v>
      </c>
    </row>
    <row r="194" spans="1:32">
      <c r="A194" s="604">
        <v>180</v>
      </c>
      <c r="B194" s="316" t="s">
        <v>984</v>
      </c>
      <c r="C194" s="316" t="s">
        <v>456</v>
      </c>
      <c r="D194" s="316" t="s">
        <v>987</v>
      </c>
      <c r="E194" s="602" t="s">
        <v>1543</v>
      </c>
      <c r="F194" s="603">
        <v>1007436.65</v>
      </c>
      <c r="G194" s="603">
        <v>1007188.66</v>
      </c>
      <c r="H194" s="603">
        <v>1005952.68</v>
      </c>
      <c r="I194" s="603">
        <v>1003898.25</v>
      </c>
      <c r="J194" s="603">
        <v>1001032.56</v>
      </c>
      <c r="K194" s="603">
        <v>418897.9</v>
      </c>
      <c r="L194" s="603">
        <v>408252.29</v>
      </c>
      <c r="M194" s="603">
        <v>407353.09</v>
      </c>
      <c r="N194" s="603">
        <v>405581.88</v>
      </c>
      <c r="O194" s="603">
        <v>404369.91999999998</v>
      </c>
      <c r="P194" s="603">
        <v>401034.88</v>
      </c>
      <c r="Q194" s="603">
        <v>399699.02</v>
      </c>
      <c r="R194" s="603">
        <v>329517.43</v>
      </c>
      <c r="S194" s="484">
        <f t="shared" si="43"/>
        <v>627644.84749999992</v>
      </c>
      <c r="T194" s="604"/>
      <c r="U194" s="642">
        <f>+S194</f>
        <v>627644.84749999992</v>
      </c>
      <c r="V194" s="679"/>
      <c r="W194" s="679"/>
      <c r="X194" s="702"/>
      <c r="Y194" s="679"/>
      <c r="Z194" s="679"/>
      <c r="AA194" s="642"/>
      <c r="AB194" s="679"/>
      <c r="AC194" s="643"/>
      <c r="AD194" s="644">
        <f t="shared" si="44"/>
        <v>627644.84749999992</v>
      </c>
      <c r="AE194" s="643"/>
      <c r="AF194" s="677">
        <f t="shared" si="34"/>
        <v>0</v>
      </c>
    </row>
    <row r="195" spans="1:32">
      <c r="A195" s="604">
        <v>181</v>
      </c>
      <c r="B195" s="316" t="s">
        <v>984</v>
      </c>
      <c r="C195" s="316" t="s">
        <v>456</v>
      </c>
      <c r="D195" s="316" t="s">
        <v>187</v>
      </c>
      <c r="E195" s="602" t="s">
        <v>1544</v>
      </c>
      <c r="F195" s="603">
        <v>145396.82</v>
      </c>
      <c r="G195" s="603">
        <v>148421.38</v>
      </c>
      <c r="H195" s="603">
        <v>128771.35</v>
      </c>
      <c r="I195" s="603">
        <v>129857.41</v>
      </c>
      <c r="J195" s="603">
        <v>112857.27</v>
      </c>
      <c r="K195" s="603">
        <v>114490.48</v>
      </c>
      <c r="L195" s="603">
        <v>117214.76</v>
      </c>
      <c r="M195" s="603">
        <v>119154.55</v>
      </c>
      <c r="N195" s="603">
        <v>121273.61</v>
      </c>
      <c r="O195" s="603">
        <v>120858.67</v>
      </c>
      <c r="P195" s="603">
        <v>120291.11</v>
      </c>
      <c r="Q195" s="603">
        <v>100655.08</v>
      </c>
      <c r="R195" s="603">
        <v>152233.85999999999</v>
      </c>
      <c r="S195" s="484">
        <f t="shared" si="43"/>
        <v>123555.08416666668</v>
      </c>
      <c r="T195" s="604"/>
      <c r="U195" s="642">
        <f>+S195</f>
        <v>123555.08416666668</v>
      </c>
      <c r="V195" s="679"/>
      <c r="W195" s="679"/>
      <c r="X195" s="702"/>
      <c r="Y195" s="679"/>
      <c r="Z195" s="679"/>
      <c r="AA195" s="642"/>
      <c r="AB195" s="679"/>
      <c r="AC195" s="643"/>
      <c r="AD195" s="644">
        <f t="shared" si="44"/>
        <v>123555.08416666668</v>
      </c>
      <c r="AE195" s="643"/>
      <c r="AF195" s="677">
        <f t="shared" si="34"/>
        <v>0</v>
      </c>
    </row>
    <row r="196" spans="1:32">
      <c r="A196" s="604">
        <v>182</v>
      </c>
      <c r="B196" s="316" t="s">
        <v>984</v>
      </c>
      <c r="C196" s="316" t="s">
        <v>456</v>
      </c>
      <c r="D196" s="316" t="s">
        <v>1311</v>
      </c>
      <c r="E196" s="602" t="s">
        <v>1534</v>
      </c>
      <c r="F196" s="603">
        <v>0</v>
      </c>
      <c r="G196" s="603">
        <v>0</v>
      </c>
      <c r="H196" s="603">
        <v>0</v>
      </c>
      <c r="I196" s="603">
        <v>0</v>
      </c>
      <c r="J196" s="603">
        <v>0</v>
      </c>
      <c r="K196" s="603">
        <v>39907.08</v>
      </c>
      <c r="L196" s="603">
        <v>39907.08</v>
      </c>
      <c r="M196" s="603">
        <v>39329.18</v>
      </c>
      <c r="N196" s="603">
        <v>40122.9</v>
      </c>
      <c r="O196" s="603">
        <v>38232.14</v>
      </c>
      <c r="P196" s="603">
        <v>38936.33</v>
      </c>
      <c r="Q196" s="603">
        <v>40231.5</v>
      </c>
      <c r="R196" s="603">
        <v>40231.5</v>
      </c>
      <c r="S196" s="484">
        <f t="shared" si="43"/>
        <v>24731.83</v>
      </c>
      <c r="T196" s="604"/>
      <c r="U196" s="642"/>
      <c r="V196" s="679"/>
      <c r="W196" s="679"/>
      <c r="X196" s="702">
        <f>+S196</f>
        <v>24731.83</v>
      </c>
      <c r="Y196" s="679"/>
      <c r="Z196" s="679">
        <f>+X196</f>
        <v>24731.83</v>
      </c>
      <c r="AA196" s="642"/>
      <c r="AB196" s="679"/>
      <c r="AC196" s="643"/>
      <c r="AD196" s="644"/>
      <c r="AE196" s="643"/>
      <c r="AF196" s="677"/>
    </row>
    <row r="197" spans="1:32">
      <c r="A197" s="604">
        <v>183</v>
      </c>
      <c r="B197" s="316" t="s">
        <v>984</v>
      </c>
      <c r="C197" s="316" t="s">
        <v>456</v>
      </c>
      <c r="D197" s="316" t="s">
        <v>1313</v>
      </c>
      <c r="E197" s="602" t="s">
        <v>1545</v>
      </c>
      <c r="F197" s="603">
        <v>65440.960000000101</v>
      </c>
      <c r="G197" s="603">
        <v>64077.61</v>
      </c>
      <c r="H197" s="603">
        <v>62714.26</v>
      </c>
      <c r="I197" s="603">
        <v>61350.9</v>
      </c>
      <c r="J197" s="603">
        <v>59987.55</v>
      </c>
      <c r="K197" s="603">
        <v>58624.2</v>
      </c>
      <c r="L197" s="603">
        <v>57260.84</v>
      </c>
      <c r="M197" s="603">
        <v>55897.49</v>
      </c>
      <c r="N197" s="603">
        <v>54534.14</v>
      </c>
      <c r="O197" s="603">
        <v>53170.78</v>
      </c>
      <c r="P197" s="603">
        <v>51807.43</v>
      </c>
      <c r="Q197" s="603">
        <v>50444.08</v>
      </c>
      <c r="R197" s="603">
        <v>49080.72</v>
      </c>
      <c r="S197" s="484">
        <f t="shared" si="43"/>
        <v>57260.843333333345</v>
      </c>
      <c r="T197" s="604"/>
      <c r="U197" s="642"/>
      <c r="V197" s="679"/>
      <c r="W197" s="679"/>
      <c r="X197" s="702">
        <f>+S197</f>
        <v>57260.843333333345</v>
      </c>
      <c r="Y197" s="679"/>
      <c r="Z197" s="679">
        <f>+X197</f>
        <v>57260.843333333345</v>
      </c>
      <c r="AA197" s="642"/>
      <c r="AB197" s="679"/>
      <c r="AC197" s="643"/>
      <c r="AD197" s="644"/>
      <c r="AE197" s="643"/>
      <c r="AF197" s="677"/>
    </row>
    <row r="198" spans="1:32">
      <c r="A198" s="604">
        <v>184</v>
      </c>
      <c r="B198" s="316" t="s">
        <v>959</v>
      </c>
      <c r="C198" s="316" t="s">
        <v>456</v>
      </c>
      <c r="D198" s="316" t="s">
        <v>1311</v>
      </c>
      <c r="E198" s="602" t="s">
        <v>1534</v>
      </c>
      <c r="F198" s="603">
        <v>0</v>
      </c>
      <c r="G198" s="603">
        <v>0</v>
      </c>
      <c r="H198" s="603">
        <v>0</v>
      </c>
      <c r="I198" s="603">
        <v>0</v>
      </c>
      <c r="J198" s="603">
        <v>0</v>
      </c>
      <c r="K198" s="603">
        <v>632689.85</v>
      </c>
      <c r="L198" s="603">
        <v>632689.85</v>
      </c>
      <c r="M198" s="603">
        <v>632689.85</v>
      </c>
      <c r="N198" s="603">
        <v>632689.85</v>
      </c>
      <c r="O198" s="603">
        <v>621617.1</v>
      </c>
      <c r="P198" s="603">
        <v>621617.1</v>
      </c>
      <c r="Q198" s="603">
        <v>621617.1</v>
      </c>
      <c r="R198" s="603">
        <v>621617.1</v>
      </c>
      <c r="S198" s="484">
        <f t="shared" si="43"/>
        <v>392201.60416666669</v>
      </c>
      <c r="T198" s="604"/>
      <c r="U198" s="642"/>
      <c r="V198" s="679"/>
      <c r="W198" s="679"/>
      <c r="X198" s="702">
        <f>+S198</f>
        <v>392201.60416666669</v>
      </c>
      <c r="Y198" s="679">
        <f>+X198</f>
        <v>392201.60416666669</v>
      </c>
      <c r="Z198" s="679"/>
      <c r="AA198" s="642"/>
      <c r="AB198" s="679"/>
      <c r="AC198" s="643"/>
      <c r="AD198" s="644">
        <f t="shared" si="44"/>
        <v>0</v>
      </c>
      <c r="AE198" s="643"/>
      <c r="AF198" s="677">
        <f t="shared" si="34"/>
        <v>0</v>
      </c>
    </row>
    <row r="199" spans="1:32">
      <c r="A199" s="604">
        <v>185</v>
      </c>
      <c r="B199" s="316" t="s">
        <v>959</v>
      </c>
      <c r="C199" s="316" t="s">
        <v>456</v>
      </c>
      <c r="D199" s="316" t="s">
        <v>1313</v>
      </c>
      <c r="E199" s="602" t="s">
        <v>1545</v>
      </c>
      <c r="F199" s="603">
        <v>248712.88</v>
      </c>
      <c r="G199" s="603">
        <v>246409.98</v>
      </c>
      <c r="H199" s="603">
        <v>244107.08</v>
      </c>
      <c r="I199" s="603">
        <v>241804.19</v>
      </c>
      <c r="J199" s="603">
        <v>239501.29</v>
      </c>
      <c r="K199" s="603">
        <v>237198.39</v>
      </c>
      <c r="L199" s="603">
        <v>234895.5</v>
      </c>
      <c r="M199" s="603">
        <v>232592.6</v>
      </c>
      <c r="N199" s="603">
        <v>230289.7</v>
      </c>
      <c r="O199" s="603">
        <v>227986.81</v>
      </c>
      <c r="P199" s="603">
        <v>225683.91</v>
      </c>
      <c r="Q199" s="603">
        <v>223381.01</v>
      </c>
      <c r="R199" s="603">
        <v>221078.12</v>
      </c>
      <c r="S199" s="484">
        <f t="shared" si="43"/>
        <v>234895.49666666667</v>
      </c>
      <c r="T199" s="604"/>
      <c r="U199" s="642"/>
      <c r="V199" s="679"/>
      <c r="W199" s="679"/>
      <c r="X199" s="702">
        <f>+S199</f>
        <v>234895.49666666667</v>
      </c>
      <c r="Y199" s="679">
        <f>+X199</f>
        <v>234895.49666666667</v>
      </c>
      <c r="Z199" s="679"/>
      <c r="AA199" s="642"/>
      <c r="AB199" s="679"/>
      <c r="AC199" s="643"/>
      <c r="AD199" s="644">
        <f>+U199</f>
        <v>0</v>
      </c>
      <c r="AE199" s="643"/>
      <c r="AF199" s="677">
        <f t="shared" si="34"/>
        <v>0</v>
      </c>
    </row>
    <row r="200" spans="1:32">
      <c r="A200" s="604">
        <v>186</v>
      </c>
      <c r="B200" s="316"/>
      <c r="C200" s="316"/>
      <c r="D200" s="316"/>
      <c r="E200" s="602"/>
      <c r="F200" s="603"/>
      <c r="G200" s="603"/>
      <c r="H200" s="603"/>
      <c r="I200" s="603"/>
      <c r="J200" s="603"/>
      <c r="K200" s="603"/>
      <c r="L200" s="603"/>
      <c r="M200" s="603"/>
      <c r="N200" s="603"/>
      <c r="O200" s="603"/>
      <c r="P200" s="603"/>
      <c r="Q200" s="603"/>
      <c r="R200" s="603"/>
      <c r="S200" s="294"/>
      <c r="T200" s="604"/>
      <c r="U200" s="642">
        <f>+S200</f>
        <v>0</v>
      </c>
      <c r="V200" s="679"/>
      <c r="W200" s="679"/>
      <c r="X200" s="702"/>
      <c r="Y200" s="679"/>
      <c r="Z200" s="679"/>
      <c r="AA200" s="642"/>
      <c r="AB200" s="679"/>
      <c r="AC200" s="643"/>
      <c r="AD200" s="644"/>
      <c r="AE200" s="643"/>
      <c r="AF200" s="677">
        <f t="shared" si="34"/>
        <v>0</v>
      </c>
    </row>
    <row r="201" spans="1:32">
      <c r="A201" s="604">
        <v>187</v>
      </c>
      <c r="B201" s="604" t="s">
        <v>984</v>
      </c>
      <c r="C201" s="604" t="s">
        <v>457</v>
      </c>
      <c r="D201" s="604" t="s">
        <v>437</v>
      </c>
      <c r="E201" s="589" t="s">
        <v>458</v>
      </c>
      <c r="F201" s="603">
        <v>593186.79</v>
      </c>
      <c r="G201" s="314">
        <v>0</v>
      </c>
      <c r="H201" s="305">
        <v>0</v>
      </c>
      <c r="I201" s="305">
        <v>0</v>
      </c>
      <c r="J201" s="306">
        <v>0</v>
      </c>
      <c r="K201" s="307">
        <v>0</v>
      </c>
      <c r="L201" s="308">
        <v>0</v>
      </c>
      <c r="M201" s="309">
        <v>0</v>
      </c>
      <c r="N201" s="310">
        <v>0</v>
      </c>
      <c r="O201" s="590">
        <v>0</v>
      </c>
      <c r="P201" s="311">
        <v>0</v>
      </c>
      <c r="Q201" s="315">
        <v>0</v>
      </c>
      <c r="R201" s="603">
        <v>0</v>
      </c>
      <c r="S201" s="484">
        <f t="shared" ref="S201:S206" si="45">((F201+R201)+((G201+H201+I201+J201+K201+L201+M201+N201+O201+P201+Q201)*2))/24</f>
        <v>24716.116250000003</v>
      </c>
      <c r="T201" s="604"/>
      <c r="U201" s="642"/>
      <c r="V201" s="679"/>
      <c r="W201" s="679"/>
      <c r="X201" s="702">
        <f>+S201</f>
        <v>24716.116250000003</v>
      </c>
      <c r="Y201" s="679"/>
      <c r="Z201" s="679"/>
      <c r="AA201" s="642"/>
      <c r="AB201" s="679">
        <f>+S201</f>
        <v>24716.116250000003</v>
      </c>
      <c r="AC201" s="643"/>
      <c r="AD201" s="643"/>
      <c r="AE201" s="643"/>
      <c r="AF201" s="677">
        <f t="shared" si="34"/>
        <v>0</v>
      </c>
    </row>
    <row r="202" spans="1:32">
      <c r="A202" s="604">
        <v>188</v>
      </c>
      <c r="B202" s="604" t="s">
        <v>959</v>
      </c>
      <c r="C202" s="316" t="s">
        <v>457</v>
      </c>
      <c r="D202" s="316" t="s">
        <v>450</v>
      </c>
      <c r="E202" s="602" t="s">
        <v>458</v>
      </c>
      <c r="F202" s="603">
        <v>40887966.869999997</v>
      </c>
      <c r="G202" s="603">
        <v>0</v>
      </c>
      <c r="H202" s="603">
        <v>0</v>
      </c>
      <c r="I202" s="603">
        <v>0</v>
      </c>
      <c r="J202" s="603">
        <v>0</v>
      </c>
      <c r="K202" s="603">
        <v>0</v>
      </c>
      <c r="L202" s="603">
        <v>0</v>
      </c>
      <c r="M202" s="603">
        <v>0</v>
      </c>
      <c r="N202" s="603">
        <v>0</v>
      </c>
      <c r="O202" s="603">
        <v>0</v>
      </c>
      <c r="P202" s="603">
        <v>0</v>
      </c>
      <c r="Q202" s="603">
        <v>0</v>
      </c>
      <c r="R202" s="603">
        <v>0</v>
      </c>
      <c r="S202" s="484">
        <f t="shared" si="45"/>
        <v>1703665.2862499999</v>
      </c>
      <c r="T202" s="604"/>
      <c r="U202" s="642"/>
      <c r="V202" s="679"/>
      <c r="W202" s="679"/>
      <c r="X202" s="702">
        <f>+S202</f>
        <v>1703665.2862499999</v>
      </c>
      <c r="Y202" s="679"/>
      <c r="Z202" s="679"/>
      <c r="AA202" s="642"/>
      <c r="AB202" s="679">
        <f>+S202</f>
        <v>1703665.2862499999</v>
      </c>
      <c r="AC202" s="643"/>
      <c r="AD202" s="643"/>
      <c r="AE202" s="643"/>
      <c r="AF202" s="677">
        <f t="shared" si="34"/>
        <v>0</v>
      </c>
    </row>
    <row r="203" spans="1:32">
      <c r="A203" s="604">
        <v>189</v>
      </c>
      <c r="B203" s="604" t="s">
        <v>1844</v>
      </c>
      <c r="C203" s="316" t="s">
        <v>457</v>
      </c>
      <c r="D203" s="316" t="s">
        <v>1851</v>
      </c>
      <c r="E203" s="602" t="s">
        <v>1852</v>
      </c>
      <c r="F203" s="603">
        <v>0</v>
      </c>
      <c r="G203" s="603">
        <v>0</v>
      </c>
      <c r="H203" s="603">
        <v>2342139.6</v>
      </c>
      <c r="I203" s="603">
        <v>3399048.29</v>
      </c>
      <c r="J203" s="603">
        <v>4027988.3</v>
      </c>
      <c r="K203" s="603">
        <v>4380204.8499999996</v>
      </c>
      <c r="L203" s="603">
        <v>4728970.04</v>
      </c>
      <c r="M203" s="603">
        <v>5196910.95</v>
      </c>
      <c r="N203" s="603">
        <v>6194887.6500000004</v>
      </c>
      <c r="O203" s="603">
        <v>4675781.1500000004</v>
      </c>
      <c r="P203" s="603">
        <v>5056612.16</v>
      </c>
      <c r="Q203" s="603">
        <v>4649236.16</v>
      </c>
      <c r="R203" s="603">
        <v>5008566.5</v>
      </c>
      <c r="S203" s="484">
        <f t="shared" si="45"/>
        <v>3929671.8666666658</v>
      </c>
      <c r="T203" s="604"/>
      <c r="U203" s="642">
        <f>+S203</f>
        <v>3929671.8666666658</v>
      </c>
      <c r="V203" s="679"/>
      <c r="W203" s="679"/>
      <c r="X203" s="702"/>
      <c r="Y203" s="679"/>
      <c r="Z203" s="679"/>
      <c r="AA203" s="642"/>
      <c r="AB203" s="679"/>
      <c r="AC203" s="643"/>
      <c r="AD203" s="644">
        <f>+S203</f>
        <v>3929671.8666666658</v>
      </c>
      <c r="AE203" s="643"/>
      <c r="AF203" s="677"/>
    </row>
    <row r="204" spans="1:32">
      <c r="A204" s="604">
        <v>190</v>
      </c>
      <c r="B204" s="604" t="s">
        <v>1844</v>
      </c>
      <c r="C204" s="316" t="s">
        <v>457</v>
      </c>
      <c r="D204" s="316" t="s">
        <v>1853</v>
      </c>
      <c r="E204" s="602" t="s">
        <v>1852</v>
      </c>
      <c r="F204" s="603">
        <v>0</v>
      </c>
      <c r="G204" s="603">
        <v>47946602.299999997</v>
      </c>
      <c r="H204" s="603">
        <v>67505586.75</v>
      </c>
      <c r="I204" s="603">
        <v>57823020.020000003</v>
      </c>
      <c r="J204" s="603">
        <v>56865822.530000001</v>
      </c>
      <c r="K204" s="603">
        <v>58478877.130000003</v>
      </c>
      <c r="L204" s="603">
        <v>60718799.259999998</v>
      </c>
      <c r="M204" s="603">
        <v>62935207.299999997</v>
      </c>
      <c r="N204" s="603">
        <v>66002326.009999998</v>
      </c>
      <c r="O204" s="603">
        <v>34706739.090000004</v>
      </c>
      <c r="P204" s="603">
        <v>35180151.969999999</v>
      </c>
      <c r="Q204" s="603">
        <v>33787613.960000001</v>
      </c>
      <c r="R204" s="603">
        <v>37814583.32</v>
      </c>
      <c r="S204" s="484">
        <f t="shared" si="45"/>
        <v>50071503.164999999</v>
      </c>
      <c r="T204" s="604"/>
      <c r="U204" s="642">
        <f>+S204</f>
        <v>50071503.164999999</v>
      </c>
      <c r="V204" s="679"/>
      <c r="W204" s="679"/>
      <c r="X204" s="702"/>
      <c r="Y204" s="679"/>
      <c r="Z204" s="679"/>
      <c r="AA204" s="642"/>
      <c r="AB204" s="679"/>
      <c r="AD204" s="644">
        <f>+S204</f>
        <v>50071503.164999999</v>
      </c>
      <c r="AE204" s="643"/>
      <c r="AF204" s="677"/>
    </row>
    <row r="205" spans="1:32">
      <c r="A205" s="604">
        <v>191</v>
      </c>
      <c r="B205" s="604" t="s">
        <v>1844</v>
      </c>
      <c r="C205" s="316" t="s">
        <v>457</v>
      </c>
      <c r="D205" s="316" t="s">
        <v>1854</v>
      </c>
      <c r="E205" s="602" t="s">
        <v>1852</v>
      </c>
      <c r="F205" s="603">
        <v>0</v>
      </c>
      <c r="G205" s="603">
        <v>0</v>
      </c>
      <c r="H205" s="603">
        <v>0</v>
      </c>
      <c r="I205" s="603">
        <v>30228787.370000001</v>
      </c>
      <c r="J205" s="603">
        <v>30305289.539999999</v>
      </c>
      <c r="K205" s="603">
        <v>29534495.120000001</v>
      </c>
      <c r="L205" s="603">
        <v>29095371.93</v>
      </c>
      <c r="M205" s="603">
        <v>28758376.969999999</v>
      </c>
      <c r="N205" s="603">
        <v>28468854.23</v>
      </c>
      <c r="O205" s="603">
        <v>53618901.579999998</v>
      </c>
      <c r="P205" s="603">
        <v>52727328.140000001</v>
      </c>
      <c r="Q205" s="603">
        <v>50721235.899999999</v>
      </c>
      <c r="R205" s="603">
        <v>46381080.18</v>
      </c>
      <c r="S205" s="484">
        <f t="shared" si="45"/>
        <v>29720765.072499994</v>
      </c>
      <c r="T205" s="604"/>
      <c r="U205" s="642">
        <f>+S205</f>
        <v>29720765.072499994</v>
      </c>
      <c r="V205" s="679"/>
      <c r="W205" s="679"/>
      <c r="X205" s="702"/>
      <c r="Y205" s="679"/>
      <c r="Z205" s="679"/>
      <c r="AA205" s="642"/>
      <c r="AB205" s="679"/>
      <c r="AD205" s="644">
        <f>+S205</f>
        <v>29720765.072499994</v>
      </c>
      <c r="AE205" s="643"/>
      <c r="AF205" s="677"/>
    </row>
    <row r="206" spans="1:32">
      <c r="A206" s="604">
        <v>192</v>
      </c>
      <c r="B206" s="604"/>
      <c r="C206" s="604"/>
      <c r="D206" s="604"/>
      <c r="E206" s="589"/>
      <c r="F206" s="603"/>
      <c r="G206" s="314"/>
      <c r="H206" s="305"/>
      <c r="I206" s="305"/>
      <c r="J206" s="306"/>
      <c r="K206" s="307"/>
      <c r="L206" s="308"/>
      <c r="M206" s="309"/>
      <c r="N206" s="310"/>
      <c r="O206" s="590"/>
      <c r="P206" s="311"/>
      <c r="Q206" s="315"/>
      <c r="R206" s="603"/>
      <c r="S206" s="484">
        <f t="shared" si="45"/>
        <v>0</v>
      </c>
      <c r="T206" s="604"/>
      <c r="U206" s="642"/>
      <c r="V206" s="679"/>
      <c r="W206" s="679"/>
      <c r="X206" s="702"/>
      <c r="Y206" s="679"/>
      <c r="Z206" s="679"/>
      <c r="AA206" s="642"/>
      <c r="AB206" s="679"/>
      <c r="AC206" s="643"/>
      <c r="AD206" s="643"/>
      <c r="AE206" s="643"/>
      <c r="AF206" s="677">
        <f t="shared" si="34"/>
        <v>0</v>
      </c>
    </row>
    <row r="207" spans="1:32">
      <c r="A207" s="604">
        <v>193</v>
      </c>
      <c r="B207" s="316" t="s">
        <v>956</v>
      </c>
      <c r="C207" s="522" t="s">
        <v>459</v>
      </c>
      <c r="D207" s="316" t="s">
        <v>460</v>
      </c>
      <c r="E207" s="602" t="s">
        <v>461</v>
      </c>
      <c r="F207" s="603">
        <v>58463.57</v>
      </c>
      <c r="G207" s="603">
        <v>57904.11</v>
      </c>
      <c r="H207" s="603">
        <v>57344.65</v>
      </c>
      <c r="I207" s="603">
        <v>56785.19</v>
      </c>
      <c r="J207" s="603">
        <v>56225.73</v>
      </c>
      <c r="K207" s="603">
        <v>55666.27</v>
      </c>
      <c r="L207" s="603">
        <v>55106.81</v>
      </c>
      <c r="M207" s="603">
        <v>54547.35</v>
      </c>
      <c r="N207" s="603">
        <v>53987.89</v>
      </c>
      <c r="O207" s="603">
        <v>53428.43</v>
      </c>
      <c r="P207" s="603">
        <v>52868.97</v>
      </c>
      <c r="Q207" s="603">
        <v>52309.51</v>
      </c>
      <c r="R207" s="603">
        <v>51750.05</v>
      </c>
      <c r="S207" s="484">
        <f t="shared" ref="S207:S223" si="46">((F207+R207)+((G207+H207+I207+J207+K207+L207+M207+N207+O207+P207+Q207)*2))/24</f>
        <v>55106.81</v>
      </c>
      <c r="T207" s="604"/>
      <c r="U207" s="642"/>
      <c r="V207" s="679"/>
      <c r="W207" s="679">
        <f>+S207</f>
        <v>55106.81</v>
      </c>
      <c r="X207" s="702"/>
      <c r="Y207" s="679"/>
      <c r="Z207" s="679"/>
      <c r="AA207" s="642"/>
      <c r="AB207" s="679"/>
      <c r="AC207" s="644">
        <f t="shared" ref="AC207:AC218" si="47">+S207</f>
        <v>55106.81</v>
      </c>
      <c r="AD207" s="643"/>
      <c r="AE207" s="643"/>
      <c r="AF207" s="677">
        <f t="shared" si="34"/>
        <v>0</v>
      </c>
    </row>
    <row r="208" spans="1:32">
      <c r="A208" s="604">
        <v>194</v>
      </c>
      <c r="B208" s="316" t="s">
        <v>956</v>
      </c>
      <c r="C208" s="522" t="s">
        <v>459</v>
      </c>
      <c r="D208" s="316" t="s">
        <v>462</v>
      </c>
      <c r="E208" s="602" t="s">
        <v>463</v>
      </c>
      <c r="F208" s="603">
        <v>51189.82</v>
      </c>
      <c r="G208" s="603">
        <v>50770.22</v>
      </c>
      <c r="H208" s="603">
        <v>50350.62</v>
      </c>
      <c r="I208" s="603">
        <v>49931.02</v>
      </c>
      <c r="J208" s="603">
        <v>49511.42</v>
      </c>
      <c r="K208" s="603">
        <v>49091.82</v>
      </c>
      <c r="L208" s="603">
        <v>48672.22</v>
      </c>
      <c r="M208" s="603">
        <v>48252.62</v>
      </c>
      <c r="N208" s="603">
        <v>47833.02</v>
      </c>
      <c r="O208" s="603">
        <v>47413.42</v>
      </c>
      <c r="P208" s="603">
        <v>46993.82</v>
      </c>
      <c r="Q208" s="603">
        <v>46574.22</v>
      </c>
      <c r="R208" s="603">
        <v>46154.62</v>
      </c>
      <c r="S208" s="484">
        <f t="shared" si="46"/>
        <v>48672.219999999994</v>
      </c>
      <c r="T208" s="604"/>
      <c r="U208" s="642"/>
      <c r="V208" s="679"/>
      <c r="W208" s="679">
        <f t="shared" ref="W208:W221" si="48">+S208</f>
        <v>48672.219999999994</v>
      </c>
      <c r="X208" s="702"/>
      <c r="Y208" s="679"/>
      <c r="Z208" s="679"/>
      <c r="AA208" s="642"/>
      <c r="AB208" s="679"/>
      <c r="AC208" s="644">
        <f t="shared" si="47"/>
        <v>48672.219999999994</v>
      </c>
      <c r="AD208" s="643"/>
      <c r="AE208" s="643"/>
      <c r="AF208" s="677">
        <f t="shared" si="34"/>
        <v>0</v>
      </c>
    </row>
    <row r="209" spans="1:32">
      <c r="A209" s="604">
        <v>195</v>
      </c>
      <c r="B209" s="316" t="s">
        <v>956</v>
      </c>
      <c r="C209" s="522" t="s">
        <v>459</v>
      </c>
      <c r="D209" s="316" t="s">
        <v>464</v>
      </c>
      <c r="E209" s="602" t="s">
        <v>465</v>
      </c>
      <c r="F209" s="603">
        <v>852667.05</v>
      </c>
      <c r="G209" s="603">
        <v>848249.09</v>
      </c>
      <c r="H209" s="603">
        <v>843138.35</v>
      </c>
      <c r="I209" s="603">
        <v>838724.01</v>
      </c>
      <c r="J209" s="603">
        <v>834309.67</v>
      </c>
      <c r="K209" s="603">
        <v>826758.64</v>
      </c>
      <c r="L209" s="603">
        <v>822360.99</v>
      </c>
      <c r="M209" s="603">
        <v>817963.34</v>
      </c>
      <c r="N209" s="603">
        <v>813230.18</v>
      </c>
      <c r="O209" s="603">
        <v>808834.34</v>
      </c>
      <c r="P209" s="603">
        <v>804438.5</v>
      </c>
      <c r="Q209" s="603">
        <v>799217.51</v>
      </c>
      <c r="R209" s="603">
        <v>794826.2</v>
      </c>
      <c r="S209" s="484">
        <f t="shared" si="46"/>
        <v>823414.27041666664</v>
      </c>
      <c r="T209" s="604"/>
      <c r="U209" s="642"/>
      <c r="V209" s="679"/>
      <c r="W209" s="679">
        <f t="shared" si="48"/>
        <v>823414.27041666664</v>
      </c>
      <c r="X209" s="702"/>
      <c r="Y209" s="679"/>
      <c r="Z209" s="679"/>
      <c r="AA209" s="642"/>
      <c r="AB209" s="679"/>
      <c r="AC209" s="644">
        <f t="shared" si="47"/>
        <v>823414.27041666664</v>
      </c>
      <c r="AD209" s="643"/>
      <c r="AE209" s="643"/>
      <c r="AF209" s="677">
        <f t="shared" si="34"/>
        <v>0</v>
      </c>
    </row>
    <row r="210" spans="1:32">
      <c r="A210" s="604">
        <v>196</v>
      </c>
      <c r="B210" s="316" t="s">
        <v>956</v>
      </c>
      <c r="C210" s="522" t="s">
        <v>459</v>
      </c>
      <c r="D210" s="316" t="s">
        <v>466</v>
      </c>
      <c r="E210" s="602" t="s">
        <v>467</v>
      </c>
      <c r="F210" s="603">
        <v>25296.48</v>
      </c>
      <c r="G210" s="603">
        <v>23948.42</v>
      </c>
      <c r="H210" s="603">
        <v>22600.36</v>
      </c>
      <c r="I210" s="603">
        <v>21252.3</v>
      </c>
      <c r="J210" s="603">
        <v>19904.240000000002</v>
      </c>
      <c r="K210" s="603">
        <v>18556.18</v>
      </c>
      <c r="L210" s="603">
        <v>17208.12</v>
      </c>
      <c r="M210" s="603">
        <v>15860.06</v>
      </c>
      <c r="N210" s="603">
        <v>14512</v>
      </c>
      <c r="O210" s="603">
        <v>13163.94</v>
      </c>
      <c r="P210" s="603">
        <v>11815.88</v>
      </c>
      <c r="Q210" s="603">
        <v>10467.82</v>
      </c>
      <c r="R210" s="603">
        <v>9119.7599999999893</v>
      </c>
      <c r="S210" s="484">
        <f t="shared" si="46"/>
        <v>17208.12</v>
      </c>
      <c r="T210" s="604"/>
      <c r="U210" s="642"/>
      <c r="V210" s="679"/>
      <c r="W210" s="679">
        <f t="shared" si="48"/>
        <v>17208.12</v>
      </c>
      <c r="X210" s="702"/>
      <c r="Y210" s="679"/>
      <c r="Z210" s="679"/>
      <c r="AA210" s="642"/>
      <c r="AB210" s="679"/>
      <c r="AC210" s="644">
        <f t="shared" si="47"/>
        <v>17208.12</v>
      </c>
      <c r="AD210" s="643"/>
      <c r="AE210" s="643"/>
      <c r="AF210" s="677">
        <f t="shared" si="34"/>
        <v>0</v>
      </c>
    </row>
    <row r="211" spans="1:32">
      <c r="A211" s="604">
        <v>197</v>
      </c>
      <c r="B211" s="316" t="s">
        <v>956</v>
      </c>
      <c r="C211" s="522" t="s">
        <v>459</v>
      </c>
      <c r="D211" s="316" t="s">
        <v>468</v>
      </c>
      <c r="E211" s="602" t="s">
        <v>469</v>
      </c>
      <c r="F211" s="603">
        <v>141205.07999999999</v>
      </c>
      <c r="G211" s="603">
        <v>140557.57999999999</v>
      </c>
      <c r="H211" s="603">
        <v>139910.07999999999</v>
      </c>
      <c r="I211" s="603">
        <v>139262.57999999999</v>
      </c>
      <c r="J211" s="603">
        <v>138615.07999999999</v>
      </c>
      <c r="K211" s="603">
        <v>137967.57999999999</v>
      </c>
      <c r="L211" s="603">
        <v>137320.07999999999</v>
      </c>
      <c r="M211" s="603">
        <v>136672.57999999999</v>
      </c>
      <c r="N211" s="603">
        <v>136025.07999999999</v>
      </c>
      <c r="O211" s="603">
        <v>135377.57999999999</v>
      </c>
      <c r="P211" s="603">
        <v>134730.07999999999</v>
      </c>
      <c r="Q211" s="603">
        <v>134082.57999999999</v>
      </c>
      <c r="R211" s="603">
        <v>133435.07999999999</v>
      </c>
      <c r="S211" s="484">
        <f t="shared" si="46"/>
        <v>137320.08000000002</v>
      </c>
      <c r="T211" s="604"/>
      <c r="U211" s="642"/>
      <c r="V211" s="679"/>
      <c r="W211" s="679">
        <f t="shared" si="48"/>
        <v>137320.08000000002</v>
      </c>
      <c r="X211" s="702"/>
      <c r="Y211" s="679"/>
      <c r="Z211" s="679"/>
      <c r="AA211" s="642"/>
      <c r="AB211" s="679"/>
      <c r="AC211" s="644">
        <f t="shared" si="47"/>
        <v>137320.08000000002</v>
      </c>
      <c r="AD211" s="643"/>
      <c r="AE211" s="643"/>
      <c r="AF211" s="677">
        <f t="shared" si="34"/>
        <v>0</v>
      </c>
    </row>
    <row r="212" spans="1:32">
      <c r="A212" s="604">
        <v>198</v>
      </c>
      <c r="B212" s="316" t="s">
        <v>956</v>
      </c>
      <c r="C212" s="522" t="s">
        <v>459</v>
      </c>
      <c r="D212" s="316" t="s">
        <v>470</v>
      </c>
      <c r="E212" s="523" t="s">
        <v>471</v>
      </c>
      <c r="F212" s="603">
        <v>82844.59</v>
      </c>
      <c r="G212" s="603">
        <v>81795.92</v>
      </c>
      <c r="H212" s="603">
        <v>80747.25</v>
      </c>
      <c r="I212" s="603">
        <v>79698.58</v>
      </c>
      <c r="J212" s="603">
        <v>78649.91</v>
      </c>
      <c r="K212" s="603">
        <v>77601.240000000005</v>
      </c>
      <c r="L212" s="603">
        <v>76552.570000000007</v>
      </c>
      <c r="M212" s="603">
        <v>75503.899999999994</v>
      </c>
      <c r="N212" s="603">
        <v>74455.23</v>
      </c>
      <c r="O212" s="603">
        <v>73406.559999999998</v>
      </c>
      <c r="P212" s="603">
        <v>72357.89</v>
      </c>
      <c r="Q212" s="603">
        <v>71309.22</v>
      </c>
      <c r="R212" s="603">
        <v>70260.55</v>
      </c>
      <c r="S212" s="484">
        <f t="shared" si="46"/>
        <v>76552.569999999992</v>
      </c>
      <c r="T212" s="604"/>
      <c r="U212" s="642"/>
      <c r="V212" s="679"/>
      <c r="W212" s="679">
        <f t="shared" si="48"/>
        <v>76552.569999999992</v>
      </c>
      <c r="X212" s="702"/>
      <c r="Y212" s="679"/>
      <c r="Z212" s="679"/>
      <c r="AA212" s="642"/>
      <c r="AB212" s="679"/>
      <c r="AC212" s="644">
        <f t="shared" si="47"/>
        <v>76552.569999999992</v>
      </c>
      <c r="AD212" s="643"/>
      <c r="AE212" s="643"/>
      <c r="AF212" s="677">
        <f t="shared" si="34"/>
        <v>0</v>
      </c>
    </row>
    <row r="213" spans="1:32">
      <c r="A213" s="604">
        <v>199</v>
      </c>
      <c r="B213" s="316" t="s">
        <v>956</v>
      </c>
      <c r="C213" s="522" t="s">
        <v>459</v>
      </c>
      <c r="D213" s="316" t="s">
        <v>472</v>
      </c>
      <c r="E213" s="523" t="s">
        <v>473</v>
      </c>
      <c r="F213" s="603">
        <v>96477.490000000107</v>
      </c>
      <c r="G213" s="603">
        <v>95638.56</v>
      </c>
      <c r="H213" s="603">
        <v>94799.63</v>
      </c>
      <c r="I213" s="603">
        <v>93960.7</v>
      </c>
      <c r="J213" s="603">
        <v>93121.77</v>
      </c>
      <c r="K213" s="603">
        <v>92282.84</v>
      </c>
      <c r="L213" s="603">
        <v>91443.91</v>
      </c>
      <c r="M213" s="603">
        <v>90604.980000000098</v>
      </c>
      <c r="N213" s="603">
        <v>89766.050000000105</v>
      </c>
      <c r="O213" s="603">
        <v>88927.120000000097</v>
      </c>
      <c r="P213" s="603">
        <v>88088.190000000104</v>
      </c>
      <c r="Q213" s="603">
        <v>87249.260000000097</v>
      </c>
      <c r="R213" s="603">
        <v>86410.330000000104</v>
      </c>
      <c r="S213" s="484">
        <f t="shared" si="46"/>
        <v>91443.910000000047</v>
      </c>
      <c r="T213" s="604"/>
      <c r="U213" s="642"/>
      <c r="V213" s="679"/>
      <c r="W213" s="679">
        <f t="shared" si="48"/>
        <v>91443.910000000047</v>
      </c>
      <c r="X213" s="702"/>
      <c r="Y213" s="679"/>
      <c r="Z213" s="679"/>
      <c r="AA213" s="642"/>
      <c r="AB213" s="679"/>
      <c r="AC213" s="644">
        <f t="shared" si="47"/>
        <v>91443.910000000047</v>
      </c>
      <c r="AD213" s="643"/>
      <c r="AE213" s="643"/>
      <c r="AF213" s="677">
        <f t="shared" si="34"/>
        <v>0</v>
      </c>
    </row>
    <row r="214" spans="1:32">
      <c r="A214" s="604">
        <v>200</v>
      </c>
      <c r="B214" s="316" t="s">
        <v>956</v>
      </c>
      <c r="C214" s="522" t="s">
        <v>459</v>
      </c>
      <c r="D214" s="316" t="s">
        <v>444</v>
      </c>
      <c r="E214" s="523" t="s">
        <v>474</v>
      </c>
      <c r="F214" s="603">
        <v>98736.3100000001</v>
      </c>
      <c r="G214" s="603">
        <v>92153.88</v>
      </c>
      <c r="H214" s="603">
        <v>85571.45</v>
      </c>
      <c r="I214" s="603">
        <v>78989.02</v>
      </c>
      <c r="J214" s="603">
        <v>72406.59</v>
      </c>
      <c r="K214" s="603">
        <v>65824.160000000003</v>
      </c>
      <c r="L214" s="603">
        <v>314578.2</v>
      </c>
      <c r="M214" s="603">
        <v>318917.87</v>
      </c>
      <c r="N214" s="603">
        <v>375952.24</v>
      </c>
      <c r="O214" s="603">
        <v>369356.59</v>
      </c>
      <c r="P214" s="603">
        <v>362760.94</v>
      </c>
      <c r="Q214" s="603">
        <v>356165.29</v>
      </c>
      <c r="R214" s="603">
        <v>349569.64</v>
      </c>
      <c r="S214" s="484">
        <f t="shared" si="46"/>
        <v>226402.43375000005</v>
      </c>
      <c r="T214" s="604"/>
      <c r="U214" s="642"/>
      <c r="V214" s="679"/>
      <c r="W214" s="679">
        <f t="shared" si="48"/>
        <v>226402.43375000005</v>
      </c>
      <c r="X214" s="702"/>
      <c r="Y214" s="679"/>
      <c r="Z214" s="679"/>
      <c r="AA214" s="642"/>
      <c r="AB214" s="679"/>
      <c r="AC214" s="644">
        <f t="shared" si="47"/>
        <v>226402.43375000005</v>
      </c>
      <c r="AD214" s="643"/>
      <c r="AE214" s="643"/>
      <c r="AF214" s="677">
        <f t="shared" si="34"/>
        <v>0</v>
      </c>
    </row>
    <row r="215" spans="1:32">
      <c r="A215" s="604">
        <v>201</v>
      </c>
      <c r="B215" s="316" t="s">
        <v>956</v>
      </c>
      <c r="C215" s="522" t="s">
        <v>459</v>
      </c>
      <c r="D215" s="316" t="s">
        <v>475</v>
      </c>
      <c r="E215" s="523" t="s">
        <v>1855</v>
      </c>
      <c r="F215" s="603">
        <v>53780.84</v>
      </c>
      <c r="G215" s="603">
        <v>53607.35</v>
      </c>
      <c r="H215" s="603">
        <v>53433.86</v>
      </c>
      <c r="I215" s="603">
        <v>53260.37</v>
      </c>
      <c r="J215" s="603">
        <v>53086.879999999997</v>
      </c>
      <c r="K215" s="603">
        <v>52913.39</v>
      </c>
      <c r="L215" s="603">
        <v>52739.9</v>
      </c>
      <c r="M215" s="603">
        <v>52566.41</v>
      </c>
      <c r="N215" s="603">
        <v>52392.92</v>
      </c>
      <c r="O215" s="603">
        <v>52219.43</v>
      </c>
      <c r="P215" s="603">
        <v>52045.94</v>
      </c>
      <c r="Q215" s="603">
        <v>51872.45</v>
      </c>
      <c r="R215" s="603">
        <v>51698.96</v>
      </c>
      <c r="S215" s="484">
        <f t="shared" si="46"/>
        <v>52739.899999999994</v>
      </c>
      <c r="T215" s="604"/>
      <c r="U215" s="642"/>
      <c r="V215" s="679"/>
      <c r="W215" s="679">
        <f t="shared" si="48"/>
        <v>52739.899999999994</v>
      </c>
      <c r="X215" s="702"/>
      <c r="Y215" s="679"/>
      <c r="Z215" s="679"/>
      <c r="AA215" s="642"/>
      <c r="AB215" s="679"/>
      <c r="AC215" s="644">
        <f t="shared" si="47"/>
        <v>52739.899999999994</v>
      </c>
      <c r="AD215" s="643"/>
      <c r="AE215" s="643"/>
      <c r="AF215" s="677">
        <f t="shared" si="34"/>
        <v>0</v>
      </c>
    </row>
    <row r="216" spans="1:32">
      <c r="A216" s="604">
        <v>202</v>
      </c>
      <c r="B216" s="316" t="s">
        <v>956</v>
      </c>
      <c r="C216" s="522" t="s">
        <v>459</v>
      </c>
      <c r="D216" s="316" t="s">
        <v>476</v>
      </c>
      <c r="E216" s="523" t="s">
        <v>1856</v>
      </c>
      <c r="F216" s="603">
        <v>54740.34</v>
      </c>
      <c r="G216" s="603">
        <v>54613.04</v>
      </c>
      <c r="H216" s="603">
        <v>54485.74</v>
      </c>
      <c r="I216" s="603">
        <v>54358.44</v>
      </c>
      <c r="J216" s="603">
        <v>54231.14</v>
      </c>
      <c r="K216" s="603">
        <v>54103.839999999997</v>
      </c>
      <c r="L216" s="603">
        <v>53976.54</v>
      </c>
      <c r="M216" s="603">
        <v>53849.24</v>
      </c>
      <c r="N216" s="603">
        <v>53721.94</v>
      </c>
      <c r="O216" s="603">
        <v>53594.64</v>
      </c>
      <c r="P216" s="603">
        <v>53467.34</v>
      </c>
      <c r="Q216" s="603">
        <v>53340.04</v>
      </c>
      <c r="R216" s="603">
        <v>53212.74</v>
      </c>
      <c r="S216" s="484">
        <f t="shared" si="46"/>
        <v>53976.54</v>
      </c>
      <c r="T216" s="604"/>
      <c r="U216" s="642"/>
      <c r="V216" s="679"/>
      <c r="W216" s="679">
        <f t="shared" si="48"/>
        <v>53976.54</v>
      </c>
      <c r="X216" s="702"/>
      <c r="Y216" s="679"/>
      <c r="Z216" s="679"/>
      <c r="AA216" s="642"/>
      <c r="AB216" s="679"/>
      <c r="AC216" s="644">
        <f t="shared" si="47"/>
        <v>53976.54</v>
      </c>
      <c r="AD216" s="643"/>
      <c r="AE216" s="643"/>
      <c r="AF216" s="677">
        <f t="shared" si="34"/>
        <v>0</v>
      </c>
    </row>
    <row r="217" spans="1:32">
      <c r="A217" s="604">
        <v>203</v>
      </c>
      <c r="B217" s="316" t="s">
        <v>956</v>
      </c>
      <c r="C217" s="522" t="s">
        <v>459</v>
      </c>
      <c r="D217" s="316" t="s">
        <v>477</v>
      </c>
      <c r="E217" s="523" t="s">
        <v>1857</v>
      </c>
      <c r="F217" s="603">
        <v>54127.82</v>
      </c>
      <c r="G217" s="603">
        <v>53954.33</v>
      </c>
      <c r="H217" s="603">
        <v>53780.84</v>
      </c>
      <c r="I217" s="603">
        <v>53607.35</v>
      </c>
      <c r="J217" s="603">
        <v>53433.86</v>
      </c>
      <c r="K217" s="603">
        <v>53260.37</v>
      </c>
      <c r="L217" s="603">
        <v>53086.879999999997</v>
      </c>
      <c r="M217" s="603">
        <v>52913.39</v>
      </c>
      <c r="N217" s="603">
        <v>52739.9</v>
      </c>
      <c r="O217" s="603">
        <v>52566.41</v>
      </c>
      <c r="P217" s="603">
        <v>52392.92</v>
      </c>
      <c r="Q217" s="603">
        <v>52219.43</v>
      </c>
      <c r="R217" s="603">
        <v>52045.94</v>
      </c>
      <c r="S217" s="484">
        <f t="shared" si="46"/>
        <v>53086.880000000012</v>
      </c>
      <c r="T217" s="604"/>
      <c r="U217" s="642"/>
      <c r="V217" s="679"/>
      <c r="W217" s="679">
        <f t="shared" si="48"/>
        <v>53086.880000000012</v>
      </c>
      <c r="X217" s="702"/>
      <c r="Y217" s="679"/>
      <c r="Z217" s="679"/>
      <c r="AA217" s="642"/>
      <c r="AB217" s="679"/>
      <c r="AC217" s="644">
        <f t="shared" si="47"/>
        <v>53086.880000000012</v>
      </c>
      <c r="AD217" s="643"/>
      <c r="AE217" s="643"/>
      <c r="AF217" s="677">
        <f t="shared" si="34"/>
        <v>0</v>
      </c>
    </row>
    <row r="218" spans="1:32">
      <c r="A218" s="604">
        <v>204</v>
      </c>
      <c r="B218" s="316" t="s">
        <v>956</v>
      </c>
      <c r="C218" s="522" t="s">
        <v>459</v>
      </c>
      <c r="D218" s="316" t="s">
        <v>478</v>
      </c>
      <c r="E218" s="523" t="s">
        <v>1858</v>
      </c>
      <c r="F218" s="603">
        <v>54994.94</v>
      </c>
      <c r="G218" s="603">
        <v>54867.64</v>
      </c>
      <c r="H218" s="603">
        <v>54740.34</v>
      </c>
      <c r="I218" s="603">
        <v>54613.04</v>
      </c>
      <c r="J218" s="603">
        <v>54485.74</v>
      </c>
      <c r="K218" s="603">
        <v>54358.44</v>
      </c>
      <c r="L218" s="603">
        <v>54231.14</v>
      </c>
      <c r="M218" s="603">
        <v>54103.839999999997</v>
      </c>
      <c r="N218" s="603">
        <v>53976.54</v>
      </c>
      <c r="O218" s="603">
        <v>53849.24</v>
      </c>
      <c r="P218" s="603">
        <v>53721.94</v>
      </c>
      <c r="Q218" s="603">
        <v>53594.64</v>
      </c>
      <c r="R218" s="603">
        <v>53467.34</v>
      </c>
      <c r="S218" s="484">
        <f t="shared" si="46"/>
        <v>54231.139999999992</v>
      </c>
      <c r="T218" s="604"/>
      <c r="U218" s="642"/>
      <c r="V218" s="679"/>
      <c r="W218" s="679">
        <f t="shared" si="48"/>
        <v>54231.139999999992</v>
      </c>
      <c r="X218" s="702"/>
      <c r="Y218" s="679"/>
      <c r="Z218" s="679"/>
      <c r="AA218" s="642"/>
      <c r="AB218" s="679"/>
      <c r="AC218" s="644">
        <f t="shared" si="47"/>
        <v>54231.139999999992</v>
      </c>
      <c r="AD218" s="643"/>
      <c r="AE218" s="643"/>
      <c r="AF218" s="677">
        <f t="shared" si="34"/>
        <v>0</v>
      </c>
    </row>
    <row r="219" spans="1:32">
      <c r="A219" s="604">
        <v>205</v>
      </c>
      <c r="B219" s="316"/>
      <c r="C219" s="522" t="s">
        <v>459</v>
      </c>
      <c r="D219" s="316" t="s">
        <v>1859</v>
      </c>
      <c r="E219" s="523" t="s">
        <v>1860</v>
      </c>
      <c r="F219" s="603">
        <v>0</v>
      </c>
      <c r="G219" s="603">
        <v>0</v>
      </c>
      <c r="H219" s="603">
        <v>0</v>
      </c>
      <c r="I219" s="603">
        <v>0</v>
      </c>
      <c r="J219" s="603">
        <v>0</v>
      </c>
      <c r="K219" s="603">
        <v>4316.83</v>
      </c>
      <c r="L219" s="603">
        <v>117539.84</v>
      </c>
      <c r="M219" s="603">
        <v>124791.17</v>
      </c>
      <c r="N219" s="603">
        <v>125247.9</v>
      </c>
      <c r="O219" s="603">
        <v>124177.41</v>
      </c>
      <c r="P219" s="603">
        <v>123106.92</v>
      </c>
      <c r="Q219" s="603">
        <v>122036.43</v>
      </c>
      <c r="R219" s="603">
        <v>120965.94</v>
      </c>
      <c r="S219" s="484">
        <f t="shared" si="46"/>
        <v>66808.289166666669</v>
      </c>
      <c r="T219" s="604"/>
      <c r="U219" s="642"/>
      <c r="V219" s="679"/>
      <c r="W219" s="679">
        <f t="shared" si="48"/>
        <v>66808.289166666669</v>
      </c>
      <c r="X219" s="702"/>
      <c r="Y219" s="679"/>
      <c r="Z219" s="679"/>
      <c r="AA219" s="642"/>
      <c r="AB219" s="679"/>
      <c r="AC219" s="644">
        <f>+S219</f>
        <v>66808.289166666669</v>
      </c>
      <c r="AD219" s="643"/>
      <c r="AE219" s="643"/>
      <c r="AF219" s="677"/>
    </row>
    <row r="220" spans="1:32">
      <c r="A220" s="604">
        <v>206</v>
      </c>
      <c r="B220" s="316"/>
      <c r="C220" s="522" t="s">
        <v>459</v>
      </c>
      <c r="D220" s="316" t="s">
        <v>1861</v>
      </c>
      <c r="E220" s="523" t="s">
        <v>1862</v>
      </c>
      <c r="F220" s="603">
        <v>0</v>
      </c>
      <c r="G220" s="603">
        <v>0</v>
      </c>
      <c r="H220" s="603">
        <v>0</v>
      </c>
      <c r="I220" s="603">
        <v>0</v>
      </c>
      <c r="J220" s="603">
        <v>0</v>
      </c>
      <c r="K220" s="603">
        <v>3453.47</v>
      </c>
      <c r="L220" s="603">
        <v>94295.27</v>
      </c>
      <c r="M220" s="603">
        <v>100396.96</v>
      </c>
      <c r="N220" s="603">
        <v>101054.71</v>
      </c>
      <c r="O220" s="603">
        <v>100483.78</v>
      </c>
      <c r="P220" s="603">
        <v>99912.85</v>
      </c>
      <c r="Q220" s="603">
        <v>99341.92</v>
      </c>
      <c r="R220" s="603">
        <v>98770.99</v>
      </c>
      <c r="S220" s="484">
        <f t="shared" si="46"/>
        <v>54027.037916666675</v>
      </c>
      <c r="T220" s="604"/>
      <c r="U220" s="642"/>
      <c r="V220" s="679"/>
      <c r="W220" s="679">
        <f t="shared" si="48"/>
        <v>54027.037916666675</v>
      </c>
      <c r="X220" s="702"/>
      <c r="Y220" s="679"/>
      <c r="Z220" s="679"/>
      <c r="AA220" s="642"/>
      <c r="AB220" s="679"/>
      <c r="AC220" s="644">
        <f>+S220</f>
        <v>54027.037916666675</v>
      </c>
      <c r="AD220" s="643"/>
      <c r="AE220" s="643"/>
      <c r="AF220" s="677"/>
    </row>
    <row r="221" spans="1:32">
      <c r="A221" s="604">
        <v>207</v>
      </c>
      <c r="B221" s="316"/>
      <c r="C221" s="522" t="s">
        <v>459</v>
      </c>
      <c r="D221" s="316" t="s">
        <v>1863</v>
      </c>
      <c r="E221" s="523" t="s">
        <v>1864</v>
      </c>
      <c r="F221" s="603">
        <v>0</v>
      </c>
      <c r="G221" s="603">
        <v>0</v>
      </c>
      <c r="H221" s="603">
        <v>0</v>
      </c>
      <c r="I221" s="603">
        <v>0</v>
      </c>
      <c r="J221" s="603">
        <v>0</v>
      </c>
      <c r="K221" s="603">
        <v>5180.2</v>
      </c>
      <c r="L221" s="603">
        <v>141838</v>
      </c>
      <c r="M221" s="603">
        <v>151441.49</v>
      </c>
      <c r="N221" s="603">
        <v>152866.64000000001</v>
      </c>
      <c r="O221" s="603">
        <v>152438.44</v>
      </c>
      <c r="P221" s="603">
        <v>152010.23999999999</v>
      </c>
      <c r="Q221" s="603">
        <v>151582.04</v>
      </c>
      <c r="R221" s="603">
        <v>151153.84</v>
      </c>
      <c r="S221" s="484">
        <f t="shared" si="46"/>
        <v>81911.164166666669</v>
      </c>
      <c r="T221" s="604"/>
      <c r="U221" s="642"/>
      <c r="V221" s="679"/>
      <c r="W221" s="679">
        <f t="shared" si="48"/>
        <v>81911.164166666669</v>
      </c>
      <c r="X221" s="702"/>
      <c r="Y221" s="679"/>
      <c r="Z221" s="679"/>
      <c r="AA221" s="642"/>
      <c r="AB221" s="679"/>
      <c r="AC221" s="644">
        <f>+S221</f>
        <v>81911.164166666669</v>
      </c>
      <c r="AD221" s="643"/>
      <c r="AE221" s="643"/>
      <c r="AF221" s="677"/>
    </row>
    <row r="222" spans="1:32">
      <c r="A222" s="604">
        <v>208</v>
      </c>
      <c r="B222" s="316"/>
      <c r="C222" s="522" t="s">
        <v>459</v>
      </c>
      <c r="D222" s="316" t="s">
        <v>716</v>
      </c>
      <c r="E222" s="523" t="s">
        <v>717</v>
      </c>
      <c r="F222" s="603">
        <v>-1525788.02</v>
      </c>
      <c r="G222" s="603">
        <v>0</v>
      </c>
      <c r="H222" s="603">
        <v>0</v>
      </c>
      <c r="I222" s="603">
        <v>0</v>
      </c>
      <c r="J222" s="603">
        <v>0</v>
      </c>
      <c r="K222" s="603">
        <v>0</v>
      </c>
      <c r="L222" s="603">
        <v>0</v>
      </c>
      <c r="M222" s="603">
        <v>0</v>
      </c>
      <c r="N222" s="603">
        <v>0</v>
      </c>
      <c r="O222" s="603">
        <v>0</v>
      </c>
      <c r="P222" s="603">
        <v>0</v>
      </c>
      <c r="Q222" s="603">
        <v>0</v>
      </c>
      <c r="R222" s="603">
        <v>0</v>
      </c>
      <c r="S222" s="484">
        <f t="shared" si="46"/>
        <v>-63574.500833333332</v>
      </c>
      <c r="T222" s="604"/>
      <c r="U222" s="642"/>
      <c r="V222" s="679">
        <f>+S222</f>
        <v>-63574.500833333332</v>
      </c>
      <c r="W222" s="679"/>
      <c r="X222" s="702"/>
      <c r="Y222" s="679"/>
      <c r="Z222" s="679"/>
      <c r="AA222" s="642"/>
      <c r="AB222" s="679"/>
      <c r="AC222" s="644"/>
      <c r="AD222" s="644">
        <f>+S222</f>
        <v>-63574.500833333332</v>
      </c>
      <c r="AE222" s="643"/>
      <c r="AF222" s="677"/>
    </row>
    <row r="223" spans="1:32">
      <c r="A223" s="604">
        <v>209</v>
      </c>
      <c r="B223" s="316" t="s">
        <v>956</v>
      </c>
      <c r="C223" s="522" t="s">
        <v>459</v>
      </c>
      <c r="D223" s="316" t="s">
        <v>369</v>
      </c>
      <c r="E223" s="523" t="s">
        <v>717</v>
      </c>
      <c r="F223" s="303">
        <v>0</v>
      </c>
      <c r="G223" s="303">
        <v>-1515906.26</v>
      </c>
      <c r="H223" s="303">
        <v>-1505331.72</v>
      </c>
      <c r="I223" s="303">
        <v>-1495453.58</v>
      </c>
      <c r="J223" s="303">
        <v>-1485575.44</v>
      </c>
      <c r="K223" s="303">
        <v>-1485511.11</v>
      </c>
      <c r="L223" s="303">
        <v>-1816372.27</v>
      </c>
      <c r="M223" s="303">
        <v>-1829467.33</v>
      </c>
      <c r="N223" s="303">
        <v>-1821810</v>
      </c>
      <c r="O223" s="303">
        <v>-1809880.74</v>
      </c>
      <c r="P223" s="303">
        <v>-1797951.48</v>
      </c>
      <c r="Q223" s="303">
        <v>-1785197.07</v>
      </c>
      <c r="R223" s="303">
        <v>-1773272.34</v>
      </c>
      <c r="S223" s="485">
        <f t="shared" si="46"/>
        <v>-1602924.4308333334</v>
      </c>
      <c r="T223" s="604"/>
      <c r="U223" s="642"/>
      <c r="V223" s="679">
        <f>+S223</f>
        <v>-1602924.4308333334</v>
      </c>
      <c r="X223" s="702"/>
      <c r="Y223" s="679"/>
      <c r="Z223" s="679"/>
      <c r="AA223" s="642"/>
      <c r="AB223" s="679"/>
      <c r="AC223" s="644"/>
      <c r="AD223" s="644">
        <f>+S223</f>
        <v>-1602924.4308333334</v>
      </c>
      <c r="AE223" s="643"/>
      <c r="AF223" s="677" t="e">
        <f>+U223+#REF!-AD223</f>
        <v>#REF!</v>
      </c>
    </row>
    <row r="224" spans="1:32">
      <c r="A224" s="604">
        <v>210</v>
      </c>
      <c r="B224" s="604"/>
      <c r="C224" s="604"/>
      <c r="D224" s="604"/>
      <c r="E224" s="599" t="s">
        <v>479</v>
      </c>
      <c r="F224" s="603">
        <f>SUM(F207:F223)</f>
        <v>98736.310000000289</v>
      </c>
      <c r="G224" s="603">
        <f t="shared" ref="G224:R224" si="49">SUM(G207:G223)</f>
        <v>92153.879999999888</v>
      </c>
      <c r="H224" s="603">
        <f t="shared" si="49"/>
        <v>85571.450000000186</v>
      </c>
      <c r="I224" s="603">
        <f t="shared" si="49"/>
        <v>78989.020000000251</v>
      </c>
      <c r="J224" s="603">
        <f t="shared" si="49"/>
        <v>72406.590000000084</v>
      </c>
      <c r="K224" s="603">
        <f t="shared" si="49"/>
        <v>65824.159999999916</v>
      </c>
      <c r="L224" s="603">
        <f t="shared" si="49"/>
        <v>314578.19999999972</v>
      </c>
      <c r="M224" s="603">
        <f t="shared" si="49"/>
        <v>318917.87000000011</v>
      </c>
      <c r="N224" s="603">
        <f t="shared" si="49"/>
        <v>375952.23999999976</v>
      </c>
      <c r="O224" s="603">
        <f t="shared" si="49"/>
        <v>369356.59000000008</v>
      </c>
      <c r="P224" s="603">
        <f t="shared" si="49"/>
        <v>362760.93999999994</v>
      </c>
      <c r="Q224" s="603">
        <f t="shared" si="49"/>
        <v>356165.28999999934</v>
      </c>
      <c r="R224" s="603">
        <f t="shared" si="49"/>
        <v>349569.6399999999</v>
      </c>
      <c r="S224" s="484">
        <f>SUM(S207:S223)</f>
        <v>226402.43375000008</v>
      </c>
      <c r="T224" s="604"/>
      <c r="U224" s="642"/>
      <c r="V224" s="679"/>
      <c r="W224" s="679"/>
      <c r="X224" s="702"/>
      <c r="Y224" s="679"/>
      <c r="Z224" s="679"/>
      <c r="AA224" s="642"/>
      <c r="AB224" s="679"/>
      <c r="AC224" s="643"/>
      <c r="AD224" s="643"/>
      <c r="AE224" s="643"/>
      <c r="AF224" s="677">
        <f t="shared" si="34"/>
        <v>0</v>
      </c>
    </row>
    <row r="225" spans="1:32">
      <c r="A225" s="604">
        <v>211</v>
      </c>
      <c r="B225" s="604"/>
      <c r="C225" s="604"/>
      <c r="D225" s="604"/>
      <c r="E225" s="600"/>
      <c r="F225" s="603"/>
      <c r="G225" s="314"/>
      <c r="H225" s="305"/>
      <c r="I225" s="305"/>
      <c r="J225" s="306"/>
      <c r="K225" s="307"/>
      <c r="L225" s="308"/>
      <c r="M225" s="309"/>
      <c r="N225" s="310"/>
      <c r="O225" s="590"/>
      <c r="P225" s="311"/>
      <c r="Q225" s="315"/>
      <c r="R225" s="603"/>
      <c r="S225" s="294"/>
      <c r="T225" s="604"/>
      <c r="U225" s="642"/>
      <c r="V225" s="679"/>
      <c r="W225" s="679"/>
      <c r="X225" s="702"/>
      <c r="Y225" s="679"/>
      <c r="Z225" s="679"/>
      <c r="AA225" s="642"/>
      <c r="AB225" s="679"/>
      <c r="AC225" s="643"/>
      <c r="AD225" s="643"/>
      <c r="AE225" s="643"/>
      <c r="AF225" s="677">
        <f t="shared" ref="AF225:AF300" si="50">+U225+V225-AD225</f>
        <v>0</v>
      </c>
    </row>
    <row r="226" spans="1:32">
      <c r="A226" s="604">
        <v>212</v>
      </c>
      <c r="B226" s="316" t="s">
        <v>956</v>
      </c>
      <c r="C226" s="316" t="s">
        <v>480</v>
      </c>
      <c r="D226" s="316" t="s">
        <v>482</v>
      </c>
      <c r="E226" s="602" t="s">
        <v>483</v>
      </c>
      <c r="F226" s="603">
        <v>744300.47</v>
      </c>
      <c r="G226" s="603">
        <v>740886.25</v>
      </c>
      <c r="H226" s="603">
        <v>737472.03</v>
      </c>
      <c r="I226" s="603">
        <v>734057.81</v>
      </c>
      <c r="J226" s="603">
        <v>730643.59</v>
      </c>
      <c r="K226" s="603">
        <v>727229.37</v>
      </c>
      <c r="L226" s="603">
        <v>723815.15</v>
      </c>
      <c r="M226" s="603">
        <v>720400.93</v>
      </c>
      <c r="N226" s="603">
        <v>716986.71</v>
      </c>
      <c r="O226" s="603">
        <v>713572.49</v>
      </c>
      <c r="P226" s="603">
        <v>710158.27</v>
      </c>
      <c r="Q226" s="603">
        <v>706744.05</v>
      </c>
      <c r="R226" s="603">
        <v>703329.83</v>
      </c>
      <c r="S226" s="484">
        <f>((F226+R226)+((G226+H226+I226+J226+K226+L226+M226+N226+O226+P226+Q226)*2))/24</f>
        <v>723815.14999999991</v>
      </c>
      <c r="T226" s="604"/>
      <c r="U226" s="642"/>
      <c r="V226" s="679"/>
      <c r="W226" s="679">
        <f>+S226</f>
        <v>723815.14999999991</v>
      </c>
      <c r="X226" s="702"/>
      <c r="Y226" s="679"/>
      <c r="Z226" s="679"/>
      <c r="AA226" s="642"/>
      <c r="AB226" s="679"/>
      <c r="AC226" s="644">
        <f>+S226</f>
        <v>723815.14999999991</v>
      </c>
      <c r="AD226" s="643"/>
      <c r="AE226" s="643"/>
      <c r="AF226" s="677">
        <f t="shared" si="50"/>
        <v>0</v>
      </c>
    </row>
    <row r="227" spans="1:32">
      <c r="A227" s="604">
        <v>213</v>
      </c>
      <c r="B227" s="604"/>
      <c r="C227" s="604"/>
      <c r="D227" s="604"/>
      <c r="E227" s="602" t="s">
        <v>479</v>
      </c>
      <c r="F227" s="295">
        <f t="shared" ref="F227:S227" si="51">SUM(F226:F226)</f>
        <v>744300.47</v>
      </c>
      <c r="G227" s="295">
        <f t="shared" si="51"/>
        <v>740886.25</v>
      </c>
      <c r="H227" s="295">
        <f t="shared" si="51"/>
        <v>737472.03</v>
      </c>
      <c r="I227" s="295">
        <f t="shared" si="51"/>
        <v>734057.81</v>
      </c>
      <c r="J227" s="295">
        <f t="shared" si="51"/>
        <v>730643.59</v>
      </c>
      <c r="K227" s="295">
        <f t="shared" si="51"/>
        <v>727229.37</v>
      </c>
      <c r="L227" s="295">
        <f t="shared" si="51"/>
        <v>723815.15</v>
      </c>
      <c r="M227" s="295">
        <f t="shared" si="51"/>
        <v>720400.93</v>
      </c>
      <c r="N227" s="295">
        <f t="shared" si="51"/>
        <v>716986.71</v>
      </c>
      <c r="O227" s="295">
        <f t="shared" si="51"/>
        <v>713572.49</v>
      </c>
      <c r="P227" s="295">
        <f t="shared" si="51"/>
        <v>710158.27</v>
      </c>
      <c r="Q227" s="295">
        <f t="shared" si="51"/>
        <v>706744.05</v>
      </c>
      <c r="R227" s="295">
        <f t="shared" si="51"/>
        <v>703329.83</v>
      </c>
      <c r="S227" s="486">
        <f t="shared" si="51"/>
        <v>723815.14999999991</v>
      </c>
      <c r="T227" s="604"/>
      <c r="U227" s="642"/>
      <c r="V227" s="679"/>
      <c r="W227" s="679"/>
      <c r="X227" s="702"/>
      <c r="Y227" s="679"/>
      <c r="Z227" s="679"/>
      <c r="AA227" s="642"/>
      <c r="AB227" s="679"/>
      <c r="AC227" s="643"/>
      <c r="AD227" s="643"/>
      <c r="AE227" s="643"/>
      <c r="AF227" s="677">
        <f t="shared" si="50"/>
        <v>0</v>
      </c>
    </row>
    <row r="228" spans="1:32">
      <c r="A228" s="604">
        <v>214</v>
      </c>
      <c r="B228" s="604"/>
      <c r="C228" s="604"/>
      <c r="D228" s="604"/>
      <c r="E228" s="589"/>
      <c r="F228" s="603"/>
      <c r="G228" s="314"/>
      <c r="H228" s="305"/>
      <c r="I228" s="305"/>
      <c r="J228" s="306"/>
      <c r="K228" s="307"/>
      <c r="L228" s="308"/>
      <c r="M228" s="309"/>
      <c r="N228" s="310"/>
      <c r="O228" s="590"/>
      <c r="P228" s="311"/>
      <c r="Q228" s="315"/>
      <c r="R228" s="603"/>
      <c r="S228" s="294"/>
      <c r="T228" s="604"/>
      <c r="U228" s="642"/>
      <c r="V228" s="679"/>
      <c r="W228" s="679"/>
      <c r="X228" s="702"/>
      <c r="Y228" s="679"/>
      <c r="Z228" s="679"/>
      <c r="AA228" s="642"/>
      <c r="AB228" s="679"/>
      <c r="AC228" s="643"/>
      <c r="AD228" s="643"/>
      <c r="AE228" s="643"/>
      <c r="AF228" s="677">
        <f t="shared" si="50"/>
        <v>0</v>
      </c>
    </row>
    <row r="229" spans="1:32">
      <c r="A229" s="604">
        <v>215</v>
      </c>
      <c r="B229" s="316" t="s">
        <v>956</v>
      </c>
      <c r="C229" s="316" t="s">
        <v>449</v>
      </c>
      <c r="D229" s="316" t="s">
        <v>437</v>
      </c>
      <c r="E229" s="602" t="s">
        <v>484</v>
      </c>
      <c r="F229" s="603">
        <v>0</v>
      </c>
      <c r="G229" s="603">
        <v>0</v>
      </c>
      <c r="H229" s="603">
        <v>0</v>
      </c>
      <c r="I229" s="603">
        <v>0</v>
      </c>
      <c r="J229" s="603">
        <v>0</v>
      </c>
      <c r="K229" s="603">
        <v>0</v>
      </c>
      <c r="L229" s="603">
        <v>0</v>
      </c>
      <c r="M229" s="603">
        <v>0</v>
      </c>
      <c r="N229" s="603">
        <v>0</v>
      </c>
      <c r="O229" s="603">
        <v>0</v>
      </c>
      <c r="P229" s="603">
        <v>11897</v>
      </c>
      <c r="Q229" s="603">
        <v>0</v>
      </c>
      <c r="R229" s="603">
        <v>0</v>
      </c>
      <c r="S229" s="484">
        <f t="shared" ref="S229:S292" si="52">((F229+R229)+((G229+H229+I229+J229+K229+L229+M229+N229+O229+P229+Q229)*2))/24</f>
        <v>991.41666666666663</v>
      </c>
      <c r="T229" s="604"/>
      <c r="U229" s="642">
        <f t="shared" ref="U229:U266" si="53">+S229</f>
        <v>991.41666666666663</v>
      </c>
      <c r="V229" s="679"/>
      <c r="W229" s="679"/>
      <c r="X229" s="702"/>
      <c r="Y229" s="679"/>
      <c r="Z229" s="679"/>
      <c r="AA229" s="642"/>
      <c r="AB229" s="679"/>
      <c r="AC229" s="643"/>
      <c r="AD229" s="644">
        <f t="shared" ref="AD229:AD263" si="54">+U229</f>
        <v>991.41666666666663</v>
      </c>
      <c r="AE229" s="643"/>
      <c r="AF229" s="677">
        <f t="shared" si="50"/>
        <v>0</v>
      </c>
    </row>
    <row r="230" spans="1:32">
      <c r="A230" s="604">
        <v>216</v>
      </c>
      <c r="B230" s="316" t="s">
        <v>956</v>
      </c>
      <c r="C230" s="316" t="s">
        <v>1391</v>
      </c>
      <c r="D230" s="316" t="s">
        <v>369</v>
      </c>
      <c r="E230" s="602" t="s">
        <v>1396</v>
      </c>
      <c r="F230" s="603">
        <v>0</v>
      </c>
      <c r="G230" s="603">
        <v>0</v>
      </c>
      <c r="H230" s="603">
        <v>0</v>
      </c>
      <c r="I230" s="603">
        <v>0</v>
      </c>
      <c r="J230" s="603">
        <v>0</v>
      </c>
      <c r="K230" s="603">
        <v>0</v>
      </c>
      <c r="L230" s="603">
        <v>0</v>
      </c>
      <c r="M230" s="603">
        <v>0</v>
      </c>
      <c r="N230" s="603">
        <v>268.73</v>
      </c>
      <c r="O230" s="603">
        <v>161.13999999999999</v>
      </c>
      <c r="P230" s="603">
        <v>489.97</v>
      </c>
      <c r="Q230" s="603">
        <v>36026.769999999997</v>
      </c>
      <c r="R230" s="603">
        <v>108101.06</v>
      </c>
      <c r="S230" s="484">
        <f t="shared" si="52"/>
        <v>7583.0949999999984</v>
      </c>
      <c r="T230" s="604"/>
      <c r="U230" s="642">
        <f>+S230</f>
        <v>7583.0949999999984</v>
      </c>
      <c r="V230" s="679"/>
      <c r="W230" s="679"/>
      <c r="X230" s="702"/>
      <c r="Y230" s="679"/>
      <c r="Z230" s="679"/>
      <c r="AA230" s="642"/>
      <c r="AB230" s="679"/>
      <c r="AC230" s="643"/>
      <c r="AD230" s="644">
        <f>+S230</f>
        <v>7583.0949999999984</v>
      </c>
      <c r="AE230" s="643"/>
      <c r="AF230" s="677"/>
    </row>
    <row r="231" spans="1:32">
      <c r="A231" s="604">
        <v>217</v>
      </c>
      <c r="B231" s="316" t="s">
        <v>1844</v>
      </c>
      <c r="C231" s="316" t="s">
        <v>485</v>
      </c>
      <c r="D231" s="316" t="s">
        <v>369</v>
      </c>
      <c r="E231" s="602" t="s">
        <v>1865</v>
      </c>
      <c r="F231" s="603">
        <v>0</v>
      </c>
      <c r="G231" s="603">
        <v>-6471445.4199999999</v>
      </c>
      <c r="H231" s="603">
        <v>-5663151</v>
      </c>
      <c r="I231" s="603">
        <v>-5418595.4500000002</v>
      </c>
      <c r="J231" s="603">
        <v>-5607880.4199999999</v>
      </c>
      <c r="K231" s="603">
        <v>-5846699.3799999999</v>
      </c>
      <c r="L231" s="603">
        <v>-6398845.7599999998</v>
      </c>
      <c r="M231" s="603">
        <v>-6874331.6200000001</v>
      </c>
      <c r="N231" s="603">
        <v>-7305346.4400000004</v>
      </c>
      <c r="O231" s="603">
        <v>-7626647.4199999999</v>
      </c>
      <c r="P231" s="603">
        <v>-7628693.4400000004</v>
      </c>
      <c r="Q231" s="603">
        <v>-7119703.0800000001</v>
      </c>
      <c r="R231" s="603">
        <v>-6805449.96</v>
      </c>
      <c r="S231" s="484">
        <f t="shared" si="52"/>
        <v>-6280338.7008333327</v>
      </c>
      <c r="T231" s="604"/>
      <c r="U231" s="642">
        <f>+S231</f>
        <v>-6280338.7008333327</v>
      </c>
      <c r="V231" s="679"/>
      <c r="W231" s="679"/>
      <c r="X231" s="702"/>
      <c r="Y231" s="679"/>
      <c r="Z231" s="679"/>
      <c r="AA231" s="642"/>
      <c r="AB231" s="679"/>
      <c r="AC231" s="643"/>
      <c r="AD231" s="644">
        <f>+S231</f>
        <v>-6280338.7008333327</v>
      </c>
      <c r="AE231" s="643"/>
      <c r="AF231" s="677"/>
    </row>
    <row r="232" spans="1:32">
      <c r="A232" s="604">
        <v>218</v>
      </c>
      <c r="B232" s="316" t="s">
        <v>984</v>
      </c>
      <c r="C232" s="316" t="s">
        <v>485</v>
      </c>
      <c r="D232" s="316" t="s">
        <v>1138</v>
      </c>
      <c r="E232" s="602" t="s">
        <v>1546</v>
      </c>
      <c r="F232" s="603">
        <v>0</v>
      </c>
      <c r="G232" s="603">
        <v>0</v>
      </c>
      <c r="H232" s="603">
        <v>0</v>
      </c>
      <c r="I232" s="603">
        <v>0</v>
      </c>
      <c r="J232" s="603">
        <v>0</v>
      </c>
      <c r="K232" s="603">
        <v>0</v>
      </c>
      <c r="L232" s="603">
        <v>0</v>
      </c>
      <c r="M232" s="603">
        <v>0</v>
      </c>
      <c r="N232" s="603">
        <v>0</v>
      </c>
      <c r="O232" s="603">
        <v>0</v>
      </c>
      <c r="P232" s="603">
        <v>0</v>
      </c>
      <c r="Q232" s="603">
        <v>0</v>
      </c>
      <c r="R232" s="603">
        <v>0</v>
      </c>
      <c r="S232" s="484">
        <f t="shared" si="52"/>
        <v>0</v>
      </c>
      <c r="T232" s="604"/>
      <c r="U232" s="642">
        <f t="shared" si="53"/>
        <v>0</v>
      </c>
      <c r="V232" s="679"/>
      <c r="W232" s="679"/>
      <c r="X232" s="702"/>
      <c r="Y232" s="679"/>
      <c r="Z232" s="679"/>
      <c r="AA232" s="642"/>
      <c r="AB232" s="679"/>
      <c r="AC232" s="643"/>
      <c r="AD232" s="644">
        <f t="shared" si="54"/>
        <v>0</v>
      </c>
      <c r="AE232" s="643"/>
      <c r="AF232" s="677">
        <f t="shared" si="50"/>
        <v>0</v>
      </c>
    </row>
    <row r="233" spans="1:32">
      <c r="A233" s="604">
        <v>219</v>
      </c>
      <c r="B233" s="316" t="s">
        <v>959</v>
      </c>
      <c r="C233" s="316" t="s">
        <v>485</v>
      </c>
      <c r="D233" s="316" t="s">
        <v>1139</v>
      </c>
      <c r="E233" s="602" t="s">
        <v>1140</v>
      </c>
      <c r="F233" s="603">
        <v>47614629.100000001</v>
      </c>
      <c r="G233" s="603">
        <v>47614629.100000001</v>
      </c>
      <c r="H233" s="603">
        <v>47614629.100000001</v>
      </c>
      <c r="I233" s="603">
        <v>47614629.100000001</v>
      </c>
      <c r="J233" s="603">
        <v>47614629.100000001</v>
      </c>
      <c r="K233" s="603">
        <v>41832342</v>
      </c>
      <c r="L233" s="603">
        <v>41832342</v>
      </c>
      <c r="M233" s="603">
        <v>41832342</v>
      </c>
      <c r="N233" s="603">
        <v>41832342</v>
      </c>
      <c r="O233" s="603">
        <v>41832342</v>
      </c>
      <c r="P233" s="603">
        <v>41832342</v>
      </c>
      <c r="Q233" s="603">
        <v>41832342</v>
      </c>
      <c r="R233" s="603">
        <v>38966901</v>
      </c>
      <c r="S233" s="484">
        <f t="shared" si="52"/>
        <v>43881306.287500001</v>
      </c>
      <c r="T233" s="604"/>
      <c r="U233" s="642">
        <f t="shared" si="53"/>
        <v>43881306.287500001</v>
      </c>
      <c r="V233" s="679"/>
      <c r="W233" s="679"/>
      <c r="X233" s="702"/>
      <c r="Y233" s="679"/>
      <c r="Z233" s="679"/>
      <c r="AA233" s="642"/>
      <c r="AB233" s="679"/>
      <c r="AC233" s="643"/>
      <c r="AD233" s="644">
        <f t="shared" si="54"/>
        <v>43881306.287500001</v>
      </c>
      <c r="AE233" s="643"/>
      <c r="AF233" s="677">
        <f t="shared" si="50"/>
        <v>0</v>
      </c>
    </row>
    <row r="234" spans="1:32">
      <c r="A234" s="604">
        <v>220</v>
      </c>
      <c r="B234" s="316" t="s">
        <v>959</v>
      </c>
      <c r="C234" s="316" t="s">
        <v>485</v>
      </c>
      <c r="D234" s="316" t="s">
        <v>1141</v>
      </c>
      <c r="E234" s="602" t="s">
        <v>1395</v>
      </c>
      <c r="F234" s="603">
        <v>974030</v>
      </c>
      <c r="G234" s="603">
        <v>974030</v>
      </c>
      <c r="H234" s="603">
        <v>974030</v>
      </c>
      <c r="I234" s="603">
        <v>974030</v>
      </c>
      <c r="J234" s="603">
        <v>974030</v>
      </c>
      <c r="K234" s="603">
        <v>1088889</v>
      </c>
      <c r="L234" s="603">
        <v>1088889</v>
      </c>
      <c r="M234" s="603">
        <v>1088889</v>
      </c>
      <c r="N234" s="603">
        <v>1088889</v>
      </c>
      <c r="O234" s="603">
        <v>1088889</v>
      </c>
      <c r="P234" s="603">
        <v>1088889</v>
      </c>
      <c r="Q234" s="603">
        <v>1088889</v>
      </c>
      <c r="R234" s="603">
        <v>1045610</v>
      </c>
      <c r="S234" s="484">
        <f t="shared" si="52"/>
        <v>1044013.5833333334</v>
      </c>
      <c r="T234" s="604"/>
      <c r="U234" s="642">
        <f t="shared" si="53"/>
        <v>1044013.5833333334</v>
      </c>
      <c r="V234" s="679"/>
      <c r="W234" s="679"/>
      <c r="X234" s="702"/>
      <c r="Y234" s="679"/>
      <c r="Z234" s="679"/>
      <c r="AA234" s="642"/>
      <c r="AB234" s="679"/>
      <c r="AC234" s="643"/>
      <c r="AD234" s="644">
        <f t="shared" si="54"/>
        <v>1044013.5833333334</v>
      </c>
      <c r="AE234" s="643"/>
      <c r="AF234" s="677">
        <f t="shared" si="50"/>
        <v>0</v>
      </c>
    </row>
    <row r="235" spans="1:32">
      <c r="A235" s="604">
        <v>221</v>
      </c>
      <c r="B235" s="316" t="s">
        <v>984</v>
      </c>
      <c r="C235" s="316" t="s">
        <v>485</v>
      </c>
      <c r="D235" s="316" t="s">
        <v>1385</v>
      </c>
      <c r="E235" s="602" t="s">
        <v>1547</v>
      </c>
      <c r="F235" s="603">
        <v>572922.88</v>
      </c>
      <c r="G235" s="603">
        <v>576467.22</v>
      </c>
      <c r="H235" s="603">
        <v>579688.36</v>
      </c>
      <c r="I235" s="603">
        <v>583274.55000000005</v>
      </c>
      <c r="J235" s="603">
        <v>-1.16415321826935E-10</v>
      </c>
      <c r="K235" s="603">
        <v>-1.16415321826935E-10</v>
      </c>
      <c r="L235" s="603">
        <v>-1.16415321826935E-10</v>
      </c>
      <c r="M235" s="603">
        <v>-1.16415321826935E-10</v>
      </c>
      <c r="N235" s="603">
        <v>-1.16415321826935E-10</v>
      </c>
      <c r="O235" s="603">
        <v>-1.16415321826935E-10</v>
      </c>
      <c r="P235" s="603">
        <v>-1.16415321826935E-10</v>
      </c>
      <c r="Q235" s="603">
        <v>-1.16415321826935E-10</v>
      </c>
      <c r="R235" s="603">
        <v>-1.16415321826935E-10</v>
      </c>
      <c r="S235" s="484">
        <f t="shared" si="52"/>
        <v>168824.29749999999</v>
      </c>
      <c r="T235" s="604"/>
      <c r="U235" s="642">
        <f t="shared" si="53"/>
        <v>168824.29749999999</v>
      </c>
      <c r="V235" s="679"/>
      <c r="W235" s="679"/>
      <c r="X235" s="702"/>
      <c r="Y235" s="679"/>
      <c r="Z235" s="679"/>
      <c r="AA235" s="642"/>
      <c r="AB235" s="679"/>
      <c r="AC235" s="643"/>
      <c r="AD235" s="644">
        <f t="shared" si="54"/>
        <v>168824.29749999999</v>
      </c>
      <c r="AE235" s="643"/>
      <c r="AF235" s="677">
        <f t="shared" si="50"/>
        <v>0</v>
      </c>
    </row>
    <row r="236" spans="1:32">
      <c r="A236" s="604">
        <v>222</v>
      </c>
      <c r="B236" s="316" t="s">
        <v>959</v>
      </c>
      <c r="C236" s="316" t="s">
        <v>485</v>
      </c>
      <c r="D236" s="522" t="s">
        <v>1386</v>
      </c>
      <c r="E236" s="602" t="s">
        <v>1548</v>
      </c>
      <c r="F236" s="603">
        <v>384645.37</v>
      </c>
      <c r="G236" s="603">
        <v>398905.59999999998</v>
      </c>
      <c r="H236" s="603">
        <v>463777.73</v>
      </c>
      <c r="I236" s="603">
        <v>482988.6</v>
      </c>
      <c r="J236" s="603">
        <v>634060.62</v>
      </c>
      <c r="K236" s="603">
        <v>663797.04</v>
      </c>
      <c r="L236" s="603">
        <v>811772.32</v>
      </c>
      <c r="M236" s="603">
        <v>1016915.43</v>
      </c>
      <c r="N236" s="603">
        <v>1039975.18</v>
      </c>
      <c r="O236" s="603">
        <v>1158662.44</v>
      </c>
      <c r="P236" s="603">
        <v>1330946.1000000001</v>
      </c>
      <c r="Q236" s="603">
        <v>308493.81</v>
      </c>
      <c r="R236" s="603">
        <v>373342.4</v>
      </c>
      <c r="S236" s="484">
        <f t="shared" si="52"/>
        <v>724107.39624999987</v>
      </c>
      <c r="T236" s="604"/>
      <c r="U236" s="642"/>
      <c r="V236" s="679"/>
      <c r="W236" s="679"/>
      <c r="X236" s="702">
        <f>+S236</f>
        <v>724107.39624999987</v>
      </c>
      <c r="Y236" s="679"/>
      <c r="Z236" s="679"/>
      <c r="AA236" s="642"/>
      <c r="AB236" s="679">
        <f>+X236</f>
        <v>724107.39624999987</v>
      </c>
      <c r="AC236" s="643"/>
      <c r="AD236" s="644">
        <f t="shared" si="54"/>
        <v>0</v>
      </c>
      <c r="AE236" s="643"/>
      <c r="AF236" s="677">
        <f t="shared" si="50"/>
        <v>0</v>
      </c>
    </row>
    <row r="237" spans="1:32">
      <c r="A237" s="604">
        <v>223</v>
      </c>
      <c r="B237" s="316" t="s">
        <v>959</v>
      </c>
      <c r="C237" s="316" t="s">
        <v>485</v>
      </c>
      <c r="D237" s="316" t="s">
        <v>1387</v>
      </c>
      <c r="E237" s="602" t="s">
        <v>1549</v>
      </c>
      <c r="F237" s="603">
        <v>99041.79</v>
      </c>
      <c r="G237" s="603">
        <v>112300.24</v>
      </c>
      <c r="H237" s="603">
        <v>134456.17000000001</v>
      </c>
      <c r="I237" s="603">
        <v>210911.94</v>
      </c>
      <c r="J237" s="603">
        <v>221856.71</v>
      </c>
      <c r="K237" s="603">
        <v>329775.45</v>
      </c>
      <c r="L237" s="603">
        <v>459112.21</v>
      </c>
      <c r="M237" s="603">
        <v>508145.7</v>
      </c>
      <c r="N237" s="603">
        <v>642776.54</v>
      </c>
      <c r="O237" s="603">
        <v>693067.49</v>
      </c>
      <c r="P237" s="603">
        <v>696257.88</v>
      </c>
      <c r="Q237" s="603">
        <v>181876.62</v>
      </c>
      <c r="R237" s="603">
        <v>466661.34</v>
      </c>
      <c r="S237" s="484">
        <f t="shared" si="52"/>
        <v>372782.37625000003</v>
      </c>
      <c r="T237" s="604"/>
      <c r="U237" s="642"/>
      <c r="V237" s="679"/>
      <c r="W237" s="679"/>
      <c r="X237" s="702">
        <f>+S237</f>
        <v>372782.37625000003</v>
      </c>
      <c r="Y237" s="679"/>
      <c r="Z237" s="679"/>
      <c r="AA237" s="642"/>
      <c r="AB237" s="679">
        <f>+X237</f>
        <v>372782.37625000003</v>
      </c>
      <c r="AC237" s="643"/>
      <c r="AD237" s="644">
        <f t="shared" si="54"/>
        <v>0</v>
      </c>
      <c r="AE237" s="643"/>
      <c r="AF237" s="677">
        <f t="shared" si="50"/>
        <v>0</v>
      </c>
    </row>
    <row r="238" spans="1:32">
      <c r="A238" s="604">
        <v>224</v>
      </c>
      <c r="B238" s="316" t="s">
        <v>959</v>
      </c>
      <c r="C238" s="316" t="s">
        <v>485</v>
      </c>
      <c r="D238" s="316" t="s">
        <v>1388</v>
      </c>
      <c r="E238" s="602" t="s">
        <v>1550</v>
      </c>
      <c r="F238" s="603">
        <v>951817.28999999899</v>
      </c>
      <c r="G238" s="603">
        <v>1077157.79</v>
      </c>
      <c r="H238" s="603">
        <v>1145627.6499999999</v>
      </c>
      <c r="I238" s="603">
        <v>1494681.19</v>
      </c>
      <c r="J238" s="603">
        <v>1643073.24</v>
      </c>
      <c r="K238" s="603">
        <v>1814291.2</v>
      </c>
      <c r="L238" s="603">
        <v>2092603.55</v>
      </c>
      <c r="M238" s="603">
        <v>2322449.9300000002</v>
      </c>
      <c r="N238" s="603">
        <v>2565013.1800000002</v>
      </c>
      <c r="O238" s="603">
        <v>2777890.12</v>
      </c>
      <c r="P238" s="603">
        <v>3022671.22</v>
      </c>
      <c r="Q238" s="603">
        <v>771831.92</v>
      </c>
      <c r="R238" s="603">
        <v>845715.52</v>
      </c>
      <c r="S238" s="484">
        <f t="shared" si="52"/>
        <v>1802171.4495833337</v>
      </c>
      <c r="T238" s="604"/>
      <c r="U238" s="642"/>
      <c r="V238" s="679"/>
      <c r="W238" s="679"/>
      <c r="X238" s="702">
        <f>+S238</f>
        <v>1802171.4495833337</v>
      </c>
      <c r="Y238" s="679"/>
      <c r="Z238" s="679"/>
      <c r="AA238" s="642"/>
      <c r="AB238" s="679">
        <f>+X238</f>
        <v>1802171.4495833337</v>
      </c>
      <c r="AC238" s="643"/>
      <c r="AD238" s="644">
        <f t="shared" si="54"/>
        <v>0</v>
      </c>
      <c r="AE238" s="643"/>
      <c r="AF238" s="677">
        <f t="shared" si="50"/>
        <v>0</v>
      </c>
    </row>
    <row r="239" spans="1:32">
      <c r="A239" s="604">
        <v>225</v>
      </c>
      <c r="B239" s="316" t="s">
        <v>959</v>
      </c>
      <c r="C239" s="316" t="s">
        <v>485</v>
      </c>
      <c r="D239" s="316" t="s">
        <v>1389</v>
      </c>
      <c r="E239" s="602" t="s">
        <v>1551</v>
      </c>
      <c r="F239" s="603">
        <v>1070638.9099999999</v>
      </c>
      <c r="G239" s="603">
        <v>1310660.6299999999</v>
      </c>
      <c r="H239" s="603">
        <v>1504518.3</v>
      </c>
      <c r="I239" s="603">
        <v>1654035.36</v>
      </c>
      <c r="J239" s="603">
        <v>1921879.42</v>
      </c>
      <c r="K239" s="603">
        <v>2116697.35</v>
      </c>
      <c r="L239" s="603">
        <v>2299189.14</v>
      </c>
      <c r="M239" s="603">
        <v>2487571.69</v>
      </c>
      <c r="N239" s="603">
        <v>2649592.5699999998</v>
      </c>
      <c r="O239" s="603">
        <v>2853663.91</v>
      </c>
      <c r="P239" s="603">
        <v>3048675.85</v>
      </c>
      <c r="Q239" s="603">
        <v>688050.37999999896</v>
      </c>
      <c r="R239" s="603">
        <v>881590.07999999903</v>
      </c>
      <c r="S239" s="484">
        <f t="shared" si="52"/>
        <v>1959220.7579166668</v>
      </c>
      <c r="T239" s="604"/>
      <c r="U239" s="642"/>
      <c r="V239" s="679"/>
      <c r="W239" s="679"/>
      <c r="X239" s="702">
        <f>+S239</f>
        <v>1959220.7579166668</v>
      </c>
      <c r="Y239" s="679"/>
      <c r="Z239" s="679"/>
      <c r="AA239" s="642"/>
      <c r="AB239" s="679">
        <f>+X239</f>
        <v>1959220.7579166668</v>
      </c>
      <c r="AC239" s="643"/>
      <c r="AD239" s="644">
        <f t="shared" si="54"/>
        <v>0</v>
      </c>
      <c r="AE239" s="643"/>
      <c r="AF239" s="677">
        <f t="shared" si="50"/>
        <v>0</v>
      </c>
    </row>
    <row r="240" spans="1:32">
      <c r="A240" s="604">
        <v>226</v>
      </c>
      <c r="B240" s="316" t="s">
        <v>959</v>
      </c>
      <c r="C240" s="316" t="s">
        <v>485</v>
      </c>
      <c r="D240" s="316" t="s">
        <v>1390</v>
      </c>
      <c r="E240" s="602" t="s">
        <v>1552</v>
      </c>
      <c r="F240" s="603">
        <v>4501119.47</v>
      </c>
      <c r="G240" s="603">
        <v>3572421.16</v>
      </c>
      <c r="H240" s="603">
        <v>2414771.15</v>
      </c>
      <c r="I240" s="603">
        <v>1575978.36</v>
      </c>
      <c r="J240" s="603">
        <v>1187010.43</v>
      </c>
      <c r="K240" s="603">
        <v>922138.33999999904</v>
      </c>
      <c r="L240" s="603">
        <v>736168.53999999899</v>
      </c>
      <c r="M240" s="603">
        <v>539248.86999999895</v>
      </c>
      <c r="N240" s="603">
        <v>407988.96999999898</v>
      </c>
      <c r="O240" s="603">
        <v>143363.459999999</v>
      </c>
      <c r="P240" s="603">
        <v>-469857.61000000098</v>
      </c>
      <c r="Q240" s="603">
        <v>5169450.3499999996</v>
      </c>
      <c r="R240" s="603">
        <v>4238140.62</v>
      </c>
      <c r="S240" s="484">
        <f t="shared" si="52"/>
        <v>1714026.0054166664</v>
      </c>
      <c r="T240" s="604"/>
      <c r="U240" s="642"/>
      <c r="V240" s="679"/>
      <c r="W240" s="679"/>
      <c r="X240" s="702">
        <f>+S240</f>
        <v>1714026.0054166664</v>
      </c>
      <c r="Y240" s="679"/>
      <c r="Z240" s="679"/>
      <c r="AA240" s="642"/>
      <c r="AB240" s="679">
        <f>+X240</f>
        <v>1714026.0054166664</v>
      </c>
      <c r="AC240" s="643"/>
      <c r="AD240" s="644">
        <f t="shared" si="54"/>
        <v>0</v>
      </c>
      <c r="AE240" s="643"/>
      <c r="AF240" s="677">
        <f t="shared" si="50"/>
        <v>0</v>
      </c>
    </row>
    <row r="241" spans="1:32">
      <c r="A241" s="604">
        <v>227</v>
      </c>
      <c r="B241" s="316" t="s">
        <v>959</v>
      </c>
      <c r="C241" s="316" t="s">
        <v>485</v>
      </c>
      <c r="D241" s="316" t="s">
        <v>1866</v>
      </c>
      <c r="E241" s="602" t="s">
        <v>1867</v>
      </c>
      <c r="F241" s="603">
        <v>0</v>
      </c>
      <c r="G241" s="603">
        <v>0</v>
      </c>
      <c r="H241" s="603">
        <v>0</v>
      </c>
      <c r="I241" s="603">
        <v>0</v>
      </c>
      <c r="J241" s="603">
        <v>0</v>
      </c>
      <c r="K241" s="603">
        <v>-114859</v>
      </c>
      <c r="L241" s="603">
        <v>-114859</v>
      </c>
      <c r="M241" s="603">
        <v>-114859</v>
      </c>
      <c r="N241" s="603">
        <v>-114859</v>
      </c>
      <c r="O241" s="603">
        <v>-114859</v>
      </c>
      <c r="P241" s="603">
        <v>-114859</v>
      </c>
      <c r="Q241" s="603">
        <v>-114859</v>
      </c>
      <c r="R241" s="603">
        <v>-197919</v>
      </c>
      <c r="S241" s="484">
        <f t="shared" si="52"/>
        <v>-75247.708333333328</v>
      </c>
      <c r="T241" s="604"/>
      <c r="U241" s="642">
        <f>+S241</f>
        <v>-75247.708333333328</v>
      </c>
      <c r="V241" s="679"/>
      <c r="W241" s="679"/>
      <c r="X241" s="702"/>
      <c r="Y241" s="679"/>
      <c r="Z241" s="679"/>
      <c r="AA241" s="642"/>
      <c r="AB241" s="679"/>
      <c r="AC241" s="643"/>
      <c r="AD241" s="644">
        <f>+S241</f>
        <v>-75247.708333333328</v>
      </c>
      <c r="AE241" s="643"/>
      <c r="AF241" s="677"/>
    </row>
    <row r="242" spans="1:32">
      <c r="A242" s="604">
        <v>228</v>
      </c>
      <c r="B242" s="316" t="s">
        <v>959</v>
      </c>
      <c r="C242" s="316" t="s">
        <v>485</v>
      </c>
      <c r="D242" s="316" t="s">
        <v>1868</v>
      </c>
      <c r="E242" s="602" t="s">
        <v>1869</v>
      </c>
      <c r="F242" s="603">
        <v>0</v>
      </c>
      <c r="G242" s="603">
        <v>0</v>
      </c>
      <c r="H242" s="603">
        <v>0</v>
      </c>
      <c r="I242" s="603">
        <v>0</v>
      </c>
      <c r="J242" s="603">
        <v>0</v>
      </c>
      <c r="K242" s="603">
        <v>5782287.0999999996</v>
      </c>
      <c r="L242" s="603">
        <v>5782287.0999999996</v>
      </c>
      <c r="M242" s="603">
        <v>5782287.0999999996</v>
      </c>
      <c r="N242" s="603">
        <v>5782287.0999999996</v>
      </c>
      <c r="O242" s="603">
        <v>5782287.0999999996</v>
      </c>
      <c r="P242" s="603">
        <v>5782287.0999999996</v>
      </c>
      <c r="Q242" s="603">
        <v>3075307.1</v>
      </c>
      <c r="R242" s="603">
        <v>1644093</v>
      </c>
      <c r="S242" s="484">
        <f t="shared" si="52"/>
        <v>3215923.0166666671</v>
      </c>
      <c r="T242" s="604"/>
      <c r="U242" s="642">
        <f>+S242</f>
        <v>3215923.0166666671</v>
      </c>
      <c r="V242" s="679"/>
      <c r="W242" s="679"/>
      <c r="X242" s="702"/>
      <c r="Y242" s="679"/>
      <c r="Z242" s="679"/>
      <c r="AA242" s="642"/>
      <c r="AB242" s="679"/>
      <c r="AC242" s="643"/>
      <c r="AD242" s="644">
        <f>+S242</f>
        <v>3215923.0166666671</v>
      </c>
      <c r="AE242" s="643"/>
      <c r="AF242" s="677"/>
    </row>
    <row r="243" spans="1:32">
      <c r="A243" s="604">
        <v>229</v>
      </c>
      <c r="B243" s="316" t="s">
        <v>956</v>
      </c>
      <c r="C243" s="316" t="s">
        <v>486</v>
      </c>
      <c r="D243" s="316" t="s">
        <v>1142</v>
      </c>
      <c r="E243" s="602" t="s">
        <v>1553</v>
      </c>
      <c r="F243" s="603">
        <v>2.91038304567337E-11</v>
      </c>
      <c r="G243" s="603">
        <v>139109.38</v>
      </c>
      <c r="H243" s="603">
        <v>155252.45000000001</v>
      </c>
      <c r="I243" s="603">
        <v>142839.38</v>
      </c>
      <c r="J243" s="603">
        <v>134737.65</v>
      </c>
      <c r="K243" s="603">
        <v>109902.87</v>
      </c>
      <c r="L243" s="603">
        <v>160900</v>
      </c>
      <c r="M243" s="603">
        <v>97344.49</v>
      </c>
      <c r="N243" s="603">
        <v>32966.9</v>
      </c>
      <c r="O243" s="603">
        <v>0</v>
      </c>
      <c r="P243" s="603">
        <v>0</v>
      </c>
      <c r="Q243" s="603">
        <v>0</v>
      </c>
      <c r="R243" s="603">
        <v>0</v>
      </c>
      <c r="S243" s="484">
        <f t="shared" si="52"/>
        <v>81087.759999999995</v>
      </c>
      <c r="T243" s="604"/>
      <c r="U243" s="642">
        <f t="shared" si="53"/>
        <v>81087.759999999995</v>
      </c>
      <c r="V243" s="679"/>
      <c r="W243" s="679"/>
      <c r="X243" s="702"/>
      <c r="Y243" s="679"/>
      <c r="Z243" s="679"/>
      <c r="AA243" s="642"/>
      <c r="AB243" s="679"/>
      <c r="AC243" s="643"/>
      <c r="AD243" s="644">
        <f t="shared" si="54"/>
        <v>81087.759999999995</v>
      </c>
      <c r="AE243" s="643"/>
      <c r="AF243" s="677">
        <f t="shared" si="50"/>
        <v>0</v>
      </c>
    </row>
    <row r="244" spans="1:32">
      <c r="A244" s="604">
        <v>230</v>
      </c>
      <c r="B244" s="316" t="s">
        <v>956</v>
      </c>
      <c r="C244" s="316" t="s">
        <v>486</v>
      </c>
      <c r="D244" s="522" t="s">
        <v>1143</v>
      </c>
      <c r="E244" s="602" t="s">
        <v>1554</v>
      </c>
      <c r="F244" s="603">
        <v>0</v>
      </c>
      <c r="G244" s="603">
        <v>0</v>
      </c>
      <c r="H244" s="603">
        <v>0</v>
      </c>
      <c r="I244" s="603">
        <v>0</v>
      </c>
      <c r="J244" s="603">
        <v>0</v>
      </c>
      <c r="K244" s="603">
        <v>0</v>
      </c>
      <c r="L244" s="603">
        <v>0</v>
      </c>
      <c r="M244" s="603">
        <v>0</v>
      </c>
      <c r="N244" s="603">
        <v>0</v>
      </c>
      <c r="O244" s="603">
        <v>0</v>
      </c>
      <c r="P244" s="603">
        <v>0</v>
      </c>
      <c r="Q244" s="603">
        <v>0</v>
      </c>
      <c r="R244" s="603">
        <v>0</v>
      </c>
      <c r="S244" s="484">
        <f t="shared" si="52"/>
        <v>0</v>
      </c>
      <c r="T244" s="604"/>
      <c r="U244" s="642">
        <f t="shared" si="53"/>
        <v>0</v>
      </c>
      <c r="V244" s="679"/>
      <c r="W244" s="679"/>
      <c r="X244" s="702"/>
      <c r="Y244" s="679"/>
      <c r="Z244" s="679"/>
      <c r="AA244" s="642"/>
      <c r="AB244" s="679"/>
      <c r="AC244" s="643"/>
      <c r="AD244" s="644">
        <f t="shared" si="54"/>
        <v>0</v>
      </c>
      <c r="AE244" s="643"/>
      <c r="AF244" s="677">
        <f t="shared" si="50"/>
        <v>0</v>
      </c>
    </row>
    <row r="245" spans="1:32">
      <c r="A245" s="604">
        <v>231</v>
      </c>
      <c r="B245" s="316" t="s">
        <v>956</v>
      </c>
      <c r="C245" s="316" t="s">
        <v>486</v>
      </c>
      <c r="D245" s="316" t="s">
        <v>1144</v>
      </c>
      <c r="E245" s="602" t="s">
        <v>1555</v>
      </c>
      <c r="F245" s="603">
        <v>0</v>
      </c>
      <c r="G245" s="603">
        <v>0</v>
      </c>
      <c r="H245" s="603">
        <v>0</v>
      </c>
      <c r="I245" s="603">
        <v>0</v>
      </c>
      <c r="J245" s="603">
        <v>0</v>
      </c>
      <c r="K245" s="603">
        <v>0</v>
      </c>
      <c r="L245" s="603">
        <v>0</v>
      </c>
      <c r="M245" s="603">
        <v>0</v>
      </c>
      <c r="N245" s="603">
        <v>0</v>
      </c>
      <c r="O245" s="603">
        <v>0</v>
      </c>
      <c r="P245" s="603">
        <v>0</v>
      </c>
      <c r="Q245" s="603">
        <v>0</v>
      </c>
      <c r="R245" s="603">
        <v>0</v>
      </c>
      <c r="S245" s="484">
        <f t="shared" si="52"/>
        <v>0</v>
      </c>
      <c r="T245" s="604"/>
      <c r="U245" s="642">
        <f t="shared" si="53"/>
        <v>0</v>
      </c>
      <c r="V245" s="679"/>
      <c r="W245" s="679"/>
      <c r="X245" s="702"/>
      <c r="Y245" s="679"/>
      <c r="Z245" s="679"/>
      <c r="AA245" s="642"/>
      <c r="AB245" s="679"/>
      <c r="AC245" s="643"/>
      <c r="AD245" s="644">
        <f t="shared" si="54"/>
        <v>0</v>
      </c>
      <c r="AE245" s="643"/>
      <c r="AF245" s="677">
        <f t="shared" si="50"/>
        <v>0</v>
      </c>
    </row>
    <row r="246" spans="1:32">
      <c r="A246" s="604">
        <v>232</v>
      </c>
      <c r="B246" s="316" t="s">
        <v>956</v>
      </c>
      <c r="C246" s="316" t="s">
        <v>486</v>
      </c>
      <c r="D246" s="316" t="s">
        <v>1145</v>
      </c>
      <c r="E246" s="602" t="s">
        <v>1556</v>
      </c>
      <c r="F246" s="603">
        <v>4.5474735088646402E-13</v>
      </c>
      <c r="G246" s="603">
        <v>-639.22</v>
      </c>
      <c r="H246" s="603">
        <v>854.74</v>
      </c>
      <c r="I246" s="603">
        <v>-2090.0500000000002</v>
      </c>
      <c r="J246" s="603">
        <v>-994.41</v>
      </c>
      <c r="K246" s="603">
        <v>-732.48</v>
      </c>
      <c r="L246" s="603">
        <v>1032.76</v>
      </c>
      <c r="M246" s="603">
        <v>690.6</v>
      </c>
      <c r="N246" s="603">
        <v>-2900.56</v>
      </c>
      <c r="O246" s="603">
        <v>0</v>
      </c>
      <c r="P246" s="603">
        <v>0</v>
      </c>
      <c r="Q246" s="603">
        <v>0</v>
      </c>
      <c r="R246" s="603">
        <v>0</v>
      </c>
      <c r="S246" s="484">
        <f t="shared" si="52"/>
        <v>-398.21833333333331</v>
      </c>
      <c r="T246" s="604"/>
      <c r="U246" s="642">
        <f t="shared" si="53"/>
        <v>-398.21833333333331</v>
      </c>
      <c r="V246" s="679"/>
      <c r="W246" s="679"/>
      <c r="X246" s="702"/>
      <c r="Y246" s="679"/>
      <c r="Z246" s="679"/>
      <c r="AA246" s="642"/>
      <c r="AB246" s="679"/>
      <c r="AC246" s="643"/>
      <c r="AD246" s="644">
        <f t="shared" si="54"/>
        <v>-398.21833333333331</v>
      </c>
      <c r="AE246" s="643"/>
      <c r="AF246" s="677">
        <f t="shared" si="50"/>
        <v>0</v>
      </c>
    </row>
    <row r="247" spans="1:32">
      <c r="A247" s="604">
        <v>233</v>
      </c>
      <c r="B247" s="316" t="s">
        <v>956</v>
      </c>
      <c r="C247" s="316" t="s">
        <v>486</v>
      </c>
      <c r="D247" s="316" t="s">
        <v>1146</v>
      </c>
      <c r="E247" s="602" t="s">
        <v>1557</v>
      </c>
      <c r="F247" s="603">
        <v>0</v>
      </c>
      <c r="G247" s="603">
        <v>0</v>
      </c>
      <c r="H247" s="603">
        <v>0</v>
      </c>
      <c r="I247" s="603">
        <v>0</v>
      </c>
      <c r="J247" s="603">
        <v>0</v>
      </c>
      <c r="K247" s="603">
        <v>0</v>
      </c>
      <c r="L247" s="603">
        <v>0</v>
      </c>
      <c r="M247" s="603">
        <v>0</v>
      </c>
      <c r="N247" s="603">
        <v>0</v>
      </c>
      <c r="O247" s="603">
        <v>0</v>
      </c>
      <c r="P247" s="603">
        <v>0</v>
      </c>
      <c r="Q247" s="603">
        <v>0</v>
      </c>
      <c r="R247" s="603">
        <v>0</v>
      </c>
      <c r="S247" s="484">
        <f t="shared" si="52"/>
        <v>0</v>
      </c>
      <c r="T247" s="604"/>
      <c r="U247" s="642">
        <f t="shared" si="53"/>
        <v>0</v>
      </c>
      <c r="V247" s="679"/>
      <c r="W247" s="679"/>
      <c r="X247" s="702"/>
      <c r="Y247" s="679"/>
      <c r="Z247" s="679"/>
      <c r="AA247" s="642"/>
      <c r="AB247" s="679"/>
      <c r="AC247" s="643"/>
      <c r="AD247" s="644">
        <f t="shared" si="54"/>
        <v>0</v>
      </c>
      <c r="AE247" s="643"/>
      <c r="AF247" s="677">
        <f t="shared" si="50"/>
        <v>0</v>
      </c>
    </row>
    <row r="248" spans="1:32">
      <c r="A248" s="604">
        <v>234</v>
      </c>
      <c r="B248" s="316" t="s">
        <v>956</v>
      </c>
      <c r="C248" s="316" t="s">
        <v>486</v>
      </c>
      <c r="D248" s="316" t="s">
        <v>1147</v>
      </c>
      <c r="E248" s="602" t="s">
        <v>1558</v>
      </c>
      <c r="F248" s="603">
        <v>0</v>
      </c>
      <c r="G248" s="603">
        <v>0</v>
      </c>
      <c r="H248" s="603">
        <v>0</v>
      </c>
      <c r="I248" s="603">
        <v>0</v>
      </c>
      <c r="J248" s="603">
        <v>0</v>
      </c>
      <c r="K248" s="603">
        <v>0</v>
      </c>
      <c r="L248" s="603">
        <v>0</v>
      </c>
      <c r="M248" s="603">
        <v>0</v>
      </c>
      <c r="N248" s="603">
        <v>0</v>
      </c>
      <c r="O248" s="603">
        <v>0</v>
      </c>
      <c r="P248" s="603">
        <v>0</v>
      </c>
      <c r="Q248" s="603">
        <v>0</v>
      </c>
      <c r="R248" s="603">
        <v>0</v>
      </c>
      <c r="S248" s="484">
        <f t="shared" si="52"/>
        <v>0</v>
      </c>
      <c r="T248" s="604"/>
      <c r="U248" s="642">
        <f t="shared" si="53"/>
        <v>0</v>
      </c>
      <c r="V248" s="679"/>
      <c r="W248" s="679"/>
      <c r="X248" s="702"/>
      <c r="Y248" s="679"/>
      <c r="Z248" s="679"/>
      <c r="AA248" s="642"/>
      <c r="AB248" s="679"/>
      <c r="AC248" s="643"/>
      <c r="AD248" s="644">
        <f t="shared" si="54"/>
        <v>0</v>
      </c>
      <c r="AE248" s="643"/>
      <c r="AF248" s="677">
        <f t="shared" si="50"/>
        <v>0</v>
      </c>
    </row>
    <row r="249" spans="1:32">
      <c r="A249" s="604">
        <v>235</v>
      </c>
      <c r="B249" s="316" t="s">
        <v>956</v>
      </c>
      <c r="C249" s="316" t="s">
        <v>486</v>
      </c>
      <c r="D249" s="316" t="s">
        <v>1148</v>
      </c>
      <c r="E249" s="602" t="s">
        <v>1559</v>
      </c>
      <c r="F249" s="603">
        <v>4.5474735088646402E-13</v>
      </c>
      <c r="G249" s="603">
        <v>426.58</v>
      </c>
      <c r="H249" s="603">
        <v>796.45</v>
      </c>
      <c r="I249" s="603">
        <v>-5598.04</v>
      </c>
      <c r="J249" s="603">
        <v>-599.69000000000005</v>
      </c>
      <c r="K249" s="603">
        <v>-212.59</v>
      </c>
      <c r="L249" s="603">
        <v>134.88</v>
      </c>
      <c r="M249" s="603">
        <v>413.89</v>
      </c>
      <c r="N249" s="603">
        <v>-1340.75</v>
      </c>
      <c r="O249" s="603">
        <v>0</v>
      </c>
      <c r="P249" s="603">
        <v>0</v>
      </c>
      <c r="Q249" s="603">
        <v>0</v>
      </c>
      <c r="R249" s="603">
        <v>0</v>
      </c>
      <c r="S249" s="484">
        <f t="shared" si="52"/>
        <v>-498.27250000000004</v>
      </c>
      <c r="T249" s="604"/>
      <c r="U249" s="642">
        <f t="shared" si="53"/>
        <v>-498.27250000000004</v>
      </c>
      <c r="V249" s="679"/>
      <c r="W249" s="679"/>
      <c r="X249" s="702"/>
      <c r="Y249" s="679"/>
      <c r="Z249" s="679"/>
      <c r="AA249" s="642"/>
      <c r="AB249" s="679"/>
      <c r="AC249" s="643"/>
      <c r="AD249" s="644">
        <f t="shared" si="54"/>
        <v>-498.27250000000004</v>
      </c>
      <c r="AE249" s="643"/>
      <c r="AF249" s="677">
        <f t="shared" si="50"/>
        <v>0</v>
      </c>
    </row>
    <row r="250" spans="1:32">
      <c r="A250" s="604">
        <v>236</v>
      </c>
      <c r="B250" s="316" t="s">
        <v>956</v>
      </c>
      <c r="C250" s="316" t="s">
        <v>486</v>
      </c>
      <c r="D250" s="316" t="s">
        <v>392</v>
      </c>
      <c r="E250" s="602" t="s">
        <v>1560</v>
      </c>
      <c r="F250" s="603">
        <v>0</v>
      </c>
      <c r="G250" s="603">
        <v>0</v>
      </c>
      <c r="H250" s="603">
        <v>0</v>
      </c>
      <c r="I250" s="603">
        <v>0</v>
      </c>
      <c r="J250" s="603">
        <v>0</v>
      </c>
      <c r="K250" s="603">
        <v>0</v>
      </c>
      <c r="L250" s="603">
        <v>0</v>
      </c>
      <c r="M250" s="603">
        <v>0</v>
      </c>
      <c r="N250" s="603">
        <v>0</v>
      </c>
      <c r="O250" s="603">
        <v>0</v>
      </c>
      <c r="P250" s="603">
        <v>0</v>
      </c>
      <c r="Q250" s="603">
        <v>0</v>
      </c>
      <c r="R250" s="603">
        <v>0</v>
      </c>
      <c r="S250" s="484">
        <f t="shared" si="52"/>
        <v>0</v>
      </c>
      <c r="T250" s="604"/>
      <c r="U250" s="642">
        <f t="shared" si="53"/>
        <v>0</v>
      </c>
      <c r="V250" s="679"/>
      <c r="W250" s="679"/>
      <c r="X250" s="702"/>
      <c r="Y250" s="679"/>
      <c r="Z250" s="679"/>
      <c r="AA250" s="642"/>
      <c r="AB250" s="679"/>
      <c r="AC250" s="643"/>
      <c r="AD250" s="644">
        <f t="shared" si="54"/>
        <v>0</v>
      </c>
      <c r="AE250" s="643"/>
      <c r="AF250" s="677">
        <f t="shared" si="50"/>
        <v>0</v>
      </c>
    </row>
    <row r="251" spans="1:32">
      <c r="A251" s="604">
        <v>237</v>
      </c>
      <c r="B251" s="316" t="s">
        <v>956</v>
      </c>
      <c r="C251" s="316" t="s">
        <v>486</v>
      </c>
      <c r="D251" s="316" t="s">
        <v>1149</v>
      </c>
      <c r="E251" s="602" t="s">
        <v>1561</v>
      </c>
      <c r="F251" s="603">
        <v>0</v>
      </c>
      <c r="G251" s="603">
        <v>0</v>
      </c>
      <c r="H251" s="603">
        <v>0</v>
      </c>
      <c r="I251" s="603">
        <v>0</v>
      </c>
      <c r="J251" s="603">
        <v>0</v>
      </c>
      <c r="K251" s="603">
        <v>0</v>
      </c>
      <c r="L251" s="603">
        <v>0</v>
      </c>
      <c r="M251" s="603">
        <v>0</v>
      </c>
      <c r="N251" s="603">
        <v>0</v>
      </c>
      <c r="O251" s="603">
        <v>0</v>
      </c>
      <c r="P251" s="603">
        <v>0</v>
      </c>
      <c r="Q251" s="603">
        <v>0</v>
      </c>
      <c r="R251" s="603">
        <v>0</v>
      </c>
      <c r="S251" s="484">
        <f t="shared" si="52"/>
        <v>0</v>
      </c>
      <c r="T251" s="604"/>
      <c r="U251" s="642">
        <f t="shared" si="53"/>
        <v>0</v>
      </c>
      <c r="V251" s="679"/>
      <c r="W251" s="679"/>
      <c r="X251" s="702"/>
      <c r="Y251" s="679"/>
      <c r="Z251" s="679"/>
      <c r="AA251" s="642"/>
      <c r="AB251" s="679"/>
      <c r="AC251" s="643"/>
      <c r="AD251" s="644">
        <f t="shared" si="54"/>
        <v>0</v>
      </c>
      <c r="AE251" s="643"/>
      <c r="AF251" s="677">
        <f t="shared" si="50"/>
        <v>0</v>
      </c>
    </row>
    <row r="252" spans="1:32">
      <c r="A252" s="604">
        <v>238</v>
      </c>
      <c r="B252" s="316" t="s">
        <v>956</v>
      </c>
      <c r="C252" s="316" t="s">
        <v>486</v>
      </c>
      <c r="D252" s="522" t="s">
        <v>554</v>
      </c>
      <c r="E252" s="602" t="s">
        <v>1562</v>
      </c>
      <c r="F252" s="603">
        <v>-4.5474735088646402E-13</v>
      </c>
      <c r="G252" s="603">
        <v>312.62</v>
      </c>
      <c r="H252" s="603">
        <v>752.48</v>
      </c>
      <c r="I252" s="603">
        <v>-1804.39</v>
      </c>
      <c r="J252" s="603">
        <v>-1365.12</v>
      </c>
      <c r="K252" s="603">
        <v>-816.82</v>
      </c>
      <c r="L252" s="603">
        <v>-382.23</v>
      </c>
      <c r="M252" s="603">
        <v>19.440000000000101</v>
      </c>
      <c r="N252" s="603">
        <v>-2387.5100000000002</v>
      </c>
      <c r="O252" s="603">
        <v>0</v>
      </c>
      <c r="P252" s="603">
        <v>0</v>
      </c>
      <c r="Q252" s="603">
        <v>0</v>
      </c>
      <c r="R252" s="603">
        <v>0</v>
      </c>
      <c r="S252" s="484">
        <f t="shared" si="52"/>
        <v>-472.62750000000005</v>
      </c>
      <c r="T252" s="604"/>
      <c r="U252" s="642">
        <f t="shared" si="53"/>
        <v>-472.62750000000005</v>
      </c>
      <c r="V252" s="679"/>
      <c r="W252" s="679"/>
      <c r="X252" s="702"/>
      <c r="Y252" s="679"/>
      <c r="Z252" s="679"/>
      <c r="AA252" s="642"/>
      <c r="AB252" s="679"/>
      <c r="AC252" s="643"/>
      <c r="AD252" s="644">
        <f t="shared" si="54"/>
        <v>-472.62750000000005</v>
      </c>
      <c r="AE252" s="643"/>
      <c r="AF252" s="677">
        <f t="shared" si="50"/>
        <v>0</v>
      </c>
    </row>
    <row r="253" spans="1:32">
      <c r="A253" s="604">
        <v>239</v>
      </c>
      <c r="B253" s="316" t="s">
        <v>956</v>
      </c>
      <c r="C253" s="316" t="s">
        <v>486</v>
      </c>
      <c r="D253" s="316" t="s">
        <v>1150</v>
      </c>
      <c r="E253" s="602" t="s">
        <v>1563</v>
      </c>
      <c r="F253" s="603">
        <v>-2.2737367544323201E-13</v>
      </c>
      <c r="G253" s="603">
        <v>671.92</v>
      </c>
      <c r="H253" s="603">
        <v>754.85</v>
      </c>
      <c r="I253" s="603">
        <v>410.54</v>
      </c>
      <c r="J253" s="603">
        <v>471.8</v>
      </c>
      <c r="K253" s="603">
        <v>533.36</v>
      </c>
      <c r="L253" s="603">
        <v>621.77</v>
      </c>
      <c r="M253" s="603">
        <v>709.98</v>
      </c>
      <c r="N253" s="603">
        <v>310</v>
      </c>
      <c r="O253" s="603">
        <v>0</v>
      </c>
      <c r="P253" s="603">
        <v>0</v>
      </c>
      <c r="Q253" s="603">
        <v>0</v>
      </c>
      <c r="R253" s="603">
        <v>0</v>
      </c>
      <c r="S253" s="484">
        <f t="shared" si="52"/>
        <v>373.685</v>
      </c>
      <c r="T253" s="604"/>
      <c r="U253" s="642">
        <f t="shared" si="53"/>
        <v>373.685</v>
      </c>
      <c r="V253" s="679"/>
      <c r="W253" s="679"/>
      <c r="X253" s="702"/>
      <c r="Y253" s="679"/>
      <c r="Z253" s="679"/>
      <c r="AA253" s="642"/>
      <c r="AB253" s="679"/>
      <c r="AC253" s="643"/>
      <c r="AD253" s="644">
        <f t="shared" si="54"/>
        <v>373.685</v>
      </c>
      <c r="AE253" s="643"/>
      <c r="AF253" s="677">
        <f t="shared" si="50"/>
        <v>0</v>
      </c>
    </row>
    <row r="254" spans="1:32">
      <c r="A254" s="604">
        <v>240</v>
      </c>
      <c r="B254" s="316" t="s">
        <v>956</v>
      </c>
      <c r="C254" s="316" t="s">
        <v>486</v>
      </c>
      <c r="D254" s="316" t="s">
        <v>1151</v>
      </c>
      <c r="E254" s="602" t="s">
        <v>1564</v>
      </c>
      <c r="F254" s="603">
        <v>0</v>
      </c>
      <c r="G254" s="603">
        <v>0</v>
      </c>
      <c r="H254" s="603">
        <v>0</v>
      </c>
      <c r="I254" s="603">
        <v>0</v>
      </c>
      <c r="J254" s="603">
        <v>0</v>
      </c>
      <c r="K254" s="603">
        <v>0</v>
      </c>
      <c r="L254" s="603">
        <v>0</v>
      </c>
      <c r="M254" s="603">
        <v>0</v>
      </c>
      <c r="N254" s="603">
        <v>0</v>
      </c>
      <c r="O254" s="603">
        <v>0</v>
      </c>
      <c r="P254" s="603">
        <v>0</v>
      </c>
      <c r="Q254" s="603">
        <v>0</v>
      </c>
      <c r="R254" s="603">
        <v>0</v>
      </c>
      <c r="S254" s="484">
        <f t="shared" si="52"/>
        <v>0</v>
      </c>
      <c r="T254" s="604"/>
      <c r="U254" s="642">
        <f t="shared" si="53"/>
        <v>0</v>
      </c>
      <c r="V254" s="679"/>
      <c r="W254" s="679"/>
      <c r="X254" s="702"/>
      <c r="Y254" s="679"/>
      <c r="Z254" s="679"/>
      <c r="AA254" s="642"/>
      <c r="AB254" s="679"/>
      <c r="AC254" s="643"/>
      <c r="AD254" s="644">
        <f t="shared" si="54"/>
        <v>0</v>
      </c>
      <c r="AE254" s="643"/>
      <c r="AF254" s="677">
        <f t="shared" si="50"/>
        <v>0</v>
      </c>
    </row>
    <row r="255" spans="1:32">
      <c r="A255" s="604">
        <v>241</v>
      </c>
      <c r="B255" s="316" t="s">
        <v>956</v>
      </c>
      <c r="C255" s="316" t="s">
        <v>486</v>
      </c>
      <c r="D255" s="316" t="s">
        <v>618</v>
      </c>
      <c r="E255" s="602" t="s">
        <v>1565</v>
      </c>
      <c r="F255" s="603">
        <v>0</v>
      </c>
      <c r="G255" s="603">
        <v>85.58</v>
      </c>
      <c r="H255" s="603">
        <v>235.23</v>
      </c>
      <c r="I255" s="603">
        <v>-497.31</v>
      </c>
      <c r="J255" s="603">
        <v>-454.99</v>
      </c>
      <c r="K255" s="603">
        <v>-334.77</v>
      </c>
      <c r="L255" s="603">
        <v>-214.55</v>
      </c>
      <c r="M255" s="603">
        <v>229.36</v>
      </c>
      <c r="N255" s="603">
        <v>-427.14</v>
      </c>
      <c r="O255" s="603">
        <v>0</v>
      </c>
      <c r="P255" s="603">
        <v>0</v>
      </c>
      <c r="Q255" s="603">
        <v>0</v>
      </c>
      <c r="R255" s="603">
        <v>0</v>
      </c>
      <c r="S255" s="484">
        <f t="shared" si="52"/>
        <v>-114.88249999999999</v>
      </c>
      <c r="T255" s="604"/>
      <c r="U255" s="642">
        <f t="shared" si="53"/>
        <v>-114.88249999999999</v>
      </c>
      <c r="V255" s="679"/>
      <c r="W255" s="679"/>
      <c r="X255" s="702"/>
      <c r="Y255" s="679"/>
      <c r="Z255" s="679"/>
      <c r="AA255" s="642"/>
      <c r="AB255" s="679"/>
      <c r="AC255" s="643"/>
      <c r="AD255" s="644">
        <f t="shared" si="54"/>
        <v>-114.88249999999999</v>
      </c>
      <c r="AE255" s="643"/>
      <c r="AF255" s="677">
        <f t="shared" si="50"/>
        <v>0</v>
      </c>
    </row>
    <row r="256" spans="1:32">
      <c r="A256" s="604">
        <v>242</v>
      </c>
      <c r="B256" s="316" t="s">
        <v>956</v>
      </c>
      <c r="C256" s="316" t="s">
        <v>486</v>
      </c>
      <c r="D256" s="316" t="s">
        <v>1130</v>
      </c>
      <c r="E256" s="602" t="s">
        <v>1566</v>
      </c>
      <c r="F256" s="603">
        <v>7.1054273576010003E-15</v>
      </c>
      <c r="G256" s="603">
        <v>3.14</v>
      </c>
      <c r="H256" s="603">
        <v>6.88</v>
      </c>
      <c r="I256" s="603">
        <v>-14.12</v>
      </c>
      <c r="J256" s="603">
        <v>-10.06</v>
      </c>
      <c r="K256" s="603">
        <v>-5.2</v>
      </c>
      <c r="L256" s="603">
        <v>-1.82</v>
      </c>
      <c r="M256" s="603">
        <v>4.78</v>
      </c>
      <c r="N256" s="603">
        <v>-15.34</v>
      </c>
      <c r="O256" s="603">
        <v>0</v>
      </c>
      <c r="P256" s="603">
        <v>0</v>
      </c>
      <c r="Q256" s="603">
        <v>0</v>
      </c>
      <c r="R256" s="603">
        <v>0</v>
      </c>
      <c r="S256" s="484">
        <f t="shared" si="52"/>
        <v>-2.6449999999999996</v>
      </c>
      <c r="T256" s="604"/>
      <c r="U256" s="642">
        <f t="shared" si="53"/>
        <v>-2.6449999999999996</v>
      </c>
      <c r="V256" s="679"/>
      <c r="W256" s="679"/>
      <c r="X256" s="702"/>
      <c r="Y256" s="679"/>
      <c r="Z256" s="679"/>
      <c r="AA256" s="642"/>
      <c r="AB256" s="679"/>
      <c r="AC256" s="643"/>
      <c r="AD256" s="644">
        <f t="shared" si="54"/>
        <v>-2.6449999999999996</v>
      </c>
      <c r="AE256" s="643"/>
      <c r="AF256" s="677">
        <f t="shared" si="50"/>
        <v>0</v>
      </c>
    </row>
    <row r="257" spans="1:32">
      <c r="A257" s="604">
        <v>243</v>
      </c>
      <c r="B257" s="316" t="s">
        <v>956</v>
      </c>
      <c r="C257" s="316" t="s">
        <v>486</v>
      </c>
      <c r="D257" s="604" t="s">
        <v>1152</v>
      </c>
      <c r="E257" s="602" t="s">
        <v>1567</v>
      </c>
      <c r="F257" s="603">
        <v>0</v>
      </c>
      <c r="G257" s="603">
        <v>6104.55</v>
      </c>
      <c r="H257" s="603">
        <v>5604.67</v>
      </c>
      <c r="I257" s="603">
        <v>5082.45</v>
      </c>
      <c r="J257" s="603">
        <v>4537.05</v>
      </c>
      <c r="K257" s="603">
        <v>3972.45</v>
      </c>
      <c r="L257" s="603">
        <v>3481.2</v>
      </c>
      <c r="M257" s="603">
        <v>2907.75</v>
      </c>
      <c r="N257" s="603">
        <v>2358.4499999999998</v>
      </c>
      <c r="O257" s="603">
        <v>0</v>
      </c>
      <c r="P257" s="603">
        <v>0</v>
      </c>
      <c r="Q257" s="603">
        <v>0</v>
      </c>
      <c r="R257" s="603">
        <v>0</v>
      </c>
      <c r="S257" s="484">
        <f t="shared" si="52"/>
        <v>2837.3808333333332</v>
      </c>
      <c r="T257" s="604"/>
      <c r="U257" s="642">
        <f t="shared" si="53"/>
        <v>2837.3808333333332</v>
      </c>
      <c r="V257" s="679"/>
      <c r="W257" s="679"/>
      <c r="X257" s="702"/>
      <c r="Y257" s="679"/>
      <c r="Z257" s="679"/>
      <c r="AA257" s="642"/>
      <c r="AB257" s="679"/>
      <c r="AC257" s="643"/>
      <c r="AD257" s="644">
        <f t="shared" si="54"/>
        <v>2837.3808333333332</v>
      </c>
      <c r="AE257" s="643"/>
      <c r="AF257" s="677">
        <f t="shared" si="50"/>
        <v>0</v>
      </c>
    </row>
    <row r="258" spans="1:32">
      <c r="A258" s="604">
        <v>244</v>
      </c>
      <c r="B258" s="316" t="s">
        <v>956</v>
      </c>
      <c r="C258" s="316" t="s">
        <v>486</v>
      </c>
      <c r="D258" s="316" t="s">
        <v>1153</v>
      </c>
      <c r="E258" s="602" t="s">
        <v>1568</v>
      </c>
      <c r="F258" s="603">
        <v>6.8212102632969598E-13</v>
      </c>
      <c r="G258" s="603">
        <v>-398.3</v>
      </c>
      <c r="H258" s="603">
        <v>-422.39</v>
      </c>
      <c r="I258" s="603">
        <v>-1355.93</v>
      </c>
      <c r="J258" s="603">
        <v>-1558.94</v>
      </c>
      <c r="K258" s="603">
        <v>-1668.52</v>
      </c>
      <c r="L258" s="603">
        <v>-1466.89</v>
      </c>
      <c r="M258" s="603">
        <v>-1577.53</v>
      </c>
      <c r="N258" s="603">
        <v>-2260.04</v>
      </c>
      <c r="O258" s="603">
        <v>0</v>
      </c>
      <c r="P258" s="603">
        <v>0</v>
      </c>
      <c r="Q258" s="603">
        <v>0</v>
      </c>
      <c r="R258" s="603">
        <v>0</v>
      </c>
      <c r="S258" s="484">
        <f t="shared" si="52"/>
        <v>-892.37833333333344</v>
      </c>
      <c r="T258" s="604"/>
      <c r="U258" s="642">
        <f t="shared" si="53"/>
        <v>-892.37833333333344</v>
      </c>
      <c r="V258" s="679"/>
      <c r="W258" s="679"/>
      <c r="X258" s="702"/>
      <c r="Y258" s="679"/>
      <c r="Z258" s="679"/>
      <c r="AA258" s="642"/>
      <c r="AB258" s="679"/>
      <c r="AC258" s="643"/>
      <c r="AD258" s="644">
        <f t="shared" si="54"/>
        <v>-892.37833333333344</v>
      </c>
      <c r="AE258" s="643"/>
      <c r="AF258" s="677">
        <f t="shared" si="50"/>
        <v>0</v>
      </c>
    </row>
    <row r="259" spans="1:32">
      <c r="A259" s="604">
        <v>245</v>
      </c>
      <c r="B259" s="316" t="s">
        <v>956</v>
      </c>
      <c r="C259" s="316" t="s">
        <v>486</v>
      </c>
      <c r="D259" s="316" t="s">
        <v>1154</v>
      </c>
      <c r="E259" s="602" t="s">
        <v>1569</v>
      </c>
      <c r="F259" s="603">
        <v>-9.0949470177292804E-13</v>
      </c>
      <c r="G259" s="603">
        <v>0</v>
      </c>
      <c r="H259" s="603">
        <v>0</v>
      </c>
      <c r="I259" s="603">
        <v>0</v>
      </c>
      <c r="J259" s="603">
        <v>0</v>
      </c>
      <c r="K259" s="603">
        <v>0</v>
      </c>
      <c r="L259" s="603">
        <v>0</v>
      </c>
      <c r="M259" s="603">
        <v>0</v>
      </c>
      <c r="N259" s="603">
        <v>0</v>
      </c>
      <c r="O259" s="603">
        <v>0</v>
      </c>
      <c r="P259" s="603">
        <v>0</v>
      </c>
      <c r="Q259" s="603">
        <v>0</v>
      </c>
      <c r="R259" s="603">
        <v>0</v>
      </c>
      <c r="S259" s="484">
        <f t="shared" si="52"/>
        <v>-3.7895612573872001E-14</v>
      </c>
      <c r="T259" s="604"/>
      <c r="U259" s="642">
        <f t="shared" si="53"/>
        <v>-3.7895612573872001E-14</v>
      </c>
      <c r="V259" s="679"/>
      <c r="W259" s="679"/>
      <c r="X259" s="702"/>
      <c r="Y259" s="679"/>
      <c r="Z259" s="679"/>
      <c r="AA259" s="642"/>
      <c r="AB259" s="679"/>
      <c r="AC259" s="643"/>
      <c r="AD259" s="644">
        <f t="shared" si="54"/>
        <v>-3.7895612573872001E-14</v>
      </c>
      <c r="AE259" s="643"/>
      <c r="AF259" s="677">
        <f t="shared" si="50"/>
        <v>0</v>
      </c>
    </row>
    <row r="260" spans="1:32">
      <c r="A260" s="604">
        <v>246</v>
      </c>
      <c r="B260" s="316" t="s">
        <v>956</v>
      </c>
      <c r="C260" s="316" t="s">
        <v>486</v>
      </c>
      <c r="D260" s="316" t="s">
        <v>1155</v>
      </c>
      <c r="E260" s="602" t="s">
        <v>1570</v>
      </c>
      <c r="F260" s="603">
        <v>4.5474735088646402E-13</v>
      </c>
      <c r="G260" s="603">
        <v>0</v>
      </c>
      <c r="H260" s="603">
        <v>0</v>
      </c>
      <c r="I260" s="603">
        <v>0</v>
      </c>
      <c r="J260" s="603">
        <v>0</v>
      </c>
      <c r="K260" s="603">
        <v>0</v>
      </c>
      <c r="L260" s="603">
        <v>0</v>
      </c>
      <c r="M260" s="603">
        <v>0</v>
      </c>
      <c r="N260" s="603">
        <v>0</v>
      </c>
      <c r="O260" s="603">
        <v>0</v>
      </c>
      <c r="P260" s="603">
        <v>0</v>
      </c>
      <c r="Q260" s="603">
        <v>0</v>
      </c>
      <c r="R260" s="603">
        <v>0</v>
      </c>
      <c r="S260" s="484">
        <f t="shared" si="52"/>
        <v>1.8947806286936001E-14</v>
      </c>
      <c r="T260" s="604"/>
      <c r="U260" s="642">
        <f t="shared" si="53"/>
        <v>1.8947806286936001E-14</v>
      </c>
      <c r="V260" s="679"/>
      <c r="W260" s="679"/>
      <c r="X260" s="702"/>
      <c r="Y260" s="679"/>
      <c r="Z260" s="679"/>
      <c r="AA260" s="642"/>
      <c r="AB260" s="679"/>
      <c r="AC260" s="643"/>
      <c r="AD260" s="644">
        <f t="shared" si="54"/>
        <v>1.8947806286936001E-14</v>
      </c>
      <c r="AE260" s="643"/>
      <c r="AF260" s="677">
        <f t="shared" si="50"/>
        <v>0</v>
      </c>
    </row>
    <row r="261" spans="1:32">
      <c r="A261" s="604">
        <v>247</v>
      </c>
      <c r="B261" s="316" t="s">
        <v>956</v>
      </c>
      <c r="C261" s="316" t="s">
        <v>486</v>
      </c>
      <c r="D261" s="316" t="s">
        <v>70</v>
      </c>
      <c r="E261" s="602" t="s">
        <v>1571</v>
      </c>
      <c r="F261" s="603">
        <v>0</v>
      </c>
      <c r="G261" s="603">
        <v>4116.9799999999996</v>
      </c>
      <c r="H261" s="603">
        <v>-2315.9699999999998</v>
      </c>
      <c r="I261" s="603">
        <v>-4.5474735088646402E-13</v>
      </c>
      <c r="J261" s="603">
        <v>-10113.19</v>
      </c>
      <c r="K261" s="603">
        <v>-14300.5</v>
      </c>
      <c r="L261" s="603">
        <v>7798.35</v>
      </c>
      <c r="M261" s="603">
        <v>-21758.93</v>
      </c>
      <c r="N261" s="603">
        <v>-25615.66</v>
      </c>
      <c r="O261" s="603">
        <v>0</v>
      </c>
      <c r="P261" s="603">
        <v>0</v>
      </c>
      <c r="Q261" s="603">
        <v>0</v>
      </c>
      <c r="R261" s="603">
        <v>0</v>
      </c>
      <c r="S261" s="484">
        <f t="shared" si="52"/>
        <v>-5182.41</v>
      </c>
      <c r="T261" s="604"/>
      <c r="U261" s="642">
        <f t="shared" si="53"/>
        <v>-5182.41</v>
      </c>
      <c r="V261" s="679"/>
      <c r="W261" s="679"/>
      <c r="X261" s="702"/>
      <c r="Y261" s="679"/>
      <c r="Z261" s="679"/>
      <c r="AA261" s="642"/>
      <c r="AB261" s="679"/>
      <c r="AC261" s="643"/>
      <c r="AD261" s="644">
        <f t="shared" si="54"/>
        <v>-5182.41</v>
      </c>
      <c r="AE261" s="643"/>
      <c r="AF261" s="677">
        <f t="shared" si="50"/>
        <v>0</v>
      </c>
    </row>
    <row r="262" spans="1:32">
      <c r="A262" s="604">
        <v>248</v>
      </c>
      <c r="B262" s="316" t="s">
        <v>956</v>
      </c>
      <c r="C262" s="316" t="s">
        <v>486</v>
      </c>
      <c r="D262" s="316" t="s">
        <v>1156</v>
      </c>
      <c r="E262" s="602" t="s">
        <v>1572</v>
      </c>
      <c r="F262" s="603">
        <v>-1.13686837721616E-13</v>
      </c>
      <c r="G262" s="603">
        <v>-1230.52</v>
      </c>
      <c r="H262" s="603">
        <v>-1472.64</v>
      </c>
      <c r="I262" s="603">
        <v>2.2737367544323201E-13</v>
      </c>
      <c r="J262" s="603">
        <v>-2052</v>
      </c>
      <c r="K262" s="603">
        <v>-2318.9699999999998</v>
      </c>
      <c r="L262" s="603">
        <v>-4.5474735088646402E-13</v>
      </c>
      <c r="M262" s="603">
        <v>-2083.14</v>
      </c>
      <c r="N262" s="603">
        <v>-679.34</v>
      </c>
      <c r="O262" s="603">
        <v>0</v>
      </c>
      <c r="P262" s="603">
        <v>0</v>
      </c>
      <c r="Q262" s="603">
        <v>0</v>
      </c>
      <c r="R262" s="603">
        <v>0</v>
      </c>
      <c r="S262" s="484">
        <f t="shared" si="52"/>
        <v>-819.71749999999986</v>
      </c>
      <c r="T262" s="604"/>
      <c r="U262" s="642">
        <f t="shared" si="53"/>
        <v>-819.71749999999986</v>
      </c>
      <c r="V262" s="679"/>
      <c r="W262" s="679"/>
      <c r="X262" s="702"/>
      <c r="Y262" s="679"/>
      <c r="Z262" s="679"/>
      <c r="AA262" s="642"/>
      <c r="AB262" s="679"/>
      <c r="AC262" s="643"/>
      <c r="AD262" s="644">
        <f t="shared" si="54"/>
        <v>-819.71749999999986</v>
      </c>
      <c r="AE262" s="643"/>
      <c r="AF262" s="677">
        <f t="shared" si="50"/>
        <v>0</v>
      </c>
    </row>
    <row r="263" spans="1:32">
      <c r="A263" s="604">
        <v>249</v>
      </c>
      <c r="B263" s="316" t="s">
        <v>956</v>
      </c>
      <c r="C263" s="316" t="s">
        <v>486</v>
      </c>
      <c r="D263" s="316" t="s">
        <v>93</v>
      </c>
      <c r="E263" s="602" t="s">
        <v>1573</v>
      </c>
      <c r="F263" s="603">
        <v>-7.2759576141834308E-12</v>
      </c>
      <c r="G263" s="603">
        <v>-92131.38</v>
      </c>
      <c r="H263" s="603">
        <v>-53843.67</v>
      </c>
      <c r="I263" s="603">
        <v>-7.2759576141834308E-12</v>
      </c>
      <c r="J263" s="603">
        <v>-102204.33</v>
      </c>
      <c r="K263" s="603">
        <v>-126429.75</v>
      </c>
      <c r="L263" s="603">
        <v>-1.45519152283669E-11</v>
      </c>
      <c r="M263" s="603">
        <v>-169913.37</v>
      </c>
      <c r="N263" s="603">
        <v>-60958.080000000002</v>
      </c>
      <c r="O263" s="603">
        <v>0</v>
      </c>
      <c r="P263" s="603">
        <v>0</v>
      </c>
      <c r="Q263" s="603">
        <v>0</v>
      </c>
      <c r="R263" s="603">
        <v>0</v>
      </c>
      <c r="S263" s="484">
        <f t="shared" si="52"/>
        <v>-50456.714999999997</v>
      </c>
      <c r="T263" s="604"/>
      <c r="U263" s="642">
        <f t="shared" si="53"/>
        <v>-50456.714999999997</v>
      </c>
      <c r="V263" s="679"/>
      <c r="W263" s="679"/>
      <c r="X263" s="702"/>
      <c r="Y263" s="679"/>
      <c r="Z263" s="679"/>
      <c r="AA263" s="642"/>
      <c r="AB263" s="679"/>
      <c r="AC263" s="643"/>
      <c r="AD263" s="644">
        <f t="shared" si="54"/>
        <v>-50456.714999999997</v>
      </c>
      <c r="AE263" s="643"/>
      <c r="AF263" s="677">
        <f t="shared" si="50"/>
        <v>0</v>
      </c>
    </row>
    <row r="264" spans="1:32">
      <c r="A264" s="604">
        <v>250</v>
      </c>
      <c r="B264" s="316" t="s">
        <v>369</v>
      </c>
      <c r="C264" s="316" t="s">
        <v>487</v>
      </c>
      <c r="D264" s="316" t="s">
        <v>369</v>
      </c>
      <c r="E264" s="602" t="s">
        <v>488</v>
      </c>
      <c r="F264" s="603">
        <v>59785.299999999981</v>
      </c>
      <c r="G264" s="603">
        <v>195023.09</v>
      </c>
      <c r="H264" s="603">
        <v>258706.77999999997</v>
      </c>
      <c r="I264" s="603">
        <v>238227.15999999997</v>
      </c>
      <c r="J264" s="603">
        <v>252352.69000000006</v>
      </c>
      <c r="K264" s="603">
        <v>256575.24000000002</v>
      </c>
      <c r="L264" s="603">
        <v>220507.31000000006</v>
      </c>
      <c r="M264" s="603">
        <v>199340.86</v>
      </c>
      <c r="N264" s="603">
        <v>181707.04</v>
      </c>
      <c r="O264" s="603">
        <v>160999.45000000001</v>
      </c>
      <c r="P264" s="603">
        <v>117782.74</v>
      </c>
      <c r="Q264" s="603">
        <v>105294.82</v>
      </c>
      <c r="R264" s="603">
        <v>45130.430000000102</v>
      </c>
      <c r="S264" s="484">
        <f t="shared" si="52"/>
        <v>186581.25375000003</v>
      </c>
      <c r="T264" s="604"/>
      <c r="U264" s="642">
        <f t="shared" si="53"/>
        <v>186581.25375000003</v>
      </c>
      <c r="V264" s="679"/>
      <c r="W264" s="679"/>
      <c r="X264" s="702"/>
      <c r="Y264" s="679"/>
      <c r="Z264" s="679"/>
      <c r="AA264" s="642"/>
      <c r="AB264" s="650"/>
      <c r="AC264" s="643"/>
      <c r="AD264" s="642">
        <f>+S264</f>
        <v>186581.25375000003</v>
      </c>
      <c r="AE264" s="643"/>
      <c r="AF264" s="677">
        <f t="shared" si="50"/>
        <v>0</v>
      </c>
    </row>
    <row r="265" spans="1:32">
      <c r="A265" s="604">
        <v>251</v>
      </c>
      <c r="B265" s="316" t="s">
        <v>1844</v>
      </c>
      <c r="C265" s="316" t="s">
        <v>486</v>
      </c>
      <c r="D265" s="316" t="s">
        <v>447</v>
      </c>
      <c r="E265" s="602" t="s">
        <v>1870</v>
      </c>
      <c r="F265" s="603">
        <v>0</v>
      </c>
      <c r="G265" s="603">
        <v>0</v>
      </c>
      <c r="H265" s="603">
        <v>0</v>
      </c>
      <c r="I265" s="603">
        <v>0</v>
      </c>
      <c r="J265" s="603">
        <v>0</v>
      </c>
      <c r="K265" s="603">
        <v>0</v>
      </c>
      <c r="L265" s="603">
        <v>0</v>
      </c>
      <c r="M265" s="603">
        <v>0</v>
      </c>
      <c r="N265" s="603">
        <v>0</v>
      </c>
      <c r="O265" s="603">
        <v>-160999.45000000001</v>
      </c>
      <c r="P265" s="603">
        <v>-117782.74</v>
      </c>
      <c r="Q265" s="603">
        <v>-95326.51</v>
      </c>
      <c r="R265" s="603">
        <v>-45130.43</v>
      </c>
      <c r="S265" s="484">
        <f t="shared" si="52"/>
        <v>-33056.159583333334</v>
      </c>
      <c r="T265" s="604"/>
      <c r="U265" s="642">
        <f>+S265</f>
        <v>-33056.159583333334</v>
      </c>
      <c r="V265" s="679"/>
      <c r="W265" s="679"/>
      <c r="X265" s="702"/>
      <c r="Y265" s="679"/>
      <c r="Z265" s="679"/>
      <c r="AA265" s="642"/>
      <c r="AB265" s="650"/>
      <c r="AC265" s="643"/>
      <c r="AD265" s="642">
        <f>+S265</f>
        <v>-33056.159583333334</v>
      </c>
      <c r="AE265" s="643"/>
      <c r="AF265" s="677">
        <f t="shared" si="50"/>
        <v>0</v>
      </c>
    </row>
    <row r="266" spans="1:32">
      <c r="A266" s="604">
        <v>252</v>
      </c>
      <c r="B266" s="316" t="s">
        <v>956</v>
      </c>
      <c r="C266" s="316" t="s">
        <v>446</v>
      </c>
      <c r="D266" s="316" t="s">
        <v>1158</v>
      </c>
      <c r="E266" s="602" t="s">
        <v>1574</v>
      </c>
      <c r="F266" s="603">
        <v>2988574.1</v>
      </c>
      <c r="G266" s="603">
        <v>2999372.95</v>
      </c>
      <c r="H266" s="603">
        <v>3011015.48</v>
      </c>
      <c r="I266" s="603">
        <v>3022552.53</v>
      </c>
      <c r="J266" s="603">
        <v>3033980.26</v>
      </c>
      <c r="K266" s="603">
        <v>3024547.99</v>
      </c>
      <c r="L266" s="603">
        <v>3030781.91</v>
      </c>
      <c r="M266" s="603">
        <v>3038151.27</v>
      </c>
      <c r="N266" s="603">
        <v>3045619.03</v>
      </c>
      <c r="O266" s="603">
        <v>3051406.69</v>
      </c>
      <c r="P266" s="603">
        <v>3058727.65</v>
      </c>
      <c r="Q266" s="603">
        <v>3066186.65</v>
      </c>
      <c r="R266" s="603">
        <v>4478392.82</v>
      </c>
      <c r="S266" s="484">
        <f t="shared" si="52"/>
        <v>3092985.4891666663</v>
      </c>
      <c r="T266" s="604"/>
      <c r="U266" s="642">
        <f t="shared" si="53"/>
        <v>3092985.4891666663</v>
      </c>
      <c r="V266" s="679"/>
      <c r="W266" s="679"/>
      <c r="X266" s="702"/>
      <c r="Y266" s="679"/>
      <c r="Z266" s="679"/>
      <c r="AA266" s="642"/>
      <c r="AB266" s="679"/>
      <c r="AC266" s="643"/>
      <c r="AD266" s="644">
        <f>+U266</f>
        <v>3092985.4891666663</v>
      </c>
      <c r="AE266" s="643"/>
      <c r="AF266" s="677">
        <f t="shared" si="50"/>
        <v>0</v>
      </c>
    </row>
    <row r="267" spans="1:32">
      <c r="A267" s="604">
        <v>253</v>
      </c>
      <c r="B267" s="316" t="s">
        <v>1844</v>
      </c>
      <c r="C267" s="316" t="s">
        <v>446</v>
      </c>
      <c r="D267" s="316" t="s">
        <v>1851</v>
      </c>
      <c r="E267" s="602" t="s">
        <v>1585</v>
      </c>
      <c r="F267" s="603">
        <v>0</v>
      </c>
      <c r="G267" s="603">
        <v>-137402.29999999999</v>
      </c>
      <c r="H267" s="603">
        <v>-123637.95</v>
      </c>
      <c r="I267" s="603">
        <v>-108044.38</v>
      </c>
      <c r="J267" s="603">
        <v>-352090.88</v>
      </c>
      <c r="K267" s="603">
        <v>-348666.74</v>
      </c>
      <c r="L267" s="603">
        <v>-346007.64</v>
      </c>
      <c r="M267" s="603">
        <v>-344212.35</v>
      </c>
      <c r="N267" s="603">
        <v>-342762.33</v>
      </c>
      <c r="O267" s="603">
        <v>-341265.44</v>
      </c>
      <c r="P267" s="603">
        <v>-342273.78</v>
      </c>
      <c r="Q267" s="603">
        <v>-331106.38</v>
      </c>
      <c r="R267" s="603">
        <v>-313349.98</v>
      </c>
      <c r="S267" s="484">
        <f t="shared" si="52"/>
        <v>-272845.43</v>
      </c>
      <c r="T267" s="604"/>
      <c r="U267" s="642">
        <f>+S267</f>
        <v>-272845.43</v>
      </c>
      <c r="V267" s="679"/>
      <c r="W267" s="679"/>
      <c r="X267" s="702"/>
      <c r="Y267" s="679"/>
      <c r="Z267" s="679"/>
      <c r="AA267" s="642"/>
      <c r="AB267" s="679"/>
      <c r="AC267" s="643"/>
      <c r="AD267" s="644">
        <f>+S267</f>
        <v>-272845.43</v>
      </c>
      <c r="AE267" s="643"/>
      <c r="AF267" s="677"/>
    </row>
    <row r="268" spans="1:32">
      <c r="A268" s="604">
        <v>254</v>
      </c>
      <c r="B268" s="316" t="s">
        <v>984</v>
      </c>
      <c r="C268" s="316" t="s">
        <v>446</v>
      </c>
      <c r="D268" s="316" t="s">
        <v>1159</v>
      </c>
      <c r="E268" s="602" t="s">
        <v>1575</v>
      </c>
      <c r="F268" s="603">
        <v>29758.74</v>
      </c>
      <c r="G268" s="603">
        <v>23022.73</v>
      </c>
      <c r="H268" s="603">
        <v>16764.68</v>
      </c>
      <c r="I268" s="603">
        <v>9674.23</v>
      </c>
      <c r="J268" s="603">
        <v>4858.92</v>
      </c>
      <c r="K268" s="603">
        <v>2389.2399999999998</v>
      </c>
      <c r="L268" s="603">
        <v>727.03000000000304</v>
      </c>
      <c r="M268" s="603">
        <v>-384.97999999999701</v>
      </c>
      <c r="N268" s="603">
        <v>-1292.25</v>
      </c>
      <c r="O268" s="603">
        <v>-2209.6</v>
      </c>
      <c r="P268" s="603">
        <v>-4708.13</v>
      </c>
      <c r="Q268" s="603">
        <v>62756.39</v>
      </c>
      <c r="R268" s="603">
        <v>52817.54</v>
      </c>
      <c r="S268" s="484">
        <f t="shared" si="52"/>
        <v>12740.533333333335</v>
      </c>
      <c r="T268" s="604"/>
      <c r="U268" s="642"/>
      <c r="V268" s="679"/>
      <c r="W268" s="679"/>
      <c r="X268" s="702">
        <f>+S268</f>
        <v>12740.533333333335</v>
      </c>
      <c r="Y268" s="679"/>
      <c r="Z268" s="679"/>
      <c r="AA268" s="642"/>
      <c r="AB268" s="679">
        <f>+S268</f>
        <v>12740.533333333335</v>
      </c>
      <c r="AC268" s="643"/>
      <c r="AD268" s="644"/>
      <c r="AE268" s="643"/>
      <c r="AF268" s="677">
        <f t="shared" si="50"/>
        <v>0</v>
      </c>
    </row>
    <row r="269" spans="1:32">
      <c r="A269" s="604">
        <v>255</v>
      </c>
      <c r="B269" s="316" t="s">
        <v>984</v>
      </c>
      <c r="C269" s="316" t="s">
        <v>446</v>
      </c>
      <c r="D269" s="316" t="s">
        <v>1160</v>
      </c>
      <c r="E269" s="602" t="s">
        <v>1576</v>
      </c>
      <c r="F269" s="603">
        <v>2049.1300000000101</v>
      </c>
      <c r="G269" s="603">
        <v>41561.81</v>
      </c>
      <c r="H269" s="603">
        <v>41794.050000000003</v>
      </c>
      <c r="I269" s="603">
        <v>42052.61</v>
      </c>
      <c r="J269" s="603">
        <v>69691.89</v>
      </c>
      <c r="K269" s="603">
        <v>70122.2</v>
      </c>
      <c r="L269" s="603">
        <v>70541.2</v>
      </c>
      <c r="M269" s="603">
        <v>70976.759999999995</v>
      </c>
      <c r="N269" s="603">
        <v>71415.009999999995</v>
      </c>
      <c r="O269" s="603">
        <v>71841.740000000005</v>
      </c>
      <c r="P269" s="603">
        <v>72285.33</v>
      </c>
      <c r="Q269" s="603">
        <v>9.9999999656574801E-3</v>
      </c>
      <c r="R269" s="603">
        <v>9.9999999656574801E-3</v>
      </c>
      <c r="S269" s="484">
        <f t="shared" si="52"/>
        <v>51942.264999999992</v>
      </c>
      <c r="T269" s="604"/>
      <c r="U269" s="642"/>
      <c r="V269" s="679"/>
      <c r="W269" s="679"/>
      <c r="X269" s="702">
        <f>+S269</f>
        <v>51942.264999999992</v>
      </c>
      <c r="Y269" s="679"/>
      <c r="Z269" s="679"/>
      <c r="AA269" s="642"/>
      <c r="AB269" s="679">
        <f>+S269</f>
        <v>51942.264999999992</v>
      </c>
      <c r="AC269" s="643"/>
      <c r="AD269" s="644"/>
      <c r="AE269" s="643"/>
      <c r="AF269" s="677">
        <f t="shared" si="50"/>
        <v>0</v>
      </c>
    </row>
    <row r="270" spans="1:32">
      <c r="A270" s="604">
        <v>256</v>
      </c>
      <c r="B270" s="316" t="s">
        <v>984</v>
      </c>
      <c r="C270" s="316" t="s">
        <v>446</v>
      </c>
      <c r="D270" s="316" t="s">
        <v>1161</v>
      </c>
      <c r="E270" s="602" t="s">
        <v>1577</v>
      </c>
      <c r="F270" s="603">
        <v>3298.72</v>
      </c>
      <c r="G270" s="603">
        <v>3003.91</v>
      </c>
      <c r="H270" s="603">
        <v>2728.69</v>
      </c>
      <c r="I270" s="603">
        <v>2421.64</v>
      </c>
      <c r="J270" s="603">
        <v>2168.15</v>
      </c>
      <c r="K270" s="603">
        <v>1888.57</v>
      </c>
      <c r="L270" s="603">
        <v>1614.24</v>
      </c>
      <c r="M270" s="603">
        <v>1342.88</v>
      </c>
      <c r="N270" s="603">
        <v>1077.1600000000001</v>
      </c>
      <c r="O270" s="603">
        <v>809.57</v>
      </c>
      <c r="P270" s="603">
        <v>465.23</v>
      </c>
      <c r="Q270" s="603">
        <v>39036.43</v>
      </c>
      <c r="R270" s="603">
        <v>34796.76</v>
      </c>
      <c r="S270" s="484">
        <f t="shared" si="52"/>
        <v>6300.3508333333339</v>
      </c>
      <c r="T270" s="604"/>
      <c r="U270" s="642"/>
      <c r="V270" s="679"/>
      <c r="W270" s="679"/>
      <c r="X270" s="702">
        <f>+S270</f>
        <v>6300.3508333333339</v>
      </c>
      <c r="Y270" s="679"/>
      <c r="Z270" s="679"/>
      <c r="AA270" s="642"/>
      <c r="AB270" s="679">
        <f>+S270</f>
        <v>6300.3508333333339</v>
      </c>
      <c r="AC270" s="643"/>
      <c r="AD270" s="644"/>
      <c r="AE270" s="643"/>
      <c r="AF270" s="677">
        <f t="shared" si="50"/>
        <v>0</v>
      </c>
    </row>
    <row r="271" spans="1:32">
      <c r="A271" s="604">
        <v>257</v>
      </c>
      <c r="B271" s="316" t="s">
        <v>984</v>
      </c>
      <c r="C271" s="316" t="s">
        <v>446</v>
      </c>
      <c r="D271" s="316" t="s">
        <v>1162</v>
      </c>
      <c r="E271" s="602" t="s">
        <v>1576</v>
      </c>
      <c r="F271" s="603">
        <v>7060.75</v>
      </c>
      <c r="G271" s="603">
        <v>7104.43</v>
      </c>
      <c r="H271" s="603">
        <v>7144.13</v>
      </c>
      <c r="I271" s="603">
        <v>7188.33</v>
      </c>
      <c r="J271" s="603">
        <v>40840.54</v>
      </c>
      <c r="K271" s="603">
        <v>41092.71</v>
      </c>
      <c r="L271" s="603">
        <v>41338.25</v>
      </c>
      <c r="M271" s="603">
        <v>41593.49</v>
      </c>
      <c r="N271" s="603">
        <v>41850.31</v>
      </c>
      <c r="O271" s="603">
        <v>42100.38</v>
      </c>
      <c r="P271" s="603">
        <v>47546.63</v>
      </c>
      <c r="Q271" s="603">
        <v>5217.29</v>
      </c>
      <c r="R271" s="603">
        <v>5249.5</v>
      </c>
      <c r="S271" s="484">
        <f t="shared" si="52"/>
        <v>27430.967916666665</v>
      </c>
      <c r="T271" s="604"/>
      <c r="U271" s="646"/>
      <c r="V271" s="679"/>
      <c r="W271" s="679"/>
      <c r="X271" s="702">
        <f>+S271</f>
        <v>27430.967916666665</v>
      </c>
      <c r="Y271" s="679"/>
      <c r="Z271" s="679"/>
      <c r="AA271" s="642"/>
      <c r="AB271" s="650">
        <f>+S271</f>
        <v>27430.967916666665</v>
      </c>
      <c r="AC271" s="643"/>
      <c r="AD271" s="642"/>
      <c r="AE271" s="643"/>
      <c r="AF271" s="677">
        <f t="shared" si="50"/>
        <v>0</v>
      </c>
    </row>
    <row r="272" spans="1:32">
      <c r="A272" s="604">
        <v>258</v>
      </c>
      <c r="B272" s="316" t="s">
        <v>959</v>
      </c>
      <c r="C272" s="316" t="s">
        <v>446</v>
      </c>
      <c r="D272" s="316" t="s">
        <v>1163</v>
      </c>
      <c r="E272" s="602" t="s">
        <v>1580</v>
      </c>
      <c r="F272" s="603">
        <v>14082715.25</v>
      </c>
      <c r="G272" s="603">
        <v>14082715.25</v>
      </c>
      <c r="H272" s="603">
        <v>14117014.77</v>
      </c>
      <c r="I272" s="603">
        <v>14103400.560000001</v>
      </c>
      <c r="J272" s="603">
        <v>13142221.01</v>
      </c>
      <c r="K272" s="603">
        <v>13168075.51</v>
      </c>
      <c r="L272" s="603">
        <v>13174573.15</v>
      </c>
      <c r="M272" s="603">
        <v>13175998.15</v>
      </c>
      <c r="N272" s="603">
        <v>12807390.439999999</v>
      </c>
      <c r="O272" s="603">
        <v>12850165.449999999</v>
      </c>
      <c r="P272" s="603">
        <v>12853231.449999999</v>
      </c>
      <c r="Q272" s="603">
        <v>12853380.32</v>
      </c>
      <c r="R272" s="603">
        <v>12592136.48</v>
      </c>
      <c r="S272" s="484">
        <f t="shared" si="52"/>
        <v>13305465.99375</v>
      </c>
      <c r="T272" s="604"/>
      <c r="U272" s="646">
        <f>+S272</f>
        <v>13305465.99375</v>
      </c>
      <c r="V272" s="679"/>
      <c r="W272" s="679"/>
      <c r="X272" s="702"/>
      <c r="Y272" s="679"/>
      <c r="Z272" s="679"/>
      <c r="AA272" s="642"/>
      <c r="AB272" s="650"/>
      <c r="AC272" s="643"/>
      <c r="AD272" s="642">
        <f>+S272</f>
        <v>13305465.99375</v>
      </c>
      <c r="AE272" s="643"/>
      <c r="AF272" s="677">
        <f t="shared" si="50"/>
        <v>0</v>
      </c>
    </row>
    <row r="273" spans="1:32">
      <c r="A273" s="604">
        <v>259</v>
      </c>
      <c r="B273" s="316" t="s">
        <v>959</v>
      </c>
      <c r="C273" s="316" t="s">
        <v>446</v>
      </c>
      <c r="D273" s="316" t="s">
        <v>1392</v>
      </c>
      <c r="E273" s="602" t="s">
        <v>1581</v>
      </c>
      <c r="F273" s="603">
        <v>466500</v>
      </c>
      <c r="G273" s="603">
        <v>466500</v>
      </c>
      <c r="H273" s="603">
        <v>466500</v>
      </c>
      <c r="I273" s="603">
        <v>466500</v>
      </c>
      <c r="J273" s="603">
        <v>466500</v>
      </c>
      <c r="K273" s="603">
        <v>466500</v>
      </c>
      <c r="L273" s="603">
        <v>466500</v>
      </c>
      <c r="M273" s="603">
        <v>466500</v>
      </c>
      <c r="N273" s="603">
        <v>466500</v>
      </c>
      <c r="O273" s="603">
        <v>466500</v>
      </c>
      <c r="P273" s="603">
        <v>466500</v>
      </c>
      <c r="Q273" s="603">
        <v>466500</v>
      </c>
      <c r="R273" s="603">
        <v>466500</v>
      </c>
      <c r="S273" s="484">
        <f t="shared" si="52"/>
        <v>466500</v>
      </c>
      <c r="T273" s="604"/>
      <c r="U273" s="646">
        <f>+S273</f>
        <v>466500</v>
      </c>
      <c r="V273" s="679"/>
      <c r="W273" s="679"/>
      <c r="X273" s="702"/>
      <c r="Y273" s="679"/>
      <c r="Z273" s="679"/>
      <c r="AA273" s="642"/>
      <c r="AB273" s="650"/>
      <c r="AC273" s="643"/>
      <c r="AD273" s="642">
        <f>+S273</f>
        <v>466500</v>
      </c>
      <c r="AE273" s="643"/>
      <c r="AF273" s="677">
        <f t="shared" si="50"/>
        <v>0</v>
      </c>
    </row>
    <row r="274" spans="1:32">
      <c r="A274" s="604">
        <v>260</v>
      </c>
      <c r="B274" s="316" t="s">
        <v>984</v>
      </c>
      <c r="C274" s="316" t="s">
        <v>446</v>
      </c>
      <c r="D274" s="316" t="s">
        <v>1164</v>
      </c>
      <c r="E274" s="602" t="s">
        <v>1578</v>
      </c>
      <c r="F274" s="603">
        <v>1883502.85</v>
      </c>
      <c r="G274" s="603">
        <v>1917787.71</v>
      </c>
      <c r="H274" s="603">
        <v>1888055.06</v>
      </c>
      <c r="I274" s="603">
        <v>1892076.67</v>
      </c>
      <c r="J274" s="603">
        <v>1677901.94</v>
      </c>
      <c r="K274" s="603">
        <v>1677702.78</v>
      </c>
      <c r="L274" s="603">
        <v>1132434.1399999999</v>
      </c>
      <c r="M274" s="603">
        <v>1139554.56</v>
      </c>
      <c r="N274" s="603">
        <v>1141824.44</v>
      </c>
      <c r="O274" s="603">
        <v>1143561.54</v>
      </c>
      <c r="P274" s="603">
        <v>1144594.2</v>
      </c>
      <c r="Q274" s="603">
        <v>1153377.47</v>
      </c>
      <c r="R274" s="603">
        <v>993974.16</v>
      </c>
      <c r="S274" s="484">
        <f t="shared" si="52"/>
        <v>1445634.0845833335</v>
      </c>
      <c r="T274" s="604"/>
      <c r="U274" s="646"/>
      <c r="V274" s="679"/>
      <c r="W274" s="679"/>
      <c r="X274" s="702">
        <f t="shared" ref="X274:X291" si="55">+S274</f>
        <v>1445634.0845833335</v>
      </c>
      <c r="Y274" s="679"/>
      <c r="Z274" s="679"/>
      <c r="AA274" s="642"/>
      <c r="AB274" s="679">
        <f>+S274</f>
        <v>1445634.0845833335</v>
      </c>
      <c r="AC274" s="643"/>
      <c r="AD274" s="644"/>
      <c r="AE274" s="643"/>
      <c r="AF274" s="677">
        <f t="shared" si="50"/>
        <v>0</v>
      </c>
    </row>
    <row r="275" spans="1:32">
      <c r="A275" s="604">
        <v>261</v>
      </c>
      <c r="B275" s="316" t="s">
        <v>959</v>
      </c>
      <c r="C275" s="316" t="s">
        <v>446</v>
      </c>
      <c r="D275" s="316" t="s">
        <v>1166</v>
      </c>
      <c r="E275" s="602" t="s">
        <v>1582</v>
      </c>
      <c r="F275" s="603">
        <v>5432079.7599999998</v>
      </c>
      <c r="G275" s="603">
        <v>5432079.7599999998</v>
      </c>
      <c r="H275" s="603">
        <v>5433357.4199999999</v>
      </c>
      <c r="I275" s="603">
        <v>5467967.3399999999</v>
      </c>
      <c r="J275" s="603">
        <v>5538241.4100000001</v>
      </c>
      <c r="K275" s="603">
        <v>5543262.6600000001</v>
      </c>
      <c r="L275" s="603">
        <v>5543700.8300000001</v>
      </c>
      <c r="M275" s="603">
        <v>6305032.2699999996</v>
      </c>
      <c r="N275" s="603">
        <v>6486405.6200000001</v>
      </c>
      <c r="O275" s="603">
        <v>6930150.8300000001</v>
      </c>
      <c r="P275" s="603">
        <v>7465365.1200000001</v>
      </c>
      <c r="Q275" s="603">
        <v>7744088.04</v>
      </c>
      <c r="R275" s="603">
        <v>8015406.3799999999</v>
      </c>
      <c r="S275" s="484">
        <f t="shared" si="52"/>
        <v>6217782.8641666668</v>
      </c>
      <c r="T275" s="604"/>
      <c r="U275" s="646">
        <f>+S275</f>
        <v>6217782.8641666668</v>
      </c>
      <c r="V275" s="679"/>
      <c r="W275" s="679"/>
      <c r="X275" s="702"/>
      <c r="Y275" s="679"/>
      <c r="Z275" s="679"/>
      <c r="AA275" s="642"/>
      <c r="AB275" s="679"/>
      <c r="AC275" s="643"/>
      <c r="AD275" s="644">
        <f>+S275</f>
        <v>6217782.8641666668</v>
      </c>
      <c r="AE275" s="643"/>
      <c r="AF275" s="677">
        <f t="shared" si="50"/>
        <v>0</v>
      </c>
    </row>
    <row r="276" spans="1:32">
      <c r="A276" s="604">
        <v>262</v>
      </c>
      <c r="B276" s="316" t="s">
        <v>959</v>
      </c>
      <c r="C276" s="316" t="s">
        <v>446</v>
      </c>
      <c r="D276" s="316" t="s">
        <v>1393</v>
      </c>
      <c r="E276" s="602" t="s">
        <v>1595</v>
      </c>
      <c r="F276" s="603">
        <v>5197058.3</v>
      </c>
      <c r="G276" s="603">
        <v>5151866.49</v>
      </c>
      <c r="H276" s="603">
        <v>5106674.68</v>
      </c>
      <c r="I276" s="603">
        <v>5061482.87</v>
      </c>
      <c r="J276" s="603">
        <v>5016291.0599999996</v>
      </c>
      <c r="K276" s="603">
        <v>4971099.25</v>
      </c>
      <c r="L276" s="603">
        <v>4925907.4400000004</v>
      </c>
      <c r="M276" s="603">
        <v>4880715.63</v>
      </c>
      <c r="N276" s="603">
        <v>4835523.82</v>
      </c>
      <c r="O276" s="603">
        <v>4790332.01</v>
      </c>
      <c r="P276" s="603">
        <v>4745140.2</v>
      </c>
      <c r="Q276" s="603">
        <v>4699948.3899999997</v>
      </c>
      <c r="R276" s="603">
        <v>4654756.58</v>
      </c>
      <c r="S276" s="484">
        <f t="shared" si="52"/>
        <v>4925907.4400000004</v>
      </c>
      <c r="T276" s="604"/>
      <c r="U276" s="646">
        <f>+S276</f>
        <v>4925907.4400000004</v>
      </c>
      <c r="V276" s="679"/>
      <c r="W276" s="679"/>
      <c r="X276" s="702"/>
      <c r="Y276" s="679"/>
      <c r="Z276" s="679"/>
      <c r="AA276" s="642"/>
      <c r="AB276" s="679">
        <f>+X276</f>
        <v>0</v>
      </c>
      <c r="AC276" s="643"/>
      <c r="AD276" s="644">
        <f>+S276</f>
        <v>4925907.4400000004</v>
      </c>
      <c r="AE276" s="643"/>
      <c r="AF276" s="677">
        <f t="shared" si="50"/>
        <v>0</v>
      </c>
    </row>
    <row r="277" spans="1:32">
      <c r="A277" s="604">
        <v>263</v>
      </c>
      <c r="B277" s="316" t="s">
        <v>984</v>
      </c>
      <c r="C277" s="316" t="s">
        <v>446</v>
      </c>
      <c r="D277" s="316" t="s">
        <v>1394</v>
      </c>
      <c r="E277" s="602" t="s">
        <v>1579</v>
      </c>
      <c r="F277" s="603">
        <v>70723.14</v>
      </c>
      <c r="G277" s="603">
        <v>62709.42</v>
      </c>
      <c r="H277" s="603">
        <v>55206.400000000001</v>
      </c>
      <c r="I277" s="603">
        <v>46707.57</v>
      </c>
      <c r="J277" s="603">
        <v>234531.38</v>
      </c>
      <c r="K277" s="603">
        <v>233174.02</v>
      </c>
      <c r="L277" s="603">
        <v>231786.92</v>
      </c>
      <c r="M277" s="603">
        <v>230684.2</v>
      </c>
      <c r="N277" s="603">
        <v>229712.1</v>
      </c>
      <c r="O277" s="603">
        <v>228723.35</v>
      </c>
      <c r="P277" s="603">
        <v>226684.72</v>
      </c>
      <c r="Q277" s="603">
        <v>224096.26</v>
      </c>
      <c r="R277" s="603">
        <v>220486.17</v>
      </c>
      <c r="S277" s="484">
        <f t="shared" si="52"/>
        <v>179135.08291666667</v>
      </c>
      <c r="T277" s="604"/>
      <c r="U277" s="642"/>
      <c r="V277" s="679"/>
      <c r="W277" s="679"/>
      <c r="X277" s="702">
        <f t="shared" si="55"/>
        <v>179135.08291666667</v>
      </c>
      <c r="Y277" s="679"/>
      <c r="Z277" s="679"/>
      <c r="AA277" s="642"/>
      <c r="AB277" s="679">
        <f>+X277</f>
        <v>179135.08291666667</v>
      </c>
      <c r="AC277" s="643"/>
      <c r="AD277" s="644"/>
      <c r="AE277" s="643"/>
      <c r="AF277" s="677">
        <f t="shared" si="50"/>
        <v>0</v>
      </c>
    </row>
    <row r="278" spans="1:32">
      <c r="A278" s="604">
        <v>264</v>
      </c>
      <c r="B278" s="316" t="s">
        <v>984</v>
      </c>
      <c r="C278" s="316" t="s">
        <v>446</v>
      </c>
      <c r="D278" s="316" t="s">
        <v>1408</v>
      </c>
      <c r="E278" s="602" t="s">
        <v>1582</v>
      </c>
      <c r="F278" s="603">
        <v>0</v>
      </c>
      <c r="G278" s="603">
        <v>0</v>
      </c>
      <c r="H278" s="603">
        <v>0</v>
      </c>
      <c r="I278" s="603">
        <v>0</v>
      </c>
      <c r="J278" s="603">
        <v>567072.48</v>
      </c>
      <c r="K278" s="603">
        <v>550870.41</v>
      </c>
      <c r="L278" s="603">
        <v>534668.34</v>
      </c>
      <c r="M278" s="603">
        <v>518466.27</v>
      </c>
      <c r="N278" s="603">
        <v>502264.2</v>
      </c>
      <c r="O278" s="603">
        <v>486062.13</v>
      </c>
      <c r="P278" s="603">
        <v>469860.06</v>
      </c>
      <c r="Q278" s="603">
        <v>453657.99</v>
      </c>
      <c r="R278" s="603">
        <v>437455.92</v>
      </c>
      <c r="S278" s="484">
        <f t="shared" si="52"/>
        <v>358470.82</v>
      </c>
      <c r="T278" s="604"/>
      <c r="U278" s="642"/>
      <c r="V278" s="679"/>
      <c r="W278" s="679"/>
      <c r="X278" s="702">
        <f>+S278</f>
        <v>358470.82</v>
      </c>
      <c r="Y278" s="679"/>
      <c r="Z278" s="679"/>
      <c r="AA278" s="642"/>
      <c r="AB278" s="679">
        <f>+S278</f>
        <v>358470.82</v>
      </c>
      <c r="AC278" s="643"/>
      <c r="AD278" s="644"/>
      <c r="AE278" s="643"/>
      <c r="AF278" s="677"/>
    </row>
    <row r="279" spans="1:32">
      <c r="A279" s="604">
        <v>265</v>
      </c>
      <c r="B279" s="316" t="s">
        <v>959</v>
      </c>
      <c r="C279" s="316" t="s">
        <v>446</v>
      </c>
      <c r="D279" s="316" t="s">
        <v>1409</v>
      </c>
      <c r="E279" s="602" t="s">
        <v>1871</v>
      </c>
      <c r="F279" s="603">
        <v>0</v>
      </c>
      <c r="G279" s="603">
        <v>0</v>
      </c>
      <c r="H279" s="603">
        <v>0</v>
      </c>
      <c r="I279" s="603">
        <v>0</v>
      </c>
      <c r="J279" s="603">
        <v>0</v>
      </c>
      <c r="K279" s="603">
        <v>0</v>
      </c>
      <c r="L279" s="603">
        <v>0</v>
      </c>
      <c r="M279" s="603">
        <v>0</v>
      </c>
      <c r="N279" s="603">
        <v>0</v>
      </c>
      <c r="O279" s="603">
        <v>0</v>
      </c>
      <c r="P279" s="603">
        <v>0</v>
      </c>
      <c r="Q279" s="603">
        <v>0</v>
      </c>
      <c r="R279" s="603">
        <v>277480.27</v>
      </c>
      <c r="S279" s="484">
        <f t="shared" si="52"/>
        <v>11561.677916666667</v>
      </c>
      <c r="T279" s="604"/>
      <c r="U279" s="642">
        <f>+S279</f>
        <v>11561.677916666667</v>
      </c>
      <c r="V279" s="679"/>
      <c r="W279" s="679"/>
      <c r="X279" s="702"/>
      <c r="Y279" s="679"/>
      <c r="Z279" s="679"/>
      <c r="AA279" s="642"/>
      <c r="AB279" s="679"/>
      <c r="AC279" s="643"/>
      <c r="AD279" s="644">
        <f>+S279</f>
        <v>11561.677916666667</v>
      </c>
      <c r="AE279" s="643"/>
      <c r="AF279" s="677"/>
    </row>
    <row r="280" spans="1:32">
      <c r="A280" s="604">
        <v>266</v>
      </c>
      <c r="B280" s="316" t="s">
        <v>1844</v>
      </c>
      <c r="C280" s="316" t="s">
        <v>489</v>
      </c>
      <c r="D280" s="316" t="s">
        <v>1851</v>
      </c>
      <c r="E280" s="602" t="s">
        <v>1585</v>
      </c>
      <c r="F280" s="603">
        <v>0</v>
      </c>
      <c r="G280" s="603">
        <v>641534.98</v>
      </c>
      <c r="H280" s="603">
        <v>1111122.68</v>
      </c>
      <c r="I280" s="603">
        <v>2014787.43</v>
      </c>
      <c r="J280" s="603">
        <v>2241907.98</v>
      </c>
      <c r="K280" s="603">
        <v>1798183.13</v>
      </c>
      <c r="L280" s="603">
        <v>1844315.2</v>
      </c>
      <c r="M280" s="603">
        <v>1839483.45</v>
      </c>
      <c r="N280" s="603">
        <v>1589409.23</v>
      </c>
      <c r="O280" s="603">
        <v>1673282.96</v>
      </c>
      <c r="P280" s="603">
        <v>2483085.9500000002</v>
      </c>
      <c r="Q280" s="603">
        <v>2304319.4700000002</v>
      </c>
      <c r="R280" s="603">
        <v>1784571.53</v>
      </c>
      <c r="S280" s="484">
        <f t="shared" si="52"/>
        <v>1702809.8520833331</v>
      </c>
      <c r="T280" s="604"/>
      <c r="U280" s="642"/>
      <c r="V280" s="679">
        <f>+S280</f>
        <v>1702809.8520833331</v>
      </c>
      <c r="W280" s="679"/>
      <c r="X280" s="702"/>
      <c r="Y280" s="679"/>
      <c r="Z280" s="679"/>
      <c r="AA280" s="642"/>
      <c r="AB280" s="679"/>
      <c r="AC280" s="643"/>
      <c r="AD280" s="644">
        <f>+S280</f>
        <v>1702809.8520833331</v>
      </c>
      <c r="AE280" s="643"/>
      <c r="AF280" s="677"/>
    </row>
    <row r="281" spans="1:32">
      <c r="A281" s="604">
        <v>267</v>
      </c>
      <c r="B281" s="316" t="s">
        <v>1844</v>
      </c>
      <c r="C281" s="316" t="s">
        <v>489</v>
      </c>
      <c r="D281" s="316" t="s">
        <v>1853</v>
      </c>
      <c r="E281" s="602" t="s">
        <v>1585</v>
      </c>
      <c r="F281" s="603">
        <v>0</v>
      </c>
      <c r="G281" s="603">
        <v>1598763.47</v>
      </c>
      <c r="H281" s="603">
        <v>4137153.52</v>
      </c>
      <c r="I281" s="603">
        <v>4682162.58</v>
      </c>
      <c r="J281" s="603">
        <v>3891731.19</v>
      </c>
      <c r="K281" s="603">
        <v>3688842.38</v>
      </c>
      <c r="L281" s="603">
        <v>3465330.59</v>
      </c>
      <c r="M281" s="603">
        <v>3444803.79</v>
      </c>
      <c r="N281" s="603">
        <v>3048805.93</v>
      </c>
      <c r="O281" s="603">
        <v>3133600.3</v>
      </c>
      <c r="P281" s="603">
        <v>3430358.19</v>
      </c>
      <c r="Q281" s="603">
        <v>3793768.43</v>
      </c>
      <c r="R281" s="603">
        <v>2992929.3</v>
      </c>
      <c r="S281" s="484">
        <f t="shared" si="52"/>
        <v>3317648.7516666665</v>
      </c>
      <c r="T281" s="604"/>
      <c r="U281" s="642"/>
      <c r="V281" s="679">
        <f>+S281</f>
        <v>3317648.7516666665</v>
      </c>
      <c r="W281" s="679"/>
      <c r="X281" s="702"/>
      <c r="Y281" s="679"/>
      <c r="Z281" s="679"/>
      <c r="AA281" s="642"/>
      <c r="AB281" s="679"/>
      <c r="AC281" s="643"/>
      <c r="AD281" s="644">
        <f>+S281</f>
        <v>3317648.7516666665</v>
      </c>
      <c r="AE281" s="643"/>
      <c r="AF281" s="677"/>
    </row>
    <row r="282" spans="1:32">
      <c r="A282" s="604">
        <v>268</v>
      </c>
      <c r="B282" s="316" t="s">
        <v>959</v>
      </c>
      <c r="C282" s="316" t="s">
        <v>489</v>
      </c>
      <c r="D282" s="316" t="s">
        <v>1167</v>
      </c>
      <c r="E282" s="602" t="s">
        <v>1587</v>
      </c>
      <c r="F282" s="603">
        <v>0</v>
      </c>
      <c r="G282" s="603">
        <v>0</v>
      </c>
      <c r="H282" s="603">
        <v>0</v>
      </c>
      <c r="I282" s="603">
        <v>0</v>
      </c>
      <c r="J282" s="603">
        <v>0</v>
      </c>
      <c r="K282" s="603">
        <v>0</v>
      </c>
      <c r="L282" s="603">
        <v>0</v>
      </c>
      <c r="M282" s="603">
        <v>0</v>
      </c>
      <c r="N282" s="603">
        <v>0</v>
      </c>
      <c r="O282" s="603">
        <v>0</v>
      </c>
      <c r="P282" s="603">
        <v>0</v>
      </c>
      <c r="Q282" s="603">
        <v>0</v>
      </c>
      <c r="R282" s="603">
        <v>0</v>
      </c>
      <c r="S282" s="484">
        <f t="shared" si="52"/>
        <v>0</v>
      </c>
      <c r="T282" s="604"/>
      <c r="U282" s="642"/>
      <c r="V282" s="679"/>
      <c r="W282" s="679"/>
      <c r="X282" s="702">
        <f t="shared" si="55"/>
        <v>0</v>
      </c>
      <c r="Y282" s="679"/>
      <c r="Z282" s="679"/>
      <c r="AA282" s="642"/>
      <c r="AB282" s="679">
        <f t="shared" ref="AB282:AB291" si="56">+X282</f>
        <v>0</v>
      </c>
      <c r="AC282" s="643"/>
      <c r="AD282" s="644"/>
      <c r="AE282" s="643"/>
      <c r="AF282" s="677">
        <f t="shared" si="50"/>
        <v>0</v>
      </c>
    </row>
    <row r="283" spans="1:32">
      <c r="A283" s="604">
        <v>269</v>
      </c>
      <c r="B283" s="316" t="s">
        <v>959</v>
      </c>
      <c r="C283" s="316" t="s">
        <v>489</v>
      </c>
      <c r="D283" s="316" t="s">
        <v>1168</v>
      </c>
      <c r="E283" s="602" t="s">
        <v>1588</v>
      </c>
      <c r="F283" s="603">
        <v>0</v>
      </c>
      <c r="G283" s="603">
        <v>0</v>
      </c>
      <c r="H283" s="603">
        <v>0</v>
      </c>
      <c r="I283" s="603">
        <v>0</v>
      </c>
      <c r="J283" s="603">
        <v>0</v>
      </c>
      <c r="K283" s="603">
        <v>0</v>
      </c>
      <c r="L283" s="603">
        <v>0</v>
      </c>
      <c r="M283" s="603">
        <v>0</v>
      </c>
      <c r="N283" s="603">
        <v>0</v>
      </c>
      <c r="O283" s="603">
        <v>0</v>
      </c>
      <c r="P283" s="603">
        <v>0</v>
      </c>
      <c r="Q283" s="603">
        <v>0</v>
      </c>
      <c r="R283" s="603">
        <v>0</v>
      </c>
      <c r="S283" s="484">
        <f t="shared" si="52"/>
        <v>0</v>
      </c>
      <c r="T283" s="604"/>
      <c r="U283" s="642"/>
      <c r="V283" s="679"/>
      <c r="W283" s="679"/>
      <c r="X283" s="702">
        <f t="shared" si="55"/>
        <v>0</v>
      </c>
      <c r="Y283" s="679"/>
      <c r="Z283" s="679"/>
      <c r="AA283" s="642"/>
      <c r="AB283" s="679">
        <f t="shared" si="56"/>
        <v>0</v>
      </c>
      <c r="AC283" s="643"/>
      <c r="AD283" s="644"/>
      <c r="AE283" s="643"/>
      <c r="AF283" s="677">
        <f t="shared" si="50"/>
        <v>0</v>
      </c>
    </row>
    <row r="284" spans="1:32">
      <c r="A284" s="604">
        <v>270</v>
      </c>
      <c r="B284" s="316" t="s">
        <v>959</v>
      </c>
      <c r="C284" s="316" t="s">
        <v>489</v>
      </c>
      <c r="D284" s="316" t="s">
        <v>1160</v>
      </c>
      <c r="E284" s="602" t="s">
        <v>1589</v>
      </c>
      <c r="F284" s="603">
        <v>0</v>
      </c>
      <c r="G284" s="603">
        <v>0</v>
      </c>
      <c r="H284" s="603">
        <v>0</v>
      </c>
      <c r="I284" s="603">
        <v>0</v>
      </c>
      <c r="J284" s="603">
        <v>0</v>
      </c>
      <c r="K284" s="603">
        <v>0</v>
      </c>
      <c r="L284" s="603">
        <v>0</v>
      </c>
      <c r="M284" s="603">
        <v>0</v>
      </c>
      <c r="N284" s="603">
        <v>0</v>
      </c>
      <c r="O284" s="603">
        <v>0</v>
      </c>
      <c r="P284" s="603">
        <v>0</v>
      </c>
      <c r="Q284" s="603">
        <v>0</v>
      </c>
      <c r="R284" s="603">
        <v>0</v>
      </c>
      <c r="S284" s="484">
        <f t="shared" si="52"/>
        <v>0</v>
      </c>
      <c r="T284" s="604"/>
      <c r="U284" s="642"/>
      <c r="V284" s="679"/>
      <c r="W284" s="679"/>
      <c r="X284" s="702">
        <f t="shared" si="55"/>
        <v>0</v>
      </c>
      <c r="Y284" s="679"/>
      <c r="Z284" s="679"/>
      <c r="AA284" s="642"/>
      <c r="AB284" s="679">
        <f t="shared" si="56"/>
        <v>0</v>
      </c>
      <c r="AC284" s="643"/>
      <c r="AD284" s="644"/>
      <c r="AE284" s="643"/>
      <c r="AF284" s="677">
        <f t="shared" si="50"/>
        <v>0</v>
      </c>
    </row>
    <row r="285" spans="1:32">
      <c r="A285" s="604">
        <v>271</v>
      </c>
      <c r="B285" s="316" t="s">
        <v>959</v>
      </c>
      <c r="C285" s="316" t="s">
        <v>489</v>
      </c>
      <c r="D285" s="316" t="s">
        <v>1162</v>
      </c>
      <c r="E285" s="602" t="s">
        <v>1590</v>
      </c>
      <c r="F285" s="603">
        <v>0</v>
      </c>
      <c r="G285" s="603">
        <v>0</v>
      </c>
      <c r="H285" s="603">
        <v>0</v>
      </c>
      <c r="I285" s="603">
        <v>0</v>
      </c>
      <c r="J285" s="603">
        <v>0</v>
      </c>
      <c r="K285" s="603">
        <v>0</v>
      </c>
      <c r="L285" s="603">
        <v>0</v>
      </c>
      <c r="M285" s="603">
        <v>0</v>
      </c>
      <c r="N285" s="603">
        <v>0</v>
      </c>
      <c r="O285" s="603">
        <v>0</v>
      </c>
      <c r="P285" s="603">
        <v>0</v>
      </c>
      <c r="Q285" s="603">
        <v>0</v>
      </c>
      <c r="R285" s="603">
        <v>0</v>
      </c>
      <c r="S285" s="484">
        <f t="shared" si="52"/>
        <v>0</v>
      </c>
      <c r="T285" s="604"/>
      <c r="U285" s="642"/>
      <c r="V285" s="679"/>
      <c r="W285" s="679"/>
      <c r="X285" s="702">
        <f t="shared" si="55"/>
        <v>0</v>
      </c>
      <c r="Y285" s="679"/>
      <c r="Z285" s="679"/>
      <c r="AA285" s="642"/>
      <c r="AB285" s="679">
        <f t="shared" si="56"/>
        <v>0</v>
      </c>
      <c r="AC285" s="643"/>
      <c r="AD285" s="644"/>
      <c r="AE285" s="643"/>
      <c r="AF285" s="677">
        <f t="shared" si="50"/>
        <v>0</v>
      </c>
    </row>
    <row r="286" spans="1:32">
      <c r="A286" s="604">
        <v>272</v>
      </c>
      <c r="B286" s="316" t="s">
        <v>984</v>
      </c>
      <c r="C286" s="316" t="s">
        <v>489</v>
      </c>
      <c r="D286" s="316" t="s">
        <v>1169</v>
      </c>
      <c r="E286" s="602" t="s">
        <v>1583</v>
      </c>
      <c r="F286" s="603">
        <v>643838.16</v>
      </c>
      <c r="G286" s="603">
        <v>984986.82</v>
      </c>
      <c r="H286" s="603">
        <v>329914.84000000003</v>
      </c>
      <c r="I286" s="603">
        <v>-368987.36</v>
      </c>
      <c r="J286" s="603">
        <v>-123533.88</v>
      </c>
      <c r="K286" s="603">
        <v>166169.65</v>
      </c>
      <c r="L286" s="603">
        <v>207631.55</v>
      </c>
      <c r="M286" s="603">
        <v>208913.58</v>
      </c>
      <c r="N286" s="603">
        <v>210203.51999999999</v>
      </c>
      <c r="O286" s="603">
        <v>205820.39</v>
      </c>
      <c r="P286" s="603">
        <v>-238349.44</v>
      </c>
      <c r="Q286" s="603">
        <v>-513985.37</v>
      </c>
      <c r="R286" s="603">
        <v>-35331.469999999899</v>
      </c>
      <c r="S286" s="484">
        <f t="shared" si="52"/>
        <v>114419.80375000001</v>
      </c>
      <c r="T286" s="604"/>
      <c r="U286" s="642"/>
      <c r="V286" s="679"/>
      <c r="W286" s="679"/>
      <c r="X286" s="702">
        <f t="shared" si="55"/>
        <v>114419.80375000001</v>
      </c>
      <c r="Y286" s="679"/>
      <c r="Z286" s="679"/>
      <c r="AA286" s="642"/>
      <c r="AB286" s="679">
        <f t="shared" si="56"/>
        <v>114419.80375000001</v>
      </c>
      <c r="AC286" s="643"/>
      <c r="AD286" s="644"/>
      <c r="AE286" s="643"/>
      <c r="AF286" s="677">
        <f t="shared" si="50"/>
        <v>0</v>
      </c>
    </row>
    <row r="287" spans="1:32">
      <c r="A287" s="604">
        <v>273</v>
      </c>
      <c r="B287" s="316" t="s">
        <v>984</v>
      </c>
      <c r="C287" s="316" t="s">
        <v>489</v>
      </c>
      <c r="D287" s="316" t="s">
        <v>1170</v>
      </c>
      <c r="E287" s="602" t="s">
        <v>1584</v>
      </c>
      <c r="F287" s="603">
        <v>-228902.82</v>
      </c>
      <c r="G287" s="603">
        <v>-1130641.23</v>
      </c>
      <c r="H287" s="603">
        <v>-1158532.98</v>
      </c>
      <c r="I287" s="603">
        <v>-1532863.72</v>
      </c>
      <c r="J287" s="603">
        <v>-2118355.13</v>
      </c>
      <c r="K287" s="603">
        <v>-2008163.65</v>
      </c>
      <c r="L287" s="603">
        <v>-2142432.1</v>
      </c>
      <c r="M287" s="603">
        <v>-2174164.87</v>
      </c>
      <c r="N287" s="603">
        <v>-1947628.44</v>
      </c>
      <c r="O287" s="603">
        <v>-2078140.8</v>
      </c>
      <c r="P287" s="603">
        <v>-2580194.39</v>
      </c>
      <c r="Q287" s="603">
        <v>-360682.3</v>
      </c>
      <c r="R287" s="603">
        <v>-590581.18999999994</v>
      </c>
      <c r="S287" s="484">
        <f t="shared" si="52"/>
        <v>-1636795.1345833333</v>
      </c>
      <c r="T287" s="604"/>
      <c r="U287" s="642"/>
      <c r="V287" s="679"/>
      <c r="W287" s="679"/>
      <c r="X287" s="702">
        <f t="shared" si="55"/>
        <v>-1636795.1345833333</v>
      </c>
      <c r="Y287" s="679"/>
      <c r="Z287" s="679"/>
      <c r="AA287" s="642"/>
      <c r="AB287" s="679">
        <f t="shared" si="56"/>
        <v>-1636795.1345833333</v>
      </c>
      <c r="AC287" s="643"/>
      <c r="AD287" s="644"/>
      <c r="AE287" s="643"/>
      <c r="AF287" s="677">
        <f t="shared" si="50"/>
        <v>0</v>
      </c>
    </row>
    <row r="288" spans="1:32">
      <c r="A288" s="604">
        <v>274</v>
      </c>
      <c r="B288" s="316" t="s">
        <v>984</v>
      </c>
      <c r="C288" s="316" t="s">
        <v>489</v>
      </c>
      <c r="D288" s="316" t="s">
        <v>1171</v>
      </c>
      <c r="E288" s="602" t="s">
        <v>1585</v>
      </c>
      <c r="F288" s="603">
        <v>444461.68</v>
      </c>
      <c r="G288" s="603">
        <v>0</v>
      </c>
      <c r="H288" s="603">
        <v>0</v>
      </c>
      <c r="I288" s="603">
        <v>0</v>
      </c>
      <c r="J288" s="603">
        <v>0</v>
      </c>
      <c r="K288" s="603">
        <v>0</v>
      </c>
      <c r="L288" s="603">
        <v>0</v>
      </c>
      <c r="M288" s="603">
        <v>0</v>
      </c>
      <c r="N288" s="603">
        <v>0</v>
      </c>
      <c r="O288" s="603">
        <v>0</v>
      </c>
      <c r="P288" s="603">
        <v>0</v>
      </c>
      <c r="Q288" s="603">
        <v>0</v>
      </c>
      <c r="R288" s="603">
        <v>0</v>
      </c>
      <c r="S288" s="484">
        <f t="shared" si="52"/>
        <v>18519.236666666668</v>
      </c>
      <c r="T288" s="604"/>
      <c r="U288" s="642"/>
      <c r="V288" s="679">
        <f>+S288</f>
        <v>18519.236666666668</v>
      </c>
      <c r="W288" s="679"/>
      <c r="X288" s="702"/>
      <c r="Y288" s="679"/>
      <c r="Z288" s="679"/>
      <c r="AA288" s="642"/>
      <c r="AB288" s="679">
        <f t="shared" si="56"/>
        <v>0</v>
      </c>
      <c r="AC288" s="643"/>
      <c r="AD288" s="644">
        <f>+S288</f>
        <v>18519.236666666668</v>
      </c>
      <c r="AE288" s="643"/>
      <c r="AF288" s="677">
        <f t="shared" si="50"/>
        <v>0</v>
      </c>
    </row>
    <row r="289" spans="1:32">
      <c r="A289" s="604">
        <v>275</v>
      </c>
      <c r="B289" s="316" t="s">
        <v>984</v>
      </c>
      <c r="C289" s="316" t="s">
        <v>489</v>
      </c>
      <c r="D289" s="316" t="s">
        <v>1172</v>
      </c>
      <c r="E289" s="602" t="s">
        <v>1586</v>
      </c>
      <c r="F289" s="603">
        <v>-859397.02</v>
      </c>
      <c r="G289" s="603">
        <v>-647935</v>
      </c>
      <c r="H289" s="603">
        <v>-449843.62</v>
      </c>
      <c r="I289" s="603">
        <v>-224713.82</v>
      </c>
      <c r="J289" s="603">
        <v>-72025.13</v>
      </c>
      <c r="K289" s="603">
        <v>7716.5999999999904</v>
      </c>
      <c r="L289" s="603">
        <v>62336.9</v>
      </c>
      <c r="M289" s="603">
        <v>102130.51</v>
      </c>
      <c r="N289" s="603">
        <v>135575.28</v>
      </c>
      <c r="O289" s="603">
        <v>168612.3</v>
      </c>
      <c r="P289" s="603">
        <v>247812.78</v>
      </c>
      <c r="Q289" s="603">
        <v>-1598765.05</v>
      </c>
      <c r="R289" s="603">
        <v>-1349763.52</v>
      </c>
      <c r="S289" s="484">
        <f t="shared" si="52"/>
        <v>-281139.87666666665</v>
      </c>
      <c r="T289" s="604"/>
      <c r="U289" s="642"/>
      <c r="V289" s="679"/>
      <c r="W289" s="679"/>
      <c r="X289" s="702">
        <f t="shared" si="55"/>
        <v>-281139.87666666665</v>
      </c>
      <c r="Y289" s="679"/>
      <c r="Z289" s="679"/>
      <c r="AA289" s="642"/>
      <c r="AB289" s="679">
        <f t="shared" si="56"/>
        <v>-281139.87666666665</v>
      </c>
      <c r="AC289" s="643"/>
      <c r="AD289" s="644"/>
      <c r="AE289" s="643"/>
      <c r="AF289" s="677">
        <f t="shared" si="50"/>
        <v>0</v>
      </c>
    </row>
    <row r="290" spans="1:32">
      <c r="A290" s="604">
        <v>276</v>
      </c>
      <c r="B290" s="316" t="s">
        <v>959</v>
      </c>
      <c r="C290" s="316" t="s">
        <v>489</v>
      </c>
      <c r="D290" s="316" t="s">
        <v>1872</v>
      </c>
      <c r="E290" s="602" t="s">
        <v>1873</v>
      </c>
      <c r="F290" s="603">
        <v>0</v>
      </c>
      <c r="G290" s="603">
        <v>152054.43</v>
      </c>
      <c r="H290" s="603">
        <v>167339.07999999999</v>
      </c>
      <c r="I290" s="603">
        <v>111777.47</v>
      </c>
      <c r="J290" s="603">
        <v>72006.16</v>
      </c>
      <c r="K290" s="603">
        <v>36094.269999999997</v>
      </c>
      <c r="L290" s="603">
        <v>28148.45</v>
      </c>
      <c r="M290" s="603">
        <v>23637.33</v>
      </c>
      <c r="N290" s="603">
        <v>12440.41</v>
      </c>
      <c r="O290" s="603">
        <v>30425.15</v>
      </c>
      <c r="P290" s="603">
        <v>87645.1</v>
      </c>
      <c r="Q290" s="603">
        <v>169113.25</v>
      </c>
      <c r="R290" s="603">
        <v>191104.65</v>
      </c>
      <c r="S290" s="484">
        <f t="shared" si="52"/>
        <v>82186.118749999994</v>
      </c>
      <c r="T290" s="604"/>
      <c r="U290" s="642"/>
      <c r="V290" s="679"/>
      <c r="W290" s="679"/>
      <c r="X290" s="702">
        <f t="shared" si="55"/>
        <v>82186.118749999994</v>
      </c>
      <c r="Y290" s="679"/>
      <c r="Z290" s="679"/>
      <c r="AA290" s="642"/>
      <c r="AB290" s="679">
        <f t="shared" si="56"/>
        <v>82186.118749999994</v>
      </c>
      <c r="AC290" s="643"/>
      <c r="AD290" s="644"/>
      <c r="AE290" s="643"/>
      <c r="AF290" s="677">
        <f t="shared" si="50"/>
        <v>0</v>
      </c>
    </row>
    <row r="291" spans="1:32">
      <c r="A291" s="604">
        <v>277</v>
      </c>
      <c r="B291" s="316" t="s">
        <v>959</v>
      </c>
      <c r="C291" s="316" t="s">
        <v>489</v>
      </c>
      <c r="D291" s="316" t="s">
        <v>1165</v>
      </c>
      <c r="E291" s="602" t="s">
        <v>1591</v>
      </c>
      <c r="F291" s="603">
        <v>0</v>
      </c>
      <c r="G291" s="603">
        <v>0</v>
      </c>
      <c r="H291" s="603">
        <v>0</v>
      </c>
      <c r="I291" s="603">
        <v>0</v>
      </c>
      <c r="J291" s="603">
        <v>0</v>
      </c>
      <c r="K291" s="603">
        <v>0</v>
      </c>
      <c r="L291" s="603">
        <v>0</v>
      </c>
      <c r="M291" s="603">
        <v>0</v>
      </c>
      <c r="N291" s="603">
        <v>0</v>
      </c>
      <c r="O291" s="603">
        <v>0</v>
      </c>
      <c r="P291" s="603">
        <v>0</v>
      </c>
      <c r="Q291" s="603">
        <v>0</v>
      </c>
      <c r="R291" s="603">
        <v>0</v>
      </c>
      <c r="S291" s="484">
        <f t="shared" si="52"/>
        <v>0</v>
      </c>
      <c r="T291" s="604"/>
      <c r="U291" s="642"/>
      <c r="V291" s="679"/>
      <c r="W291" s="679"/>
      <c r="X291" s="702">
        <f t="shared" si="55"/>
        <v>0</v>
      </c>
      <c r="Y291" s="679"/>
      <c r="Z291" s="679"/>
      <c r="AA291" s="642"/>
      <c r="AB291" s="679">
        <f t="shared" si="56"/>
        <v>0</v>
      </c>
      <c r="AC291" s="643"/>
      <c r="AD291" s="644"/>
      <c r="AE291" s="643"/>
      <c r="AF291" s="677">
        <f t="shared" si="50"/>
        <v>0</v>
      </c>
    </row>
    <row r="292" spans="1:32">
      <c r="A292" s="604">
        <v>278</v>
      </c>
      <c r="B292" s="316" t="s">
        <v>959</v>
      </c>
      <c r="C292" s="316" t="s">
        <v>489</v>
      </c>
      <c r="D292" s="316" t="s">
        <v>1166</v>
      </c>
      <c r="E292" s="602" t="s">
        <v>1592</v>
      </c>
      <c r="F292" s="603">
        <v>4075395.82</v>
      </c>
      <c r="G292" s="603">
        <v>0</v>
      </c>
      <c r="H292" s="603">
        <v>0</v>
      </c>
      <c r="I292" s="603">
        <v>0</v>
      </c>
      <c r="J292" s="603">
        <v>0</v>
      </c>
      <c r="K292" s="603">
        <v>0</v>
      </c>
      <c r="L292" s="603">
        <v>0</v>
      </c>
      <c r="M292" s="603">
        <v>0</v>
      </c>
      <c r="N292" s="603">
        <v>0</v>
      </c>
      <c r="O292" s="603">
        <v>0</v>
      </c>
      <c r="P292" s="603">
        <v>0</v>
      </c>
      <c r="Q292" s="603">
        <v>0</v>
      </c>
      <c r="R292" s="603">
        <v>0</v>
      </c>
      <c r="S292" s="484">
        <f t="shared" si="52"/>
        <v>169808.15916666665</v>
      </c>
      <c r="T292" s="604"/>
      <c r="U292" s="642"/>
      <c r="V292" s="679">
        <f>+S292</f>
        <v>169808.15916666665</v>
      </c>
      <c r="W292" s="679"/>
      <c r="X292" s="702"/>
      <c r="Y292" s="679"/>
      <c r="Z292" s="679"/>
      <c r="AA292" s="642"/>
      <c r="AB292" s="679"/>
      <c r="AC292" s="643"/>
      <c r="AD292" s="644">
        <f>+S292</f>
        <v>169808.15916666665</v>
      </c>
      <c r="AE292" s="643"/>
      <c r="AF292" s="677">
        <f t="shared" si="50"/>
        <v>0</v>
      </c>
    </row>
    <row r="293" spans="1:32">
      <c r="A293" s="604">
        <v>279</v>
      </c>
      <c r="B293" s="316" t="s">
        <v>959</v>
      </c>
      <c r="C293" s="316" t="s">
        <v>489</v>
      </c>
      <c r="D293" s="316" t="s">
        <v>1394</v>
      </c>
      <c r="E293" s="602" t="s">
        <v>1593</v>
      </c>
      <c r="F293" s="603">
        <v>-5089098.99</v>
      </c>
      <c r="G293" s="603">
        <v>-4124640.33</v>
      </c>
      <c r="H293" s="603">
        <v>-3089840.52</v>
      </c>
      <c r="I293" s="603">
        <v>-1945226.2</v>
      </c>
      <c r="J293" s="603">
        <v>-1296286.46</v>
      </c>
      <c r="K293" s="603">
        <v>-902155.4</v>
      </c>
      <c r="L293" s="603">
        <v>-660483.6</v>
      </c>
      <c r="M293" s="603">
        <v>-453451.97</v>
      </c>
      <c r="N293" s="603">
        <v>-263237.06</v>
      </c>
      <c r="O293" s="603">
        <v>-83052.119999999806</v>
      </c>
      <c r="P293" s="603">
        <v>346885.78</v>
      </c>
      <c r="Q293" s="603">
        <v>1797161.5</v>
      </c>
      <c r="R293" s="603">
        <v>1618895.22</v>
      </c>
      <c r="S293" s="484">
        <f>((F293+R293)+((G293+H293+I293+J293+K293+L293+M293+N293+O293+P293+Q293)*2))/24</f>
        <v>-1034119.0220833332</v>
      </c>
      <c r="T293" s="604"/>
      <c r="U293" s="642"/>
      <c r="V293" s="679"/>
      <c r="W293" s="679"/>
      <c r="X293" s="702">
        <f>+S293</f>
        <v>-1034119.0220833332</v>
      </c>
      <c r="Y293" s="679"/>
      <c r="Z293" s="679"/>
      <c r="AA293" s="642"/>
      <c r="AB293" s="679">
        <f>+S293</f>
        <v>-1034119.0220833332</v>
      </c>
      <c r="AC293" s="643"/>
      <c r="AD293" s="644"/>
      <c r="AE293" s="643"/>
      <c r="AF293" s="677">
        <f t="shared" si="50"/>
        <v>0</v>
      </c>
    </row>
    <row r="294" spans="1:32">
      <c r="A294" s="604">
        <v>280</v>
      </c>
      <c r="B294" s="316" t="s">
        <v>956</v>
      </c>
      <c r="C294" s="316" t="s">
        <v>490</v>
      </c>
      <c r="D294" s="316" t="s">
        <v>450</v>
      </c>
      <c r="E294" s="602" t="s">
        <v>1594</v>
      </c>
      <c r="F294" s="603">
        <v>4405213</v>
      </c>
      <c r="G294" s="603">
        <v>4405213</v>
      </c>
      <c r="H294" s="603">
        <v>4405213</v>
      </c>
      <c r="I294" s="603">
        <v>4405213</v>
      </c>
      <c r="J294" s="603">
        <v>4405213</v>
      </c>
      <c r="K294" s="603">
        <v>4405213</v>
      </c>
      <c r="L294" s="603">
        <v>4405213</v>
      </c>
      <c r="M294" s="603">
        <v>4405213</v>
      </c>
      <c r="N294" s="603">
        <v>4405213</v>
      </c>
      <c r="O294" s="603">
        <v>4405213</v>
      </c>
      <c r="P294" s="603">
        <v>4405213</v>
      </c>
      <c r="Q294" s="603">
        <v>4405213</v>
      </c>
      <c r="R294" s="603">
        <v>5114217</v>
      </c>
      <c r="S294" s="484">
        <f>((F294+R294)+((G294+H294+I294+J294+K294+L294+M294+N294+O294+P294+Q294)*2))/24</f>
        <v>4434754.833333333</v>
      </c>
      <c r="T294" s="604"/>
      <c r="U294" s="642"/>
      <c r="V294" s="679"/>
      <c r="W294" s="679"/>
      <c r="X294" s="702">
        <f>+S294</f>
        <v>4434754.833333333</v>
      </c>
      <c r="Y294" s="679"/>
      <c r="Z294" s="679"/>
      <c r="AA294" s="642"/>
      <c r="AB294" s="679">
        <f>+S294</f>
        <v>4434754.833333333</v>
      </c>
      <c r="AC294" s="643"/>
      <c r="AD294" s="644"/>
      <c r="AE294" s="643"/>
      <c r="AF294" s="677">
        <f t="shared" si="50"/>
        <v>0</v>
      </c>
    </row>
    <row r="295" spans="1:32">
      <c r="A295" s="604">
        <v>281</v>
      </c>
      <c r="B295" s="316" t="s">
        <v>959</v>
      </c>
      <c r="C295" s="316" t="s">
        <v>489</v>
      </c>
      <c r="D295" s="316" t="s">
        <v>1173</v>
      </c>
      <c r="E295" s="602" t="s">
        <v>1874</v>
      </c>
      <c r="F295" s="603">
        <v>1013703.17</v>
      </c>
      <c r="G295" s="603">
        <v>1862122.14</v>
      </c>
      <c r="H295" s="603">
        <v>-1875742.37</v>
      </c>
      <c r="I295" s="603">
        <v>-3284598.31</v>
      </c>
      <c r="J295" s="603">
        <v>-2886883.79</v>
      </c>
      <c r="K295" s="603">
        <v>-2954889.15</v>
      </c>
      <c r="L295" s="603">
        <v>-2925317.55</v>
      </c>
      <c r="M295" s="603">
        <v>-3111066.99</v>
      </c>
      <c r="N295" s="603">
        <v>-2851899.68</v>
      </c>
      <c r="O295" s="603">
        <v>-3210940.66</v>
      </c>
      <c r="P295" s="603">
        <v>-4163630.2</v>
      </c>
      <c r="Q295" s="603">
        <v>-5420059.8200000003</v>
      </c>
      <c r="R295" s="603">
        <v>-4410222.42</v>
      </c>
      <c r="S295" s="484">
        <f>((F295+R295)+((G295+H295+I295+J295+K295+L295+M295+N295+O295+P295+Q295)*2))/24</f>
        <v>-2710097.1670833337</v>
      </c>
      <c r="T295" s="604"/>
      <c r="U295" s="642"/>
      <c r="V295" s="679"/>
      <c r="W295" s="679"/>
      <c r="X295" s="702">
        <f>+S295</f>
        <v>-2710097.1670833337</v>
      </c>
      <c r="Y295" s="679"/>
      <c r="Z295" s="679"/>
      <c r="AA295" s="642"/>
      <c r="AB295" s="679">
        <f>+S295</f>
        <v>-2710097.1670833337</v>
      </c>
      <c r="AC295" s="643"/>
      <c r="AD295" s="644"/>
      <c r="AE295" s="643"/>
      <c r="AF295" s="677"/>
    </row>
    <row r="296" spans="1:32">
      <c r="A296" s="604">
        <v>282</v>
      </c>
      <c r="B296" s="316" t="s">
        <v>959</v>
      </c>
      <c r="C296" s="316" t="s">
        <v>489</v>
      </c>
      <c r="D296" s="316" t="s">
        <v>1872</v>
      </c>
      <c r="E296" s="602" t="s">
        <v>1873</v>
      </c>
      <c r="F296" s="603">
        <v>0</v>
      </c>
      <c r="G296" s="603">
        <v>663754.72</v>
      </c>
      <c r="H296" s="603">
        <v>828429.37</v>
      </c>
      <c r="I296" s="603">
        <v>547661.93000000005</v>
      </c>
      <c r="J296" s="603">
        <v>291439.06</v>
      </c>
      <c r="K296" s="603">
        <v>168202.17</v>
      </c>
      <c r="L296" s="603">
        <v>120470.56</v>
      </c>
      <c r="M296" s="603">
        <v>119715.17</v>
      </c>
      <c r="N296" s="603">
        <v>66330.809999999896</v>
      </c>
      <c r="O296" s="603">
        <v>160392.48000000001</v>
      </c>
      <c r="P296" s="603">
        <v>386386.23</v>
      </c>
      <c r="Q296" s="603">
        <v>-170858.55</v>
      </c>
      <c r="R296" s="603">
        <v>-201602.1</v>
      </c>
      <c r="S296" s="484">
        <f>((F296+R296)+((G296+H296+I296+J296+K296+L296+M296+N296+O296+P296+Q296)*2))/24</f>
        <v>256760.2416666667</v>
      </c>
      <c r="T296" s="604"/>
      <c r="U296" s="642"/>
      <c r="V296" s="679"/>
      <c r="W296" s="679"/>
      <c r="X296" s="702">
        <f>+S296</f>
        <v>256760.2416666667</v>
      </c>
      <c r="Y296" s="679"/>
      <c r="Z296" s="679"/>
      <c r="AA296" s="642"/>
      <c r="AB296" s="679">
        <f>+S296</f>
        <v>256760.2416666667</v>
      </c>
      <c r="AC296" s="643"/>
      <c r="AD296" s="644"/>
      <c r="AE296" s="643"/>
      <c r="AF296" s="677"/>
    </row>
    <row r="297" spans="1:32">
      <c r="A297" s="604">
        <v>283</v>
      </c>
      <c r="B297" s="316" t="s">
        <v>1844</v>
      </c>
      <c r="C297" s="316" t="s">
        <v>1875</v>
      </c>
      <c r="D297" s="316" t="s">
        <v>444</v>
      </c>
      <c r="E297" s="602" t="s">
        <v>1876</v>
      </c>
      <c r="F297" s="603">
        <v>0</v>
      </c>
      <c r="G297" s="603">
        <v>0</v>
      </c>
      <c r="H297" s="603">
        <v>289719.78000000003</v>
      </c>
      <c r="I297" s="603">
        <v>283311.46000000002</v>
      </c>
      <c r="J297" s="603">
        <v>278107.78999999998</v>
      </c>
      <c r="K297" s="603">
        <v>272887.74</v>
      </c>
      <c r="L297" s="603">
        <v>266375.51</v>
      </c>
      <c r="M297" s="603">
        <v>251531.02</v>
      </c>
      <c r="N297" s="603">
        <v>246178.54</v>
      </c>
      <c r="O297" s="603">
        <v>239584.91</v>
      </c>
      <c r="P297" s="603">
        <v>234195.48</v>
      </c>
      <c r="Q297" s="603">
        <v>228789.27</v>
      </c>
      <c r="R297" s="603">
        <v>220703.66</v>
      </c>
      <c r="S297" s="484">
        <f>((F297+R297)+((G297+H297+I297+J297+K297+L297+M297+N297+O297+P297+Q297)*2))/24</f>
        <v>225086.11083333334</v>
      </c>
      <c r="T297" s="604"/>
      <c r="U297" s="642"/>
      <c r="V297" s="679">
        <f>+S297</f>
        <v>225086.11083333334</v>
      </c>
      <c r="W297" s="679"/>
      <c r="X297" s="702"/>
      <c r="Y297" s="679"/>
      <c r="Z297" s="679"/>
      <c r="AA297" s="642"/>
      <c r="AB297" s="679"/>
      <c r="AC297" s="643"/>
      <c r="AD297" s="644">
        <f>+S297</f>
        <v>225086.11083333334</v>
      </c>
      <c r="AE297" s="643"/>
      <c r="AF297" s="677"/>
    </row>
    <row r="298" spans="1:32">
      <c r="A298" s="604">
        <v>284</v>
      </c>
      <c r="B298" s="604"/>
      <c r="C298" s="604"/>
      <c r="D298" s="604"/>
      <c r="E298" s="602" t="s">
        <v>491</v>
      </c>
      <c r="F298" s="486">
        <f>SUM(F229:F297)</f>
        <v>90797163.850000009</v>
      </c>
      <c r="G298" s="486">
        <f t="shared" ref="G298:S298" si="57">SUM(G229:G297)</f>
        <v>83872115.900000006</v>
      </c>
      <c r="H298" s="486">
        <f t="shared" si="57"/>
        <v>84250807.50999999</v>
      </c>
      <c r="I298" s="486">
        <f t="shared" si="57"/>
        <v>84249637.769999996</v>
      </c>
      <c r="J298" s="486">
        <f t="shared" si="57"/>
        <v>82986934.51000002</v>
      </c>
      <c r="K298" s="486">
        <f t="shared" si="57"/>
        <v>82892982.759999961</v>
      </c>
      <c r="L298" s="486">
        <f t="shared" si="57"/>
        <v>82461224.200000063</v>
      </c>
      <c r="M298" s="486">
        <f t="shared" si="57"/>
        <v>82876149.450000018</v>
      </c>
      <c r="N298" s="486">
        <f t="shared" si="57"/>
        <v>82646604.889999986</v>
      </c>
      <c r="O298" s="486">
        <f t="shared" si="57"/>
        <v>82951796.799999997</v>
      </c>
      <c r="P298" s="486">
        <f t="shared" si="57"/>
        <v>83443873.230000019</v>
      </c>
      <c r="Q298" s="486">
        <f t="shared" si="57"/>
        <v>80998826.870000005</v>
      </c>
      <c r="R298" s="486">
        <f t="shared" si="57"/>
        <v>78817809.329999998</v>
      </c>
      <c r="S298" s="486">
        <f t="shared" si="57"/>
        <v>83203203.373333305</v>
      </c>
      <c r="T298" s="604"/>
      <c r="U298" s="642"/>
      <c r="V298" s="679"/>
      <c r="W298" s="679"/>
      <c r="X298" s="702"/>
      <c r="Y298" s="679"/>
      <c r="Z298" s="679"/>
      <c r="AA298" s="642"/>
      <c r="AB298" s="679"/>
      <c r="AC298" s="643"/>
      <c r="AD298" s="643"/>
      <c r="AE298" s="643"/>
      <c r="AF298" s="677">
        <f t="shared" si="50"/>
        <v>0</v>
      </c>
    </row>
    <row r="299" spans="1:32">
      <c r="A299" s="604">
        <v>285</v>
      </c>
      <c r="B299" s="604"/>
      <c r="C299" s="604"/>
      <c r="D299" s="604"/>
      <c r="E299" s="589"/>
      <c r="F299" s="603"/>
      <c r="G299" s="314"/>
      <c r="H299" s="305"/>
      <c r="I299" s="305"/>
      <c r="J299" s="306"/>
      <c r="K299" s="307"/>
      <c r="L299" s="308"/>
      <c r="M299" s="309"/>
      <c r="N299" s="310"/>
      <c r="O299" s="590"/>
      <c r="P299" s="311"/>
      <c r="Q299" s="315"/>
      <c r="R299" s="603"/>
      <c r="S299" s="294"/>
      <c r="T299" s="604"/>
      <c r="U299" s="642"/>
      <c r="V299" s="679"/>
      <c r="W299" s="679"/>
      <c r="X299" s="702"/>
      <c r="Y299" s="679"/>
      <c r="Z299" s="679"/>
      <c r="AA299" s="642"/>
      <c r="AB299" s="679"/>
      <c r="AC299" s="643"/>
      <c r="AD299" s="643"/>
      <c r="AE299" s="643"/>
      <c r="AF299" s="677">
        <f t="shared" si="50"/>
        <v>0</v>
      </c>
    </row>
    <row r="300" spans="1:32">
      <c r="A300" s="604">
        <v>286</v>
      </c>
      <c r="B300" s="316" t="s">
        <v>369</v>
      </c>
      <c r="C300" s="316" t="s">
        <v>492</v>
      </c>
      <c r="D300" s="316" t="s">
        <v>369</v>
      </c>
      <c r="E300" s="602" t="s">
        <v>493</v>
      </c>
      <c r="F300" s="603">
        <v>139413148.13</v>
      </c>
      <c r="G300" s="603">
        <v>19498287.82</v>
      </c>
      <c r="H300" s="603">
        <v>42963718.759999998</v>
      </c>
      <c r="I300" s="603">
        <v>60184862.039999999</v>
      </c>
      <c r="J300" s="603">
        <v>70104690.230000004</v>
      </c>
      <c r="K300" s="603">
        <v>76135787.719999999</v>
      </c>
      <c r="L300" s="603">
        <v>80684630.609999999</v>
      </c>
      <c r="M300" s="603">
        <v>85208369.680000007</v>
      </c>
      <c r="N300" s="603">
        <v>88234764.299999997</v>
      </c>
      <c r="O300" s="603">
        <v>94309037.239999995</v>
      </c>
      <c r="P300" s="603">
        <v>108758984.14</v>
      </c>
      <c r="Q300" s="603">
        <v>130579212.08</v>
      </c>
      <c r="R300" s="603">
        <v>156654971.69999999</v>
      </c>
      <c r="S300" s="484">
        <f>((F300+R300)+((G300+H300+I300+J300+K300+L300+M300+N300+O300+P300+Q300)*2))/24</f>
        <v>83724700.377916679</v>
      </c>
      <c r="T300" s="604"/>
      <c r="U300" s="642"/>
      <c r="V300" s="679"/>
      <c r="W300" s="679">
        <f>+S300</f>
        <v>83724700.377916679</v>
      </c>
      <c r="X300" s="702"/>
      <c r="Y300" s="679"/>
      <c r="Z300" s="679"/>
      <c r="AA300" s="642"/>
      <c r="AB300" s="679"/>
      <c r="AC300" s="644">
        <f>+S300</f>
        <v>83724700.377916679</v>
      </c>
      <c r="AD300" s="643"/>
      <c r="AE300" s="643"/>
      <c r="AF300" s="677">
        <f t="shared" si="50"/>
        <v>0</v>
      </c>
    </row>
    <row r="301" spans="1:32">
      <c r="A301" s="604">
        <v>287</v>
      </c>
      <c r="B301" s="316" t="s">
        <v>369</v>
      </c>
      <c r="C301" s="316" t="s">
        <v>494</v>
      </c>
      <c r="D301" s="316" t="s">
        <v>369</v>
      </c>
      <c r="E301" s="602" t="s">
        <v>495</v>
      </c>
      <c r="F301" s="603">
        <v>53526616.649999999</v>
      </c>
      <c r="G301" s="603">
        <v>5902548.9699999997</v>
      </c>
      <c r="H301" s="603">
        <v>10693985.939999999</v>
      </c>
      <c r="I301" s="603">
        <v>15974280.960000001</v>
      </c>
      <c r="J301" s="603">
        <v>20516668.18</v>
      </c>
      <c r="K301" s="603">
        <v>25771922.5</v>
      </c>
      <c r="L301" s="603">
        <v>29912106.329999998</v>
      </c>
      <c r="M301" s="603">
        <v>34604558.259999998</v>
      </c>
      <c r="N301" s="603">
        <v>38762060.390000001</v>
      </c>
      <c r="O301" s="603">
        <v>43384306.619999997</v>
      </c>
      <c r="P301" s="603">
        <v>48722937.189999998</v>
      </c>
      <c r="Q301" s="603">
        <v>53673859.75</v>
      </c>
      <c r="R301" s="603">
        <v>59786976.289999999</v>
      </c>
      <c r="S301" s="484">
        <f>((F301+R301)+((G301+H301+I301+J301+K301+L301+M301+N301+O301+P301+Q301)*2))/24</f>
        <v>32048002.629999995</v>
      </c>
      <c r="T301" s="604"/>
      <c r="U301" s="642"/>
      <c r="V301" s="679"/>
      <c r="W301" s="679">
        <f>+S301</f>
        <v>32048002.629999995</v>
      </c>
      <c r="X301" s="702"/>
      <c r="Y301" s="679"/>
      <c r="Z301" s="679"/>
      <c r="AA301" s="642"/>
      <c r="AB301" s="679"/>
      <c r="AC301" s="644">
        <f>+S301</f>
        <v>32048002.629999995</v>
      </c>
      <c r="AD301" s="643"/>
      <c r="AE301" s="643"/>
      <c r="AF301" s="677">
        <f t="shared" ref="AF301:AF369" si="58">+U301+V301-AD301</f>
        <v>0</v>
      </c>
    </row>
    <row r="302" spans="1:32">
      <c r="A302" s="604">
        <v>288</v>
      </c>
      <c r="B302" s="316" t="s">
        <v>369</v>
      </c>
      <c r="C302" s="316" t="s">
        <v>496</v>
      </c>
      <c r="D302" s="316" t="s">
        <v>497</v>
      </c>
      <c r="E302" s="602" t="s">
        <v>498</v>
      </c>
      <c r="F302" s="603">
        <v>0</v>
      </c>
      <c r="G302" s="603">
        <v>0</v>
      </c>
      <c r="H302" s="603">
        <v>0</v>
      </c>
      <c r="I302" s="603">
        <v>0</v>
      </c>
      <c r="J302" s="603">
        <v>0</v>
      </c>
      <c r="K302" s="603">
        <v>0</v>
      </c>
      <c r="L302" s="603">
        <v>0</v>
      </c>
      <c r="M302" s="603">
        <v>0</v>
      </c>
      <c r="N302" s="603">
        <v>0</v>
      </c>
      <c r="O302" s="603">
        <v>0</v>
      </c>
      <c r="P302" s="603">
        <v>0</v>
      </c>
      <c r="Q302" s="603">
        <v>0</v>
      </c>
      <c r="R302" s="603">
        <v>0</v>
      </c>
      <c r="S302" s="484">
        <f>((F302+R302)+((G302+H302+I302+J302+K302+L302+M302+N302+O302+P302+Q302)*2))/24</f>
        <v>0</v>
      </c>
      <c r="T302" s="604"/>
      <c r="U302" s="642"/>
      <c r="V302" s="679"/>
      <c r="W302" s="679">
        <f>+S302</f>
        <v>0</v>
      </c>
      <c r="X302" s="702"/>
      <c r="Y302" s="679"/>
      <c r="Z302" s="679"/>
      <c r="AA302" s="642"/>
      <c r="AB302" s="679"/>
      <c r="AC302" s="644">
        <f>+S302</f>
        <v>0</v>
      </c>
      <c r="AD302" s="643"/>
      <c r="AE302" s="643"/>
      <c r="AF302" s="677">
        <f t="shared" si="58"/>
        <v>0</v>
      </c>
    </row>
    <row r="303" spans="1:32">
      <c r="A303" s="604">
        <v>289</v>
      </c>
      <c r="B303" s="316" t="s">
        <v>369</v>
      </c>
      <c r="C303" s="316" t="s">
        <v>499</v>
      </c>
      <c r="D303" s="316" t="s">
        <v>369</v>
      </c>
      <c r="E303" s="602" t="s">
        <v>500</v>
      </c>
      <c r="F303" s="303">
        <v>8005145.8399999999</v>
      </c>
      <c r="G303" s="303">
        <v>608458.04</v>
      </c>
      <c r="H303" s="303">
        <v>1195964.1399999999</v>
      </c>
      <c r="I303" s="303">
        <v>1854951.61</v>
      </c>
      <c r="J303" s="303">
        <v>2642517.87</v>
      </c>
      <c r="K303" s="303">
        <v>3362523.23</v>
      </c>
      <c r="L303" s="303">
        <v>3945487.04</v>
      </c>
      <c r="M303" s="303">
        <v>4778990.8600000003</v>
      </c>
      <c r="N303" s="303">
        <v>5481968.5499999998</v>
      </c>
      <c r="O303" s="303">
        <v>6115121.4000000004</v>
      </c>
      <c r="P303" s="303">
        <v>6909520.1299999999</v>
      </c>
      <c r="Q303" s="303">
        <v>7549900.5300000003</v>
      </c>
      <c r="R303" s="303">
        <v>8302733.6799999997</v>
      </c>
      <c r="S303" s="484">
        <f>((F303+R303)+((G303+H303+I303+J303+K303+L303+M303+N303+O303+P303+Q303)*2))/24</f>
        <v>4383278.5966666667</v>
      </c>
      <c r="T303" s="604"/>
      <c r="U303" s="642"/>
      <c r="V303" s="679"/>
      <c r="W303" s="679">
        <f>+S303</f>
        <v>4383278.5966666667</v>
      </c>
      <c r="X303" s="702"/>
      <c r="Y303" s="679"/>
      <c r="Z303" s="679"/>
      <c r="AA303" s="642"/>
      <c r="AB303" s="679"/>
      <c r="AC303" s="644">
        <f>+S303</f>
        <v>4383278.5966666667</v>
      </c>
      <c r="AD303" s="643"/>
      <c r="AE303" s="643"/>
      <c r="AF303" s="677">
        <f t="shared" si="58"/>
        <v>0</v>
      </c>
    </row>
    <row r="304" spans="1:32">
      <c r="A304" s="604">
        <v>290</v>
      </c>
      <c r="B304" s="316"/>
      <c r="C304" s="316"/>
      <c r="D304" s="316"/>
      <c r="E304" s="602" t="s">
        <v>501</v>
      </c>
      <c r="F304" s="295">
        <f>SUM(F300:F303)</f>
        <v>200944910.62</v>
      </c>
      <c r="G304" s="295">
        <f t="shared" ref="G304:S304" si="59">SUM(G300:G303)</f>
        <v>26009294.829999998</v>
      </c>
      <c r="H304" s="295">
        <f t="shared" si="59"/>
        <v>54853668.839999996</v>
      </c>
      <c r="I304" s="295">
        <f t="shared" si="59"/>
        <v>78014094.609999999</v>
      </c>
      <c r="J304" s="295">
        <f t="shared" si="59"/>
        <v>93263876.280000001</v>
      </c>
      <c r="K304" s="295">
        <f t="shared" si="59"/>
        <v>105270233.45</v>
      </c>
      <c r="L304" s="295">
        <f t="shared" si="59"/>
        <v>114542223.98</v>
      </c>
      <c r="M304" s="295">
        <f t="shared" si="59"/>
        <v>124591918.8</v>
      </c>
      <c r="N304" s="295">
        <f t="shared" si="59"/>
        <v>132478793.23999999</v>
      </c>
      <c r="O304" s="295">
        <f t="shared" si="59"/>
        <v>143808465.25999999</v>
      </c>
      <c r="P304" s="295">
        <f t="shared" si="59"/>
        <v>164391441.45999998</v>
      </c>
      <c r="Q304" s="295">
        <f t="shared" si="59"/>
        <v>191802972.35999998</v>
      </c>
      <c r="R304" s="295">
        <f t="shared" si="59"/>
        <v>224744681.66999999</v>
      </c>
      <c r="S304" s="486">
        <f t="shared" si="59"/>
        <v>120155981.60458334</v>
      </c>
      <c r="T304" s="604"/>
      <c r="U304" s="642"/>
      <c r="V304" s="679"/>
      <c r="W304" s="679"/>
      <c r="X304" s="702"/>
      <c r="Y304" s="679"/>
      <c r="Z304" s="679"/>
      <c r="AA304" s="642"/>
      <c r="AB304" s="679"/>
      <c r="AC304" s="643"/>
      <c r="AD304" s="643"/>
      <c r="AE304" s="643"/>
      <c r="AF304" s="677">
        <f t="shared" si="58"/>
        <v>0</v>
      </c>
    </row>
    <row r="305" spans="1:32">
      <c r="A305" s="604">
        <v>291</v>
      </c>
      <c r="B305" s="604"/>
      <c r="C305" s="604"/>
      <c r="D305" s="604"/>
      <c r="E305" s="589"/>
      <c r="F305" s="603"/>
      <c r="G305" s="314"/>
      <c r="H305" s="305"/>
      <c r="I305" s="305"/>
      <c r="J305" s="306"/>
      <c r="K305" s="307"/>
      <c r="L305" s="308"/>
      <c r="M305" s="309"/>
      <c r="N305" s="310"/>
      <c r="O305" s="590"/>
      <c r="P305" s="311"/>
      <c r="Q305" s="315"/>
      <c r="R305" s="603"/>
      <c r="S305" s="294"/>
      <c r="T305" s="604"/>
      <c r="U305" s="642"/>
      <c r="V305" s="679"/>
      <c r="W305" s="679"/>
      <c r="X305" s="702"/>
      <c r="Y305" s="679"/>
      <c r="Z305" s="679"/>
      <c r="AA305" s="642"/>
      <c r="AB305" s="679"/>
      <c r="AC305" s="643"/>
      <c r="AD305" s="643"/>
      <c r="AE305" s="643"/>
      <c r="AF305" s="677">
        <f t="shared" si="58"/>
        <v>0</v>
      </c>
    </row>
    <row r="306" spans="1:32">
      <c r="A306" s="604">
        <v>292</v>
      </c>
      <c r="B306" s="316" t="s">
        <v>984</v>
      </c>
      <c r="C306" s="316" t="s">
        <v>502</v>
      </c>
      <c r="D306" s="604"/>
      <c r="E306" s="602" t="s">
        <v>503</v>
      </c>
      <c r="F306" s="603">
        <v>0</v>
      </c>
      <c r="G306" s="603">
        <v>0</v>
      </c>
      <c r="H306" s="603">
        <v>0</v>
      </c>
      <c r="I306" s="603">
        <v>0</v>
      </c>
      <c r="J306" s="603">
        <v>0</v>
      </c>
      <c r="K306" s="603">
        <v>0</v>
      </c>
      <c r="L306" s="603">
        <v>0</v>
      </c>
      <c r="M306" s="603">
        <v>0</v>
      </c>
      <c r="N306" s="603">
        <v>0</v>
      </c>
      <c r="O306" s="603">
        <v>0</v>
      </c>
      <c r="P306" s="603">
        <v>0</v>
      </c>
      <c r="Q306" s="603">
        <v>0</v>
      </c>
      <c r="R306" s="603">
        <v>0</v>
      </c>
      <c r="S306" s="294">
        <f>((F306+R306)+((G306+H306+I306+J306+K306+L306+M306+N306+O306+P306+Q306)*2))/24</f>
        <v>0</v>
      </c>
      <c r="T306" s="604"/>
      <c r="U306" s="642"/>
      <c r="V306" s="679"/>
      <c r="W306" s="679">
        <f t="shared" ref="W306:W324" si="60">+S306</f>
        <v>0</v>
      </c>
      <c r="X306" s="702"/>
      <c r="Y306" s="679"/>
      <c r="Z306" s="679"/>
      <c r="AA306" s="642"/>
      <c r="AB306" s="679"/>
      <c r="AC306" s="644">
        <f t="shared" ref="AC306:AC324" si="61">+S306</f>
        <v>0</v>
      </c>
      <c r="AD306" s="643"/>
      <c r="AE306" s="643"/>
      <c r="AF306" s="677">
        <f t="shared" si="58"/>
        <v>0</v>
      </c>
    </row>
    <row r="307" spans="1:32">
      <c r="A307" s="604">
        <v>293</v>
      </c>
      <c r="B307" s="316" t="s">
        <v>959</v>
      </c>
      <c r="C307" s="316" t="s">
        <v>502</v>
      </c>
      <c r="D307" s="604"/>
      <c r="E307" s="602" t="s">
        <v>503</v>
      </c>
      <c r="F307" s="603">
        <v>0</v>
      </c>
      <c r="G307" s="603">
        <v>0</v>
      </c>
      <c r="H307" s="603">
        <v>0</v>
      </c>
      <c r="I307" s="603">
        <v>0</v>
      </c>
      <c r="J307" s="603">
        <v>0</v>
      </c>
      <c r="K307" s="603">
        <v>0</v>
      </c>
      <c r="L307" s="603">
        <v>0</v>
      </c>
      <c r="M307" s="603">
        <v>0</v>
      </c>
      <c r="N307" s="603">
        <v>0</v>
      </c>
      <c r="O307" s="603">
        <v>0</v>
      </c>
      <c r="P307" s="603">
        <v>0</v>
      </c>
      <c r="Q307" s="603">
        <v>0</v>
      </c>
      <c r="R307" s="603">
        <v>0</v>
      </c>
      <c r="S307" s="294">
        <f>((F307+R307)+((G307+H307+I307+J307+K307+L307+M307+N307+O307+P307+Q307)*2))/24</f>
        <v>0</v>
      </c>
      <c r="T307" s="604"/>
      <c r="U307" s="642"/>
      <c r="V307" s="679"/>
      <c r="W307" s="679">
        <f t="shared" si="60"/>
        <v>0</v>
      </c>
      <c r="X307" s="702"/>
      <c r="Y307" s="679"/>
      <c r="Z307" s="679"/>
      <c r="AA307" s="642"/>
      <c r="AB307" s="679"/>
      <c r="AC307" s="644">
        <f t="shared" si="61"/>
        <v>0</v>
      </c>
      <c r="AD307" s="643"/>
      <c r="AE307" s="643"/>
      <c r="AF307" s="677">
        <f t="shared" si="58"/>
        <v>0</v>
      </c>
    </row>
    <row r="308" spans="1:32">
      <c r="A308" s="604">
        <v>294</v>
      </c>
      <c r="B308" s="316"/>
      <c r="C308" s="316"/>
      <c r="D308" s="604"/>
      <c r="E308" s="602"/>
      <c r="F308" s="603"/>
      <c r="G308" s="603"/>
      <c r="H308" s="603"/>
      <c r="I308" s="603"/>
      <c r="J308" s="603"/>
      <c r="K308" s="603"/>
      <c r="L308" s="603"/>
      <c r="M308" s="603"/>
      <c r="N308" s="603"/>
      <c r="O308" s="603"/>
      <c r="P308" s="603"/>
      <c r="Q308" s="603"/>
      <c r="R308" s="603"/>
      <c r="S308" s="294"/>
      <c r="T308" s="604"/>
      <c r="U308" s="642"/>
      <c r="V308" s="679"/>
      <c r="W308" s="679"/>
      <c r="X308" s="702"/>
      <c r="Y308" s="679"/>
      <c r="Z308" s="679"/>
      <c r="AA308" s="642"/>
      <c r="AB308" s="679"/>
      <c r="AC308" s="644"/>
      <c r="AD308" s="643"/>
      <c r="AE308" s="643"/>
      <c r="AF308" s="677"/>
    </row>
    <row r="309" spans="1:32">
      <c r="A309" s="604">
        <v>295</v>
      </c>
      <c r="B309" s="604" t="s">
        <v>956</v>
      </c>
      <c r="C309" s="604" t="s">
        <v>504</v>
      </c>
      <c r="D309" s="604" t="s">
        <v>1877</v>
      </c>
      <c r="E309" s="589" t="s">
        <v>1878</v>
      </c>
      <c r="F309" s="603">
        <v>0</v>
      </c>
      <c r="G309" s="314">
        <v>0</v>
      </c>
      <c r="H309" s="305">
        <v>0</v>
      </c>
      <c r="I309" s="305">
        <v>0</v>
      </c>
      <c r="J309" s="306">
        <v>0</v>
      </c>
      <c r="K309" s="307">
        <v>0</v>
      </c>
      <c r="L309" s="308">
        <v>15645</v>
      </c>
      <c r="M309" s="309">
        <v>21777</v>
      </c>
      <c r="N309" s="310">
        <v>24843</v>
      </c>
      <c r="O309" s="590">
        <v>27909</v>
      </c>
      <c r="P309" s="311">
        <v>30975</v>
      </c>
      <c r="Q309" s="315">
        <v>34041</v>
      </c>
      <c r="R309" s="603">
        <v>36822.300000000003</v>
      </c>
      <c r="S309" s="484">
        <f>((F309+R309)+((G309+H309+I309+J309+K309+L309+M309+N309+O309+P309+Q309)*2))/24</f>
        <v>14466.762499999999</v>
      </c>
      <c r="T309" s="604"/>
      <c r="U309" s="642"/>
      <c r="V309" s="679"/>
      <c r="W309" s="679">
        <f t="shared" si="60"/>
        <v>14466.762499999999</v>
      </c>
      <c r="X309" s="702"/>
      <c r="Y309" s="679"/>
      <c r="Z309" s="679"/>
      <c r="AA309" s="642"/>
      <c r="AB309" s="679"/>
      <c r="AC309" s="644">
        <f t="shared" si="61"/>
        <v>14466.762499999999</v>
      </c>
      <c r="AD309" s="643"/>
      <c r="AE309" s="643"/>
      <c r="AF309" s="677">
        <f t="shared" si="58"/>
        <v>0</v>
      </c>
    </row>
    <row r="310" spans="1:32">
      <c r="A310" s="604">
        <v>296</v>
      </c>
      <c r="B310" s="316" t="s">
        <v>984</v>
      </c>
      <c r="C310" s="316" t="s">
        <v>504</v>
      </c>
      <c r="D310" s="316" t="s">
        <v>1174</v>
      </c>
      <c r="E310" s="602" t="s">
        <v>1597</v>
      </c>
      <c r="F310" s="603">
        <v>192824.35</v>
      </c>
      <c r="G310" s="603">
        <v>16075.52</v>
      </c>
      <c r="H310" s="603">
        <v>32151.040000000001</v>
      </c>
      <c r="I310" s="603">
        <v>47638.3</v>
      </c>
      <c r="J310" s="603">
        <v>63125.56</v>
      </c>
      <c r="K310" s="603">
        <v>78612.820000000007</v>
      </c>
      <c r="L310" s="603">
        <v>94100.08</v>
      </c>
      <c r="M310" s="603">
        <v>109587.34</v>
      </c>
      <c r="N310" s="603">
        <v>125074.6</v>
      </c>
      <c r="O310" s="603">
        <v>140561.85999999999</v>
      </c>
      <c r="P310" s="603">
        <v>156049.12</v>
      </c>
      <c r="Q310" s="603">
        <v>171536.38</v>
      </c>
      <c r="R310" s="603">
        <v>187023.64</v>
      </c>
      <c r="S310" s="484">
        <f>((F310+R310)+((G310+H310+I310+J310+K310+L310+M310+N310+O310+P310+Q310)*2))/24</f>
        <v>102036.38458333333</v>
      </c>
      <c r="T310" s="604"/>
      <c r="U310" s="642"/>
      <c r="V310" s="679"/>
      <c r="W310" s="679">
        <f t="shared" si="60"/>
        <v>102036.38458333333</v>
      </c>
      <c r="X310" s="702"/>
      <c r="Y310" s="679"/>
      <c r="Z310" s="679"/>
      <c r="AA310" s="642"/>
      <c r="AB310" s="679"/>
      <c r="AC310" s="644">
        <f t="shared" si="61"/>
        <v>102036.38458333333</v>
      </c>
      <c r="AD310" s="643"/>
      <c r="AE310" s="643"/>
      <c r="AF310" s="677">
        <f t="shared" si="58"/>
        <v>0</v>
      </c>
    </row>
    <row r="311" spans="1:32">
      <c r="A311" s="604">
        <v>297</v>
      </c>
      <c r="B311" s="316" t="s">
        <v>959</v>
      </c>
      <c r="C311" s="316" t="s">
        <v>504</v>
      </c>
      <c r="D311" s="316" t="s">
        <v>1174</v>
      </c>
      <c r="E311" s="602" t="s">
        <v>1596</v>
      </c>
      <c r="F311" s="603">
        <v>441440.08</v>
      </c>
      <c r="G311" s="603">
        <v>58775.53</v>
      </c>
      <c r="H311" s="603">
        <v>121314.8</v>
      </c>
      <c r="I311" s="603">
        <v>189419.16</v>
      </c>
      <c r="J311" s="603">
        <v>232166.32</v>
      </c>
      <c r="K311" s="603">
        <v>250545.63</v>
      </c>
      <c r="L311" s="603">
        <v>271208.3</v>
      </c>
      <c r="M311" s="603">
        <v>289762.34999999998</v>
      </c>
      <c r="N311" s="603">
        <v>307709.62</v>
      </c>
      <c r="O311" s="603">
        <v>325464.8</v>
      </c>
      <c r="P311" s="603">
        <v>354222.54</v>
      </c>
      <c r="Q311" s="603">
        <v>399806.24</v>
      </c>
      <c r="R311" s="603">
        <v>467665.9</v>
      </c>
      <c r="S311" s="484">
        <f t="shared" ref="S311:S323" si="62">((F311+R311)+((G311+H311+I311+J311+K311+L311+M311+N311+O311+P311+Q311)*2))/24</f>
        <v>271245.69</v>
      </c>
      <c r="T311" s="604"/>
      <c r="U311" s="642"/>
      <c r="V311" s="679"/>
      <c r="W311" s="679">
        <f t="shared" si="60"/>
        <v>271245.69</v>
      </c>
      <c r="X311" s="702"/>
      <c r="Y311" s="679"/>
      <c r="Z311" s="679"/>
      <c r="AA311" s="642"/>
      <c r="AB311" s="679"/>
      <c r="AC311" s="644">
        <f t="shared" si="61"/>
        <v>271245.69</v>
      </c>
      <c r="AD311" s="643"/>
      <c r="AE311" s="643"/>
      <c r="AF311" s="677">
        <f t="shared" si="58"/>
        <v>0</v>
      </c>
    </row>
    <row r="312" spans="1:32">
      <c r="A312" s="604">
        <v>298</v>
      </c>
      <c r="B312" s="316" t="s">
        <v>959</v>
      </c>
      <c r="C312" s="316" t="s">
        <v>504</v>
      </c>
      <c r="D312" s="316" t="s">
        <v>429</v>
      </c>
      <c r="E312" s="602" t="s">
        <v>1603</v>
      </c>
      <c r="F312" s="603">
        <v>9826025.0600000005</v>
      </c>
      <c r="G312" s="603">
        <v>1330854.8700000001</v>
      </c>
      <c r="H312" s="603">
        <v>2753725.76</v>
      </c>
      <c r="I312" s="603">
        <v>4331125.0999999996</v>
      </c>
      <c r="J312" s="603">
        <v>5281304.3499999996</v>
      </c>
      <c r="K312" s="603">
        <v>5900267.8399999999</v>
      </c>
      <c r="L312" s="603">
        <v>6320072.2400000002</v>
      </c>
      <c r="M312" s="603">
        <v>6691861.2599999998</v>
      </c>
      <c r="N312" s="603">
        <v>7047148.79</v>
      </c>
      <c r="O312" s="603">
        <v>7385522.6399999997</v>
      </c>
      <c r="P312" s="603">
        <v>7965182.3099999996</v>
      </c>
      <c r="Q312" s="603">
        <v>8954706.1400000006</v>
      </c>
      <c r="R312" s="603">
        <v>10518223.220000001</v>
      </c>
      <c r="S312" s="484">
        <f t="shared" si="62"/>
        <v>6177824.6200000001</v>
      </c>
      <c r="T312" s="604"/>
      <c r="U312" s="642"/>
      <c r="V312" s="679"/>
      <c r="W312" s="679">
        <f t="shared" si="60"/>
        <v>6177824.6200000001</v>
      </c>
      <c r="X312" s="702"/>
      <c r="Y312" s="679"/>
      <c r="Z312" s="679"/>
      <c r="AA312" s="642"/>
      <c r="AB312" s="679"/>
      <c r="AC312" s="644">
        <f t="shared" si="61"/>
        <v>6177824.6200000001</v>
      </c>
      <c r="AD312" s="643"/>
      <c r="AE312" s="643"/>
      <c r="AF312" s="677">
        <f t="shared" si="58"/>
        <v>0</v>
      </c>
    </row>
    <row r="313" spans="1:32">
      <c r="A313" s="604">
        <v>299</v>
      </c>
      <c r="B313" s="316" t="s">
        <v>959</v>
      </c>
      <c r="C313" s="316" t="s">
        <v>504</v>
      </c>
      <c r="D313" s="316" t="s">
        <v>430</v>
      </c>
      <c r="E313" s="602" t="s">
        <v>1604</v>
      </c>
      <c r="F313" s="603">
        <v>8579658.0999999996</v>
      </c>
      <c r="G313" s="603">
        <v>1130343.76</v>
      </c>
      <c r="H313" s="603">
        <v>2489322.56</v>
      </c>
      <c r="I313" s="603">
        <v>3523896.71</v>
      </c>
      <c r="J313" s="603">
        <v>4124001.15</v>
      </c>
      <c r="K313" s="603">
        <v>4562856.3499999996</v>
      </c>
      <c r="L313" s="603">
        <v>4905032.3899999997</v>
      </c>
      <c r="M313" s="603">
        <v>5260591.8499999996</v>
      </c>
      <c r="N313" s="603">
        <v>5546447.9800000004</v>
      </c>
      <c r="O313" s="603">
        <v>5977545.0199999996</v>
      </c>
      <c r="P313" s="603">
        <v>6793463.6500000004</v>
      </c>
      <c r="Q313" s="603">
        <v>7994039.8399999999</v>
      </c>
      <c r="R313" s="603">
        <v>9428488.2300000004</v>
      </c>
      <c r="S313" s="484">
        <f t="shared" si="62"/>
        <v>5109301.2020833325</v>
      </c>
      <c r="T313" s="604"/>
      <c r="U313" s="642"/>
      <c r="V313" s="679"/>
      <c r="W313" s="679">
        <f t="shared" si="60"/>
        <v>5109301.2020833325</v>
      </c>
      <c r="X313" s="702"/>
      <c r="Y313" s="679"/>
      <c r="Z313" s="679"/>
      <c r="AA313" s="642"/>
      <c r="AB313" s="679"/>
      <c r="AC313" s="644">
        <f t="shared" si="61"/>
        <v>5109301.2020833325</v>
      </c>
      <c r="AD313" s="643"/>
      <c r="AE313" s="643"/>
      <c r="AF313" s="677">
        <f t="shared" si="58"/>
        <v>0</v>
      </c>
    </row>
    <row r="314" spans="1:32">
      <c r="A314" s="604">
        <v>300</v>
      </c>
      <c r="B314" s="316" t="s">
        <v>984</v>
      </c>
      <c r="C314" s="316" t="s">
        <v>504</v>
      </c>
      <c r="D314" s="522" t="s">
        <v>1175</v>
      </c>
      <c r="E314" s="602" t="s">
        <v>1600</v>
      </c>
      <c r="F314" s="603">
        <v>85001.3</v>
      </c>
      <c r="G314" s="603">
        <v>6897.58</v>
      </c>
      <c r="H314" s="603">
        <v>13795.16</v>
      </c>
      <c r="I314" s="603">
        <v>20692.740000000002</v>
      </c>
      <c r="J314" s="603">
        <v>27590.32</v>
      </c>
      <c r="K314" s="603">
        <v>34487.9</v>
      </c>
      <c r="L314" s="603">
        <v>41385.480000000003</v>
      </c>
      <c r="M314" s="603">
        <v>48283.06</v>
      </c>
      <c r="N314" s="603">
        <v>54360.84</v>
      </c>
      <c r="O314" s="603">
        <v>60438.62</v>
      </c>
      <c r="P314" s="603">
        <v>66516.399999999994</v>
      </c>
      <c r="Q314" s="603">
        <v>72594.179999999993</v>
      </c>
      <c r="R314" s="603">
        <v>78671.960000000006</v>
      </c>
      <c r="S314" s="484">
        <f t="shared" si="62"/>
        <v>44073.242499999993</v>
      </c>
      <c r="T314" s="604"/>
      <c r="U314" s="642"/>
      <c r="V314" s="679"/>
      <c r="W314" s="679">
        <f t="shared" si="60"/>
        <v>44073.242499999993</v>
      </c>
      <c r="X314" s="702"/>
      <c r="Y314" s="679"/>
      <c r="Z314" s="679"/>
      <c r="AA314" s="642"/>
      <c r="AB314" s="679"/>
      <c r="AC314" s="644">
        <f t="shared" si="61"/>
        <v>44073.242499999993</v>
      </c>
      <c r="AD314" s="643"/>
      <c r="AE314" s="643"/>
      <c r="AF314" s="677">
        <f t="shared" si="58"/>
        <v>0</v>
      </c>
    </row>
    <row r="315" spans="1:32">
      <c r="A315" s="604">
        <v>301</v>
      </c>
      <c r="B315" s="316" t="s">
        <v>984</v>
      </c>
      <c r="C315" s="316" t="s">
        <v>504</v>
      </c>
      <c r="D315" s="522" t="s">
        <v>1176</v>
      </c>
      <c r="E315" s="602" t="s">
        <v>1601</v>
      </c>
      <c r="F315" s="603">
        <v>1424187.05</v>
      </c>
      <c r="G315" s="603">
        <v>226798.65</v>
      </c>
      <c r="H315" s="603">
        <v>450539.53</v>
      </c>
      <c r="I315" s="603">
        <v>638883.72</v>
      </c>
      <c r="J315" s="603">
        <v>771798.77</v>
      </c>
      <c r="K315" s="603">
        <v>835906.93</v>
      </c>
      <c r="L315" s="603">
        <v>898115.42</v>
      </c>
      <c r="M315" s="603">
        <v>945799.7</v>
      </c>
      <c r="N315" s="603">
        <v>981155.53</v>
      </c>
      <c r="O315" s="603">
        <v>1042395.09</v>
      </c>
      <c r="P315" s="603">
        <v>1184892.1100000001</v>
      </c>
      <c r="Q315" s="603">
        <v>1365899.69</v>
      </c>
      <c r="R315" s="603">
        <v>1595454.84</v>
      </c>
      <c r="S315" s="484">
        <f t="shared" si="62"/>
        <v>904333.8404166667</v>
      </c>
      <c r="T315" s="604"/>
      <c r="U315" s="642"/>
      <c r="V315" s="679"/>
      <c r="W315" s="679">
        <f t="shared" si="60"/>
        <v>904333.8404166667</v>
      </c>
      <c r="X315" s="702"/>
      <c r="Y315" s="679"/>
      <c r="Z315" s="679"/>
      <c r="AA315" s="642"/>
      <c r="AB315" s="679"/>
      <c r="AC315" s="644">
        <f t="shared" si="61"/>
        <v>904333.8404166667</v>
      </c>
      <c r="AD315" s="643"/>
      <c r="AE315" s="643"/>
      <c r="AF315" s="677">
        <f t="shared" si="58"/>
        <v>0</v>
      </c>
    </row>
    <row r="316" spans="1:32">
      <c r="A316" s="604">
        <v>302</v>
      </c>
      <c r="B316" s="316" t="s">
        <v>959</v>
      </c>
      <c r="C316" s="316" t="s">
        <v>504</v>
      </c>
      <c r="D316" s="316" t="s">
        <v>1176</v>
      </c>
      <c r="E316" s="602" t="s">
        <v>1601</v>
      </c>
      <c r="F316" s="603">
        <v>208767.15</v>
      </c>
      <c r="G316" s="603">
        <v>28074.04</v>
      </c>
      <c r="H316" s="603">
        <v>56328.07</v>
      </c>
      <c r="I316" s="603">
        <v>88208.68</v>
      </c>
      <c r="J316" s="603">
        <v>109657.23</v>
      </c>
      <c r="K316" s="603">
        <v>126784.31</v>
      </c>
      <c r="L316" s="603">
        <v>136473.24</v>
      </c>
      <c r="M316" s="603">
        <v>145011.71</v>
      </c>
      <c r="N316" s="603">
        <v>152642.22</v>
      </c>
      <c r="O316" s="603">
        <v>160059.82</v>
      </c>
      <c r="P316" s="603">
        <v>170421.06</v>
      </c>
      <c r="Q316" s="603">
        <v>189387.09</v>
      </c>
      <c r="R316" s="603">
        <v>217905.58</v>
      </c>
      <c r="S316" s="484">
        <f t="shared" si="62"/>
        <v>131365.31958333333</v>
      </c>
      <c r="T316" s="604"/>
      <c r="U316" s="642"/>
      <c r="V316" s="679"/>
      <c r="W316" s="679">
        <f t="shared" si="60"/>
        <v>131365.31958333333</v>
      </c>
      <c r="X316" s="702"/>
      <c r="Y316" s="679"/>
      <c r="Z316" s="679"/>
      <c r="AA316" s="642"/>
      <c r="AB316" s="679"/>
      <c r="AC316" s="644">
        <f t="shared" si="61"/>
        <v>131365.31958333333</v>
      </c>
      <c r="AD316" s="643"/>
      <c r="AE316" s="643"/>
      <c r="AF316" s="677">
        <f t="shared" si="58"/>
        <v>0</v>
      </c>
    </row>
    <row r="317" spans="1:32">
      <c r="A317" s="604">
        <v>303</v>
      </c>
      <c r="B317" s="316" t="s">
        <v>984</v>
      </c>
      <c r="C317" s="316" t="s">
        <v>504</v>
      </c>
      <c r="D317" s="316" t="s">
        <v>1177</v>
      </c>
      <c r="E317" s="602" t="s">
        <v>1602</v>
      </c>
      <c r="F317" s="603">
        <v>1111049.94</v>
      </c>
      <c r="G317" s="603">
        <v>171653.98</v>
      </c>
      <c r="H317" s="603">
        <v>334372.89</v>
      </c>
      <c r="I317" s="603">
        <v>517885.19</v>
      </c>
      <c r="J317" s="603">
        <v>647470.17000000004</v>
      </c>
      <c r="K317" s="603">
        <v>720626.82</v>
      </c>
      <c r="L317" s="603">
        <v>772105.24</v>
      </c>
      <c r="M317" s="603">
        <v>823398.98</v>
      </c>
      <c r="N317" s="603">
        <v>873249.75</v>
      </c>
      <c r="O317" s="603">
        <v>922405.42</v>
      </c>
      <c r="P317" s="603">
        <v>1020907.49</v>
      </c>
      <c r="Q317" s="603">
        <v>1171886.22</v>
      </c>
      <c r="R317" s="603">
        <v>1400826.71</v>
      </c>
      <c r="S317" s="484">
        <f t="shared" si="62"/>
        <v>769325.0395833333</v>
      </c>
      <c r="T317" s="604"/>
      <c r="U317" s="642"/>
      <c r="V317" s="679"/>
      <c r="W317" s="679">
        <f t="shared" si="60"/>
        <v>769325.0395833333</v>
      </c>
      <c r="X317" s="702"/>
      <c r="Y317" s="679"/>
      <c r="Z317" s="679"/>
      <c r="AA317" s="642"/>
      <c r="AB317" s="679"/>
      <c r="AC317" s="644">
        <f t="shared" si="61"/>
        <v>769325.0395833333</v>
      </c>
      <c r="AD317" s="643"/>
      <c r="AE317" s="643"/>
      <c r="AF317" s="677">
        <f t="shared" si="58"/>
        <v>0</v>
      </c>
    </row>
    <row r="318" spans="1:32">
      <c r="A318" s="604">
        <v>304</v>
      </c>
      <c r="B318" s="316" t="s">
        <v>956</v>
      </c>
      <c r="C318" s="316" t="s">
        <v>504</v>
      </c>
      <c r="D318" s="316" t="s">
        <v>1178</v>
      </c>
      <c r="E318" s="602" t="s">
        <v>1598</v>
      </c>
      <c r="F318" s="603">
        <v>275293.73</v>
      </c>
      <c r="G318" s="603">
        <v>19332</v>
      </c>
      <c r="H318" s="603">
        <v>38664</v>
      </c>
      <c r="I318" s="603">
        <v>57996</v>
      </c>
      <c r="J318" s="603">
        <v>35187.17</v>
      </c>
      <c r="K318" s="603">
        <v>48970.17</v>
      </c>
      <c r="L318" s="603">
        <v>65561.17</v>
      </c>
      <c r="M318" s="603">
        <v>82152.17</v>
      </c>
      <c r="N318" s="603">
        <v>107031.17</v>
      </c>
      <c r="O318" s="603">
        <v>124658.17</v>
      </c>
      <c r="P318" s="603">
        <v>142285.17000000001</v>
      </c>
      <c r="Q318" s="603">
        <v>159912.17000000001</v>
      </c>
      <c r="R318" s="603">
        <v>177539.17</v>
      </c>
      <c r="S318" s="484">
        <f t="shared" si="62"/>
        <v>92347.150833333333</v>
      </c>
      <c r="T318" s="604"/>
      <c r="U318" s="642"/>
      <c r="V318" s="679"/>
      <c r="W318" s="679">
        <f t="shared" si="60"/>
        <v>92347.150833333333</v>
      </c>
      <c r="X318" s="702"/>
      <c r="Y318" s="679"/>
      <c r="Z318" s="679"/>
      <c r="AA318" s="642"/>
      <c r="AB318" s="679"/>
      <c r="AC318" s="644">
        <f t="shared" si="61"/>
        <v>92347.150833333333</v>
      </c>
      <c r="AD318" s="643"/>
      <c r="AE318" s="643"/>
      <c r="AF318" s="677">
        <f t="shared" si="58"/>
        <v>0</v>
      </c>
    </row>
    <row r="319" spans="1:32">
      <c r="A319" s="604">
        <v>305</v>
      </c>
      <c r="B319" s="316" t="s">
        <v>984</v>
      </c>
      <c r="C319" s="316" t="s">
        <v>504</v>
      </c>
      <c r="D319" s="316" t="s">
        <v>1178</v>
      </c>
      <c r="E319" s="602" t="s">
        <v>1598</v>
      </c>
      <c r="F319" s="603">
        <v>1616657.04</v>
      </c>
      <c r="G319" s="603">
        <v>140517</v>
      </c>
      <c r="H319" s="603">
        <v>281034</v>
      </c>
      <c r="I319" s="603">
        <v>421551</v>
      </c>
      <c r="J319" s="603">
        <v>562068</v>
      </c>
      <c r="K319" s="603">
        <v>702585</v>
      </c>
      <c r="L319" s="603">
        <v>843102</v>
      </c>
      <c r="M319" s="603">
        <v>1000496</v>
      </c>
      <c r="N319" s="603">
        <v>1157890</v>
      </c>
      <c r="O319" s="603">
        <v>1315284</v>
      </c>
      <c r="P319" s="603">
        <v>1472678</v>
      </c>
      <c r="Q319" s="603">
        <v>1629206.24</v>
      </c>
      <c r="R319" s="603">
        <v>1785732.24</v>
      </c>
      <c r="S319" s="484">
        <f>((F319+R319)+((G319+H319+I319+J319+K319+L319+M319+N319+O319+P319+Q319)*2))/24</f>
        <v>935633.82333333336</v>
      </c>
      <c r="T319" s="604"/>
      <c r="U319" s="642"/>
      <c r="V319" s="679"/>
      <c r="W319" s="679">
        <f t="shared" si="60"/>
        <v>935633.82333333336</v>
      </c>
      <c r="X319" s="702"/>
      <c r="Y319" s="679"/>
      <c r="Z319" s="679"/>
      <c r="AA319" s="642"/>
      <c r="AB319" s="679"/>
      <c r="AC319" s="644">
        <f t="shared" si="61"/>
        <v>935633.82333333336</v>
      </c>
      <c r="AD319" s="643"/>
      <c r="AE319" s="643"/>
      <c r="AF319" s="677">
        <f t="shared" si="58"/>
        <v>0</v>
      </c>
    </row>
    <row r="320" spans="1:32">
      <c r="A320" s="604">
        <v>306</v>
      </c>
      <c r="B320" s="316" t="s">
        <v>959</v>
      </c>
      <c r="C320" s="316" t="s">
        <v>504</v>
      </c>
      <c r="D320" s="316" t="s">
        <v>1178</v>
      </c>
      <c r="E320" s="602" t="s">
        <v>1598</v>
      </c>
      <c r="F320" s="603">
        <v>2348751.16</v>
      </c>
      <c r="G320" s="603">
        <v>209006</v>
      </c>
      <c r="H320" s="603">
        <v>418012</v>
      </c>
      <c r="I320" s="603">
        <v>627018</v>
      </c>
      <c r="J320" s="603">
        <v>442240.22</v>
      </c>
      <c r="K320" s="603">
        <v>610455.22</v>
      </c>
      <c r="L320" s="603">
        <v>812934.22</v>
      </c>
      <c r="M320" s="603">
        <v>1015413.22</v>
      </c>
      <c r="N320" s="603">
        <v>1319034.22</v>
      </c>
      <c r="O320" s="603">
        <v>1534156.22</v>
      </c>
      <c r="P320" s="603">
        <v>1749278.22</v>
      </c>
      <c r="Q320" s="603">
        <v>1964400.22</v>
      </c>
      <c r="R320" s="603">
        <v>2179522.2200000002</v>
      </c>
      <c r="S320" s="484">
        <f t="shared" si="62"/>
        <v>1080507.0374999999</v>
      </c>
      <c r="T320" s="604"/>
      <c r="U320" s="642"/>
      <c r="V320" s="679"/>
      <c r="W320" s="679">
        <f t="shared" si="60"/>
        <v>1080507.0374999999</v>
      </c>
      <c r="X320" s="702"/>
      <c r="Y320" s="679"/>
      <c r="Z320" s="679"/>
      <c r="AA320" s="642"/>
      <c r="AB320" s="679"/>
      <c r="AC320" s="644">
        <f t="shared" si="61"/>
        <v>1080507.0374999999</v>
      </c>
      <c r="AD320" s="643"/>
      <c r="AE320" s="643"/>
      <c r="AF320" s="677">
        <f t="shared" si="58"/>
        <v>0</v>
      </c>
    </row>
    <row r="321" spans="1:32">
      <c r="A321" s="604">
        <v>307</v>
      </c>
      <c r="B321" s="316" t="s">
        <v>956</v>
      </c>
      <c r="C321" s="316" t="s">
        <v>504</v>
      </c>
      <c r="D321" s="316" t="s">
        <v>1179</v>
      </c>
      <c r="E321" s="602" t="s">
        <v>1599</v>
      </c>
      <c r="F321" s="603">
        <v>2223.23</v>
      </c>
      <c r="G321" s="603">
        <v>105.15</v>
      </c>
      <c r="H321" s="603">
        <v>105.15</v>
      </c>
      <c r="I321" s="603">
        <v>553.16</v>
      </c>
      <c r="J321" s="603">
        <v>1039.1099999999999</v>
      </c>
      <c r="K321" s="603">
        <v>1039.1099999999999</v>
      </c>
      <c r="L321" s="603">
        <v>1039.1099999999999</v>
      </c>
      <c r="M321" s="603">
        <v>1039.1099999999999</v>
      </c>
      <c r="N321" s="603">
        <v>1137.29</v>
      </c>
      <c r="O321" s="603">
        <v>1137.29</v>
      </c>
      <c r="P321" s="603">
        <v>1315.87</v>
      </c>
      <c r="Q321" s="603">
        <v>1315.87</v>
      </c>
      <c r="R321" s="603">
        <v>1315.87</v>
      </c>
      <c r="S321" s="484">
        <f t="shared" si="62"/>
        <v>966.31416666666644</v>
      </c>
      <c r="T321" s="604"/>
      <c r="U321" s="642"/>
      <c r="V321" s="679"/>
      <c r="W321" s="679">
        <f t="shared" si="60"/>
        <v>966.31416666666644</v>
      </c>
      <c r="X321" s="702"/>
      <c r="Y321" s="679"/>
      <c r="Z321" s="679"/>
      <c r="AA321" s="642"/>
      <c r="AB321" s="679"/>
      <c r="AC321" s="644">
        <f t="shared" si="61"/>
        <v>966.31416666666644</v>
      </c>
      <c r="AD321" s="643"/>
      <c r="AE321" s="643"/>
      <c r="AF321" s="677">
        <f t="shared" si="58"/>
        <v>0</v>
      </c>
    </row>
    <row r="322" spans="1:32">
      <c r="A322" s="604">
        <v>308</v>
      </c>
      <c r="B322" s="316" t="s">
        <v>984</v>
      </c>
      <c r="C322" s="316" t="s">
        <v>504</v>
      </c>
      <c r="D322" s="316" t="s">
        <v>1179</v>
      </c>
      <c r="E322" s="602" t="s">
        <v>1599</v>
      </c>
      <c r="F322" s="603">
        <v>26450.98</v>
      </c>
      <c r="G322" s="603">
        <v>291</v>
      </c>
      <c r="H322" s="603">
        <v>814.83</v>
      </c>
      <c r="I322" s="603">
        <v>1120.78</v>
      </c>
      <c r="J322" s="603">
        <v>1244.54</v>
      </c>
      <c r="K322" s="603">
        <v>1623.2</v>
      </c>
      <c r="L322" s="603">
        <v>2082.31</v>
      </c>
      <c r="M322" s="603">
        <v>2624.81</v>
      </c>
      <c r="N322" s="603">
        <v>3267.91</v>
      </c>
      <c r="O322" s="603">
        <v>3725.11</v>
      </c>
      <c r="P322" s="603">
        <v>26823.8</v>
      </c>
      <c r="Q322" s="603">
        <v>27291.8</v>
      </c>
      <c r="R322" s="603">
        <v>27706.880000000001</v>
      </c>
      <c r="S322" s="484">
        <f t="shared" si="62"/>
        <v>8165.7516666666661</v>
      </c>
      <c r="T322" s="604"/>
      <c r="U322" s="642"/>
      <c r="V322" s="679"/>
      <c r="W322" s="679">
        <f t="shared" si="60"/>
        <v>8165.7516666666661</v>
      </c>
      <c r="X322" s="702"/>
      <c r="Y322" s="679"/>
      <c r="Z322" s="679"/>
      <c r="AA322" s="642"/>
      <c r="AB322" s="679"/>
      <c r="AC322" s="644">
        <f t="shared" si="61"/>
        <v>8165.7516666666661</v>
      </c>
      <c r="AD322" s="643"/>
      <c r="AE322" s="643"/>
      <c r="AF322" s="677">
        <f t="shared" si="58"/>
        <v>0</v>
      </c>
    </row>
    <row r="323" spans="1:32">
      <c r="A323" s="604">
        <v>309</v>
      </c>
      <c r="B323" s="316" t="s">
        <v>959</v>
      </c>
      <c r="C323" s="316" t="s">
        <v>504</v>
      </c>
      <c r="D323" s="316" t="s">
        <v>1179</v>
      </c>
      <c r="E323" s="602" t="s">
        <v>1599</v>
      </c>
      <c r="F323" s="603">
        <v>34335.31</v>
      </c>
      <c r="G323" s="603">
        <v>141.65</v>
      </c>
      <c r="H323" s="603">
        <v>791.36</v>
      </c>
      <c r="I323" s="603">
        <v>16005.09</v>
      </c>
      <c r="J323" s="603">
        <v>6911.61</v>
      </c>
      <c r="K323" s="603">
        <v>7607.94</v>
      </c>
      <c r="L323" s="603">
        <v>7851.93</v>
      </c>
      <c r="M323" s="603">
        <v>8879.27</v>
      </c>
      <c r="N323" s="603">
        <v>14413.81</v>
      </c>
      <c r="O323" s="603">
        <v>17217.419999999998</v>
      </c>
      <c r="P323" s="603">
        <v>17223.32</v>
      </c>
      <c r="Q323" s="603">
        <v>22366.77</v>
      </c>
      <c r="R323" s="603">
        <v>23966.93</v>
      </c>
      <c r="S323" s="484">
        <f t="shared" si="62"/>
        <v>12380.1075</v>
      </c>
      <c r="T323" s="604"/>
      <c r="U323" s="642"/>
      <c r="V323" s="679"/>
      <c r="W323" s="679">
        <f t="shared" si="60"/>
        <v>12380.1075</v>
      </c>
      <c r="X323" s="702"/>
      <c r="Y323" s="679"/>
      <c r="Z323" s="679"/>
      <c r="AA323" s="642"/>
      <c r="AB323" s="679"/>
      <c r="AC323" s="644">
        <f t="shared" si="61"/>
        <v>12380.1075</v>
      </c>
      <c r="AD323" s="643"/>
      <c r="AE323" s="643"/>
      <c r="AF323" s="677">
        <f t="shared" si="58"/>
        <v>0</v>
      </c>
    </row>
    <row r="324" spans="1:32">
      <c r="A324" s="604">
        <v>310</v>
      </c>
      <c r="B324" s="604" t="s">
        <v>369</v>
      </c>
      <c r="C324" s="604" t="s">
        <v>505</v>
      </c>
      <c r="D324" s="604" t="s">
        <v>369</v>
      </c>
      <c r="E324" s="602" t="s">
        <v>1605</v>
      </c>
      <c r="F324" s="303">
        <v>2257640.98</v>
      </c>
      <c r="G324" s="303">
        <v>227876.63</v>
      </c>
      <c r="H324" s="303">
        <v>435984.76</v>
      </c>
      <c r="I324" s="303">
        <v>635136.4</v>
      </c>
      <c r="J324" s="303">
        <v>841363.86</v>
      </c>
      <c r="K324" s="303">
        <v>1045796.29</v>
      </c>
      <c r="L324" s="303">
        <v>1224380.81</v>
      </c>
      <c r="M324" s="303">
        <v>1426816.56</v>
      </c>
      <c r="N324" s="303">
        <v>1614952.02</v>
      </c>
      <c r="O324" s="303">
        <v>1799163.64</v>
      </c>
      <c r="P324" s="303">
        <v>2000828.68</v>
      </c>
      <c r="Q324" s="303">
        <v>2171032.12</v>
      </c>
      <c r="R324" s="303">
        <v>2415606.38</v>
      </c>
      <c r="S324" s="484">
        <f>((F324+R324)+((G324+H324+I324+J324+K324+L324+M324+N324+O324+P324+Q324)*2))/24</f>
        <v>1313329.6208333333</v>
      </c>
      <c r="T324" s="604"/>
      <c r="U324" s="642"/>
      <c r="V324" s="679"/>
      <c r="W324" s="679">
        <f t="shared" si="60"/>
        <v>1313329.6208333333</v>
      </c>
      <c r="X324" s="702"/>
      <c r="Y324" s="679"/>
      <c r="Z324" s="679"/>
      <c r="AA324" s="642"/>
      <c r="AB324" s="679"/>
      <c r="AC324" s="644">
        <f t="shared" si="61"/>
        <v>1313329.6208333333</v>
      </c>
      <c r="AD324" s="643"/>
      <c r="AE324" s="643"/>
      <c r="AF324" s="677">
        <f t="shared" si="58"/>
        <v>0</v>
      </c>
    </row>
    <row r="325" spans="1:32">
      <c r="A325" s="604">
        <v>311</v>
      </c>
      <c r="B325" s="604"/>
      <c r="C325" s="604"/>
      <c r="D325" s="604"/>
      <c r="E325" s="589" t="s">
        <v>506</v>
      </c>
      <c r="F325" s="295">
        <f>SUM(F309:F324)</f>
        <v>28430305.460000001</v>
      </c>
      <c r="G325" s="295">
        <f t="shared" ref="G325:S325" si="63">SUM(G309:G324)</f>
        <v>3566743.36</v>
      </c>
      <c r="H325" s="295">
        <f t="shared" si="63"/>
        <v>7426955.9100000011</v>
      </c>
      <c r="I325" s="295">
        <f t="shared" si="63"/>
        <v>11117130.029999999</v>
      </c>
      <c r="J325" s="295">
        <f t="shared" si="63"/>
        <v>13147168.379999997</v>
      </c>
      <c r="K325" s="295">
        <f t="shared" si="63"/>
        <v>14928165.530000001</v>
      </c>
      <c r="L325" s="295">
        <f t="shared" si="63"/>
        <v>16411088.940000001</v>
      </c>
      <c r="M325" s="295">
        <f t="shared" si="63"/>
        <v>17873494.390000001</v>
      </c>
      <c r="N325" s="295">
        <f t="shared" si="63"/>
        <v>19330358.749999996</v>
      </c>
      <c r="O325" s="295">
        <f t="shared" si="63"/>
        <v>20837644.119999997</v>
      </c>
      <c r="P325" s="295">
        <f t="shared" si="63"/>
        <v>23153062.740000002</v>
      </c>
      <c r="Q325" s="295">
        <f t="shared" si="63"/>
        <v>26329421.970000003</v>
      </c>
      <c r="R325" s="295">
        <f t="shared" si="63"/>
        <v>30542472.069999997</v>
      </c>
      <c r="S325" s="295">
        <f t="shared" si="63"/>
        <v>16967301.907083333</v>
      </c>
      <c r="T325" s="604"/>
      <c r="U325" s="642"/>
      <c r="V325" s="679"/>
      <c r="W325" s="679"/>
      <c r="X325" s="702"/>
      <c r="Y325" s="679"/>
      <c r="Z325" s="679"/>
      <c r="AA325" s="642"/>
      <c r="AB325" s="679"/>
      <c r="AC325" s="643"/>
      <c r="AD325" s="643"/>
      <c r="AE325" s="643"/>
      <c r="AF325" s="677">
        <f t="shared" si="58"/>
        <v>0</v>
      </c>
    </row>
    <row r="326" spans="1:32">
      <c r="A326" s="604">
        <v>312</v>
      </c>
      <c r="B326" s="604"/>
      <c r="C326" s="604"/>
      <c r="D326" s="604"/>
      <c r="E326" s="589"/>
      <c r="F326" s="603"/>
      <c r="G326" s="314"/>
      <c r="H326" s="305"/>
      <c r="I326" s="305"/>
      <c r="J326" s="306"/>
      <c r="K326" s="307"/>
      <c r="L326" s="308"/>
      <c r="M326" s="309"/>
      <c r="N326" s="310"/>
      <c r="O326" s="590"/>
      <c r="P326" s="311"/>
      <c r="Q326" s="315"/>
      <c r="R326" s="603"/>
      <c r="S326" s="294"/>
      <c r="T326" s="604"/>
      <c r="U326" s="642"/>
      <c r="V326" s="679"/>
      <c r="W326" s="679"/>
      <c r="X326" s="702"/>
      <c r="Y326" s="679"/>
      <c r="Z326" s="679"/>
      <c r="AA326" s="642"/>
      <c r="AB326" s="679"/>
      <c r="AC326" s="643"/>
      <c r="AD326" s="643"/>
      <c r="AE326" s="643"/>
      <c r="AF326" s="677">
        <f t="shared" si="58"/>
        <v>0</v>
      </c>
    </row>
    <row r="327" spans="1:32">
      <c r="A327" s="604">
        <v>313</v>
      </c>
      <c r="B327" s="316" t="s">
        <v>956</v>
      </c>
      <c r="C327" s="316" t="s">
        <v>507</v>
      </c>
      <c r="D327" s="604"/>
      <c r="E327" s="602" t="s">
        <v>1606</v>
      </c>
      <c r="F327" s="603">
        <v>26303412.609999999</v>
      </c>
      <c r="G327" s="603">
        <v>2356483.42</v>
      </c>
      <c r="H327" s="603">
        <v>4726032.16</v>
      </c>
      <c r="I327" s="603">
        <v>7104545.4199999999</v>
      </c>
      <c r="J327" s="603">
        <v>9497469.6799999997</v>
      </c>
      <c r="K327" s="603">
        <v>11907578.300000001</v>
      </c>
      <c r="L327" s="603">
        <v>14334782.939999999</v>
      </c>
      <c r="M327" s="603">
        <v>16782480.190000001</v>
      </c>
      <c r="N327" s="603">
        <v>19235705.48</v>
      </c>
      <c r="O327" s="603">
        <v>21703420.32</v>
      </c>
      <c r="P327" s="603">
        <v>24188691.23</v>
      </c>
      <c r="Q327" s="603">
        <v>26702769.57</v>
      </c>
      <c r="R327" s="603">
        <v>29230447.98</v>
      </c>
      <c r="S327" s="294">
        <f>((F327+R327)+((G327+H327+I327+J327+K327+L327+M327+N327+O327+P327+Q327)*2))/24</f>
        <v>15525574.08375</v>
      </c>
      <c r="T327" s="604"/>
      <c r="U327" s="642"/>
      <c r="V327" s="679"/>
      <c r="W327" s="679">
        <f>+S327</f>
        <v>15525574.08375</v>
      </c>
      <c r="X327" s="702"/>
      <c r="Y327" s="679"/>
      <c r="Z327" s="679"/>
      <c r="AA327" s="642"/>
      <c r="AB327" s="679"/>
      <c r="AC327" s="644">
        <f>+S327</f>
        <v>15525574.08375</v>
      </c>
      <c r="AD327" s="643"/>
      <c r="AE327" s="643"/>
      <c r="AF327" s="677">
        <f t="shared" si="58"/>
        <v>0</v>
      </c>
    </row>
    <row r="328" spans="1:32">
      <c r="A328" s="604">
        <v>314</v>
      </c>
      <c r="B328" s="316" t="s">
        <v>956</v>
      </c>
      <c r="C328" s="316" t="s">
        <v>508</v>
      </c>
      <c r="D328" s="604"/>
      <c r="E328" s="602" t="s">
        <v>1607</v>
      </c>
      <c r="F328" s="603">
        <v>3486360.4</v>
      </c>
      <c r="G328" s="603">
        <v>288580.90000000002</v>
      </c>
      <c r="H328" s="603">
        <v>577130.34</v>
      </c>
      <c r="I328" s="603">
        <v>865679.78</v>
      </c>
      <c r="J328" s="603">
        <v>1151676.1000000001</v>
      </c>
      <c r="K328" s="603">
        <v>1438514.42</v>
      </c>
      <c r="L328" s="603">
        <v>1725352.74</v>
      </c>
      <c r="M328" s="603">
        <v>2012192.61</v>
      </c>
      <c r="N328" s="603">
        <v>2299181.62</v>
      </c>
      <c r="O328" s="603">
        <v>2586176.0699999998</v>
      </c>
      <c r="P328" s="603">
        <v>2876670.55</v>
      </c>
      <c r="Q328" s="603">
        <v>3166291.48</v>
      </c>
      <c r="R328" s="603">
        <v>3457659.27</v>
      </c>
      <c r="S328" s="294">
        <f>((F328+R328)+((G328+H328+I328+J328+K328+L328+M328+N328+O328+P328+Q328)*2))/24</f>
        <v>1871621.3704166671</v>
      </c>
      <c r="T328" s="604"/>
      <c r="U328" s="642"/>
      <c r="V328" s="679"/>
      <c r="W328" s="679">
        <f>+S328</f>
        <v>1871621.3704166671</v>
      </c>
      <c r="X328" s="702"/>
      <c r="Y328" s="679"/>
      <c r="Z328" s="679"/>
      <c r="AA328" s="642"/>
      <c r="AB328" s="679"/>
      <c r="AC328" s="644">
        <f>+S328</f>
        <v>1871621.3704166671</v>
      </c>
      <c r="AD328" s="643"/>
      <c r="AE328" s="643"/>
      <c r="AF328" s="677">
        <f t="shared" si="58"/>
        <v>0</v>
      </c>
    </row>
    <row r="329" spans="1:32">
      <c r="A329" s="604">
        <v>315</v>
      </c>
      <c r="B329" s="316" t="s">
        <v>956</v>
      </c>
      <c r="C329" s="522" t="s">
        <v>509</v>
      </c>
      <c r="D329" s="604"/>
      <c r="E329" s="602" t="s">
        <v>1608</v>
      </c>
      <c r="F329" s="303">
        <v>0</v>
      </c>
      <c r="G329" s="303">
        <v>0</v>
      </c>
      <c r="H329" s="303">
        <v>0</v>
      </c>
      <c r="I329" s="303">
        <v>0</v>
      </c>
      <c r="J329" s="303">
        <v>0</v>
      </c>
      <c r="K329" s="303">
        <v>0</v>
      </c>
      <c r="L329" s="303">
        <v>0</v>
      </c>
      <c r="M329" s="303">
        <v>0</v>
      </c>
      <c r="N329" s="303">
        <v>0</v>
      </c>
      <c r="O329" s="303">
        <v>0</v>
      </c>
      <c r="P329" s="303">
        <v>0</v>
      </c>
      <c r="Q329" s="303">
        <v>0</v>
      </c>
      <c r="R329" s="303">
        <v>0</v>
      </c>
      <c r="S329" s="294">
        <f>((F329+R329)+((G329+H329+I329+J329+K329+L329+M329+N329+O329+P329+Q329)*2))/24</f>
        <v>0</v>
      </c>
      <c r="T329" s="604"/>
      <c r="U329" s="642"/>
      <c r="V329" s="679"/>
      <c r="W329" s="679">
        <f>+S329</f>
        <v>0</v>
      </c>
      <c r="X329" s="702"/>
      <c r="Y329" s="679"/>
      <c r="Z329" s="679"/>
      <c r="AA329" s="642"/>
      <c r="AB329" s="679"/>
      <c r="AC329" s="644">
        <f>+S329</f>
        <v>0</v>
      </c>
      <c r="AD329" s="643"/>
      <c r="AE329" s="643"/>
      <c r="AF329" s="677">
        <f t="shared" si="58"/>
        <v>0</v>
      </c>
    </row>
    <row r="330" spans="1:32">
      <c r="A330" s="604">
        <v>316</v>
      </c>
      <c r="B330" s="604"/>
      <c r="C330" s="604"/>
      <c r="D330" s="604"/>
      <c r="E330" s="602" t="s">
        <v>510</v>
      </c>
      <c r="F330" s="295">
        <f>SUM(F327:F329)</f>
        <v>29789773.009999998</v>
      </c>
      <c r="G330" s="295">
        <f t="shared" ref="G330:S330" si="64">SUM(G327:G329)</f>
        <v>2645064.3199999998</v>
      </c>
      <c r="H330" s="295">
        <f t="shared" si="64"/>
        <v>5303162.5</v>
      </c>
      <c r="I330" s="295">
        <f t="shared" si="64"/>
        <v>7970225.2000000002</v>
      </c>
      <c r="J330" s="295">
        <f t="shared" si="64"/>
        <v>10649145.779999999</v>
      </c>
      <c r="K330" s="295">
        <f t="shared" si="64"/>
        <v>13346092.720000001</v>
      </c>
      <c r="L330" s="295">
        <f t="shared" si="64"/>
        <v>16060135.68</v>
      </c>
      <c r="M330" s="295">
        <f t="shared" si="64"/>
        <v>18794672.800000001</v>
      </c>
      <c r="N330" s="295">
        <f t="shared" si="64"/>
        <v>21534887.100000001</v>
      </c>
      <c r="O330" s="295">
        <f t="shared" si="64"/>
        <v>24289596.390000001</v>
      </c>
      <c r="P330" s="295">
        <f t="shared" si="64"/>
        <v>27065361.780000001</v>
      </c>
      <c r="Q330" s="295">
        <f t="shared" si="64"/>
        <v>29869061.050000001</v>
      </c>
      <c r="R330" s="295">
        <f t="shared" si="64"/>
        <v>32688107.25</v>
      </c>
      <c r="S330" s="486">
        <f t="shared" si="64"/>
        <v>17397195.454166666</v>
      </c>
      <c r="T330" s="604"/>
      <c r="U330" s="642"/>
      <c r="V330" s="679"/>
      <c r="W330" s="679"/>
      <c r="X330" s="702"/>
      <c r="Y330" s="679"/>
      <c r="Z330" s="679"/>
      <c r="AA330" s="642"/>
      <c r="AB330" s="679"/>
      <c r="AC330" s="643"/>
      <c r="AD330" s="643"/>
      <c r="AE330" s="643"/>
      <c r="AF330" s="677">
        <f t="shared" si="58"/>
        <v>0</v>
      </c>
    </row>
    <row r="331" spans="1:32">
      <c r="A331" s="604">
        <v>317</v>
      </c>
      <c r="B331" s="604"/>
      <c r="C331" s="604"/>
      <c r="D331" s="604"/>
      <c r="E331" s="589"/>
      <c r="F331" s="603"/>
      <c r="G331" s="314"/>
      <c r="H331" s="305"/>
      <c r="I331" s="305"/>
      <c r="J331" s="306"/>
      <c r="K331" s="307"/>
      <c r="L331" s="308"/>
      <c r="M331" s="309"/>
      <c r="N331" s="310"/>
      <c r="O331" s="590"/>
      <c r="P331" s="311"/>
      <c r="Q331" s="315"/>
      <c r="R331" s="603"/>
      <c r="S331" s="294"/>
      <c r="T331" s="604"/>
      <c r="U331" s="642"/>
      <c r="V331" s="679"/>
      <c r="W331" s="679"/>
      <c r="X331" s="702"/>
      <c r="Y331" s="679"/>
      <c r="Z331" s="679"/>
      <c r="AA331" s="642"/>
      <c r="AB331" s="679"/>
      <c r="AC331" s="643"/>
      <c r="AD331" s="643"/>
      <c r="AE331" s="643"/>
      <c r="AF331" s="677">
        <f t="shared" si="58"/>
        <v>0</v>
      </c>
    </row>
    <row r="332" spans="1:32">
      <c r="A332" s="604">
        <v>318</v>
      </c>
      <c r="B332" s="316" t="s">
        <v>956</v>
      </c>
      <c r="C332" s="316" t="s">
        <v>511</v>
      </c>
      <c r="D332" s="604"/>
      <c r="E332" s="602" t="s">
        <v>512</v>
      </c>
      <c r="F332" s="603">
        <v>0</v>
      </c>
      <c r="G332" s="603">
        <v>0</v>
      </c>
      <c r="H332" s="603">
        <v>0</v>
      </c>
      <c r="I332" s="603">
        <v>0</v>
      </c>
      <c r="J332" s="603">
        <v>0</v>
      </c>
      <c r="K332" s="603">
        <v>0</v>
      </c>
      <c r="L332" s="603">
        <v>0</v>
      </c>
      <c r="M332" s="603">
        <v>0</v>
      </c>
      <c r="N332" s="603">
        <v>0</v>
      </c>
      <c r="O332" s="603">
        <v>0</v>
      </c>
      <c r="P332" s="603">
        <v>0</v>
      </c>
      <c r="Q332" s="603">
        <v>0</v>
      </c>
      <c r="R332" s="603">
        <v>0</v>
      </c>
      <c r="S332" s="484">
        <f t="shared" ref="S332:S339" si="65">((F332+R332)+((G332+H332+I332+J332+K332+L332+M332+N332+O332+P332+Q332)*2))/24</f>
        <v>0</v>
      </c>
      <c r="T332" s="604"/>
      <c r="U332" s="642"/>
      <c r="V332" s="679"/>
      <c r="W332" s="679"/>
      <c r="X332" s="702"/>
      <c r="Y332" s="679"/>
      <c r="Z332" s="679"/>
      <c r="AA332" s="642"/>
      <c r="AB332" s="679"/>
      <c r="AC332" s="643"/>
      <c r="AD332" s="643"/>
      <c r="AE332" s="643"/>
      <c r="AF332" s="677">
        <f t="shared" si="58"/>
        <v>0</v>
      </c>
    </row>
    <row r="333" spans="1:32">
      <c r="A333" s="604">
        <v>319</v>
      </c>
      <c r="B333" s="316" t="s">
        <v>956</v>
      </c>
      <c r="C333" s="316" t="s">
        <v>513</v>
      </c>
      <c r="D333" s="604"/>
      <c r="E333" s="602" t="s">
        <v>514</v>
      </c>
      <c r="F333" s="603">
        <v>11139099.369999999</v>
      </c>
      <c r="G333" s="603">
        <v>928096.05</v>
      </c>
      <c r="H333" s="603">
        <v>1856104.6</v>
      </c>
      <c r="I333" s="603">
        <v>2784113.15</v>
      </c>
      <c r="J333" s="603">
        <v>3712121.68</v>
      </c>
      <c r="K333" s="603">
        <v>4639727.7300000004</v>
      </c>
      <c r="L333" s="603">
        <v>5812917.1200000001</v>
      </c>
      <c r="M333" s="603">
        <v>6986106.4900000002</v>
      </c>
      <c r="N333" s="603">
        <v>8159252.1100000003</v>
      </c>
      <c r="O333" s="603">
        <v>9332397.75</v>
      </c>
      <c r="P333" s="603">
        <v>10505543.369999999</v>
      </c>
      <c r="Q333" s="603">
        <v>11678579.609999999</v>
      </c>
      <c r="R333" s="603">
        <v>12851615.869999999</v>
      </c>
      <c r="S333" s="484">
        <f t="shared" si="65"/>
        <v>6532526.4400000004</v>
      </c>
      <c r="T333" s="604"/>
      <c r="U333" s="642"/>
      <c r="V333" s="679"/>
      <c r="W333" s="679">
        <f t="shared" ref="W333:W347" si="66">+S333</f>
        <v>6532526.4400000004</v>
      </c>
      <c r="X333" s="702"/>
      <c r="Y333" s="679"/>
      <c r="Z333" s="679"/>
      <c r="AA333" s="642"/>
      <c r="AB333" s="679"/>
      <c r="AC333" s="644">
        <f t="shared" ref="AC333:AC347" si="67">+S333</f>
        <v>6532526.4400000004</v>
      </c>
      <c r="AD333" s="643"/>
      <c r="AE333" s="643"/>
      <c r="AF333" s="677">
        <f t="shared" si="58"/>
        <v>0</v>
      </c>
    </row>
    <row r="334" spans="1:32">
      <c r="A334" s="604">
        <v>320</v>
      </c>
      <c r="B334" s="316" t="s">
        <v>956</v>
      </c>
      <c r="C334" s="316" t="s">
        <v>513</v>
      </c>
      <c r="D334" s="316" t="s">
        <v>515</v>
      </c>
      <c r="E334" s="590" t="s">
        <v>516</v>
      </c>
      <c r="F334" s="603">
        <v>548333.80000000005</v>
      </c>
      <c r="G334" s="603">
        <v>165230.87</v>
      </c>
      <c r="H334" s="603">
        <v>320019.8</v>
      </c>
      <c r="I334" s="603">
        <v>478537.68</v>
      </c>
      <c r="J334" s="603">
        <v>580989.74</v>
      </c>
      <c r="K334" s="603">
        <v>789188.57</v>
      </c>
      <c r="L334" s="603">
        <v>873005.23</v>
      </c>
      <c r="M334" s="603">
        <v>917419.62</v>
      </c>
      <c r="N334" s="603">
        <v>993359.71</v>
      </c>
      <c r="O334" s="603">
        <v>1067622.68</v>
      </c>
      <c r="P334" s="603">
        <v>1095507.58</v>
      </c>
      <c r="Q334" s="603">
        <v>1146976.75</v>
      </c>
      <c r="R334" s="603">
        <v>1237444.53</v>
      </c>
      <c r="S334" s="484">
        <f t="shared" si="65"/>
        <v>776728.94958333333</v>
      </c>
      <c r="T334" s="604"/>
      <c r="U334" s="642"/>
      <c r="V334" s="679"/>
      <c r="W334" s="679">
        <f t="shared" si="66"/>
        <v>776728.94958333333</v>
      </c>
      <c r="X334" s="702"/>
      <c r="Y334" s="679"/>
      <c r="Z334" s="679"/>
      <c r="AA334" s="642"/>
      <c r="AB334" s="679"/>
      <c r="AC334" s="644">
        <f t="shared" si="67"/>
        <v>776728.94958333333</v>
      </c>
      <c r="AD334" s="643"/>
      <c r="AE334" s="643"/>
      <c r="AF334" s="677">
        <f t="shared" si="58"/>
        <v>0</v>
      </c>
    </row>
    <row r="335" spans="1:32">
      <c r="A335" s="604">
        <v>321</v>
      </c>
      <c r="B335" s="316" t="s">
        <v>956</v>
      </c>
      <c r="C335" s="316" t="s">
        <v>513</v>
      </c>
      <c r="D335" s="316" t="s">
        <v>549</v>
      </c>
      <c r="E335" s="590" t="s">
        <v>1879</v>
      </c>
      <c r="F335" s="603">
        <v>0</v>
      </c>
      <c r="G335" s="603">
        <v>0</v>
      </c>
      <c r="H335" s="603">
        <v>0</v>
      </c>
      <c r="I335" s="603">
        <v>0</v>
      </c>
      <c r="J335" s="603">
        <v>31250.01</v>
      </c>
      <c r="K335" s="603">
        <v>39322.93</v>
      </c>
      <c r="L335" s="603">
        <v>48958.35</v>
      </c>
      <c r="M335" s="603">
        <v>59722.239999999998</v>
      </c>
      <c r="N335" s="603">
        <v>70486.13</v>
      </c>
      <c r="O335" s="603">
        <v>81076.39</v>
      </c>
      <c r="P335" s="603">
        <v>91840.28</v>
      </c>
      <c r="Q335" s="603">
        <v>102256.95</v>
      </c>
      <c r="R335" s="603">
        <v>113020.83</v>
      </c>
      <c r="S335" s="484">
        <f t="shared" si="65"/>
        <v>48451.974583333329</v>
      </c>
      <c r="T335" s="604"/>
      <c r="U335" s="642"/>
      <c r="V335" s="679"/>
      <c r="W335" s="679">
        <f t="shared" si="66"/>
        <v>48451.974583333329</v>
      </c>
      <c r="X335" s="702"/>
      <c r="Y335" s="679"/>
      <c r="Z335" s="679"/>
      <c r="AA335" s="642"/>
      <c r="AB335" s="679"/>
      <c r="AC335" s="644">
        <f>+W335</f>
        <v>48451.974583333329</v>
      </c>
      <c r="AD335" s="643"/>
      <c r="AE335" s="643"/>
      <c r="AF335" s="677"/>
    </row>
    <row r="336" spans="1:32">
      <c r="A336" s="604">
        <v>322</v>
      </c>
      <c r="B336" s="316" t="s">
        <v>956</v>
      </c>
      <c r="C336" s="316" t="s">
        <v>517</v>
      </c>
      <c r="D336" s="316" t="s">
        <v>1880</v>
      </c>
      <c r="E336" s="590" t="s">
        <v>1881</v>
      </c>
      <c r="F336" s="603">
        <v>0</v>
      </c>
      <c r="G336" s="603">
        <v>0</v>
      </c>
      <c r="H336" s="603">
        <v>0</v>
      </c>
      <c r="I336" s="603">
        <v>1110</v>
      </c>
      <c r="J336" s="603">
        <v>1110</v>
      </c>
      <c r="K336" s="603">
        <v>1110</v>
      </c>
      <c r="L336" s="603">
        <v>1682</v>
      </c>
      <c r="M336" s="603">
        <v>1682</v>
      </c>
      <c r="N336" s="603">
        <v>1682</v>
      </c>
      <c r="O336" s="603">
        <v>2191</v>
      </c>
      <c r="P336" s="603">
        <v>2191</v>
      </c>
      <c r="Q336" s="603">
        <v>2191</v>
      </c>
      <c r="R336" s="603">
        <v>3227</v>
      </c>
      <c r="S336" s="484">
        <f t="shared" si="65"/>
        <v>1380.2083333333333</v>
      </c>
      <c r="T336" s="604"/>
      <c r="U336" s="642"/>
      <c r="V336" s="679"/>
      <c r="W336" s="679">
        <f t="shared" si="66"/>
        <v>1380.2083333333333</v>
      </c>
      <c r="X336" s="702"/>
      <c r="Y336" s="679"/>
      <c r="Z336" s="679"/>
      <c r="AA336" s="642"/>
      <c r="AB336" s="679"/>
      <c r="AC336" s="644">
        <f>+W336</f>
        <v>1380.2083333333333</v>
      </c>
      <c r="AD336" s="643"/>
      <c r="AE336" s="643"/>
      <c r="AF336" s="677"/>
    </row>
    <row r="337" spans="1:32">
      <c r="A337" s="604">
        <v>323</v>
      </c>
      <c r="B337" s="316" t="s">
        <v>956</v>
      </c>
      <c r="C337" s="316" t="s">
        <v>517</v>
      </c>
      <c r="D337" s="316" t="s">
        <v>379</v>
      </c>
      <c r="E337" s="602" t="s">
        <v>1610</v>
      </c>
      <c r="F337" s="603">
        <v>95052.07</v>
      </c>
      <c r="G337" s="603">
        <v>8072.92</v>
      </c>
      <c r="H337" s="603">
        <v>15364.59</v>
      </c>
      <c r="I337" s="603">
        <v>23437.51</v>
      </c>
      <c r="J337" s="603">
        <v>3.6379788070917101E-12</v>
      </c>
      <c r="K337" s="603">
        <v>3.6379788070917101E-12</v>
      </c>
      <c r="L337" s="603">
        <v>3.6379788070917101E-12</v>
      </c>
      <c r="M337" s="603">
        <v>3.6379788070917101E-12</v>
      </c>
      <c r="N337" s="603">
        <v>3.6379788070917101E-12</v>
      </c>
      <c r="O337" s="603">
        <v>3.6379788070917101E-12</v>
      </c>
      <c r="P337" s="603">
        <v>3.6379788070917101E-12</v>
      </c>
      <c r="Q337" s="603">
        <v>3.6379788070917101E-12</v>
      </c>
      <c r="R337" s="603">
        <v>3.6379788070917101E-12</v>
      </c>
      <c r="S337" s="484">
        <f t="shared" si="65"/>
        <v>7866.7545833333343</v>
      </c>
      <c r="T337" s="604"/>
      <c r="U337" s="642"/>
      <c r="V337" s="679"/>
      <c r="W337" s="679">
        <f t="shared" si="66"/>
        <v>7866.7545833333343</v>
      </c>
      <c r="X337" s="702"/>
      <c r="Y337" s="679"/>
      <c r="Z337" s="679"/>
      <c r="AA337" s="642"/>
      <c r="AB337" s="679"/>
      <c r="AC337" s="644">
        <f t="shared" si="67"/>
        <v>7866.7545833333343</v>
      </c>
      <c r="AD337" s="643"/>
      <c r="AE337" s="643"/>
      <c r="AF337" s="677">
        <f t="shared" si="58"/>
        <v>0</v>
      </c>
    </row>
    <row r="338" spans="1:32">
      <c r="A338" s="604">
        <v>324</v>
      </c>
      <c r="B338" s="316" t="s">
        <v>956</v>
      </c>
      <c r="C338" s="316" t="s">
        <v>517</v>
      </c>
      <c r="D338" s="316" t="s">
        <v>1882</v>
      </c>
      <c r="E338" s="602" t="s">
        <v>1883</v>
      </c>
      <c r="F338" s="603">
        <v>0</v>
      </c>
      <c r="G338" s="603">
        <v>34533.33</v>
      </c>
      <c r="H338" s="603">
        <v>103337.65</v>
      </c>
      <c r="I338" s="603">
        <v>205798.22</v>
      </c>
      <c r="J338" s="603">
        <v>377331.64</v>
      </c>
      <c r="K338" s="603">
        <v>556400.62</v>
      </c>
      <c r="L338" s="603">
        <v>702228.65</v>
      </c>
      <c r="M338" s="603">
        <v>801606.15</v>
      </c>
      <c r="N338" s="603">
        <v>896076.18</v>
      </c>
      <c r="O338" s="603">
        <v>984024.68</v>
      </c>
      <c r="P338" s="603">
        <v>1069734.94</v>
      </c>
      <c r="Q338" s="603">
        <v>1146529.3899999999</v>
      </c>
      <c r="R338" s="603">
        <v>1212769.3899999999</v>
      </c>
      <c r="S338" s="484">
        <f t="shared" si="65"/>
        <v>623665.51208333333</v>
      </c>
      <c r="T338" s="604"/>
      <c r="U338" s="642"/>
      <c r="V338" s="679"/>
      <c r="W338" s="679">
        <f t="shared" si="66"/>
        <v>623665.51208333333</v>
      </c>
      <c r="X338" s="702"/>
      <c r="Y338" s="679"/>
      <c r="Z338" s="679"/>
      <c r="AA338" s="642"/>
      <c r="AB338" s="679"/>
      <c r="AC338" s="644">
        <f t="shared" si="67"/>
        <v>623665.51208333333</v>
      </c>
      <c r="AD338" s="643"/>
      <c r="AE338" s="643"/>
      <c r="AF338" s="677"/>
    </row>
    <row r="339" spans="1:32">
      <c r="A339" s="604">
        <v>325</v>
      </c>
      <c r="B339" s="316" t="s">
        <v>956</v>
      </c>
      <c r="C339" s="316" t="s">
        <v>517</v>
      </c>
      <c r="D339" s="316" t="s">
        <v>526</v>
      </c>
      <c r="E339" s="602" t="s">
        <v>1884</v>
      </c>
      <c r="F339" s="603">
        <v>0</v>
      </c>
      <c r="G339" s="603">
        <v>0</v>
      </c>
      <c r="H339" s="603">
        <v>0</v>
      </c>
      <c r="I339" s="603">
        <v>7555.44</v>
      </c>
      <c r="J339" s="603">
        <v>7555.44</v>
      </c>
      <c r="K339" s="603">
        <v>7555.44</v>
      </c>
      <c r="L339" s="603">
        <v>17094.7</v>
      </c>
      <c r="M339" s="603">
        <v>17094.7</v>
      </c>
      <c r="N339" s="603">
        <v>17094.7</v>
      </c>
      <c r="O339" s="603">
        <v>25258.66</v>
      </c>
      <c r="P339" s="603">
        <v>25258.66</v>
      </c>
      <c r="Q339" s="603">
        <v>25258.66</v>
      </c>
      <c r="R339" s="603">
        <v>33252.980000000003</v>
      </c>
      <c r="S339" s="484">
        <f t="shared" si="65"/>
        <v>13862.740833333331</v>
      </c>
      <c r="T339" s="604"/>
      <c r="U339" s="642"/>
      <c r="V339" s="679"/>
      <c r="W339" s="679">
        <f t="shared" si="66"/>
        <v>13862.740833333331</v>
      </c>
      <c r="X339" s="702"/>
      <c r="Y339" s="679"/>
      <c r="Z339" s="679"/>
      <c r="AA339" s="642"/>
      <c r="AB339" s="679"/>
      <c r="AC339" s="644">
        <f t="shared" si="67"/>
        <v>13862.740833333331</v>
      </c>
      <c r="AD339" s="643"/>
      <c r="AE339" s="643"/>
      <c r="AF339" s="677"/>
    </row>
    <row r="340" spans="1:32">
      <c r="A340" s="604">
        <v>326</v>
      </c>
      <c r="B340" s="316" t="s">
        <v>984</v>
      </c>
      <c r="C340" s="316" t="s">
        <v>517</v>
      </c>
      <c r="D340" s="316" t="s">
        <v>1180</v>
      </c>
      <c r="E340" s="602" t="s">
        <v>1611</v>
      </c>
      <c r="F340" s="603">
        <v>3105.24</v>
      </c>
      <c r="G340" s="603">
        <v>50.32</v>
      </c>
      <c r="H340" s="603">
        <v>117.73</v>
      </c>
      <c r="I340" s="603">
        <v>241.09</v>
      </c>
      <c r="J340" s="603">
        <v>481.33</v>
      </c>
      <c r="K340" s="603">
        <v>732.42</v>
      </c>
      <c r="L340" s="603">
        <v>949.16</v>
      </c>
      <c r="M340" s="603">
        <v>1236.6300000000001</v>
      </c>
      <c r="N340" s="603">
        <v>1532.37</v>
      </c>
      <c r="O340" s="603">
        <v>1820.65</v>
      </c>
      <c r="P340" s="603">
        <v>2317.12</v>
      </c>
      <c r="Q340" s="603">
        <v>2571.5300000000002</v>
      </c>
      <c r="R340" s="603">
        <v>4567.83</v>
      </c>
      <c r="S340" s="484">
        <f t="shared" ref="S340:S345" si="68">((F340+R340)+((G340+H340+I340+J340+K340+L340+M340+N340+O340+P340+Q340)*2))/24</f>
        <v>1323.9070833333333</v>
      </c>
      <c r="T340" s="604"/>
      <c r="U340" s="642"/>
      <c r="V340" s="679"/>
      <c r="W340" s="679">
        <f t="shared" si="66"/>
        <v>1323.9070833333333</v>
      </c>
      <c r="X340" s="702"/>
      <c r="Y340" s="679"/>
      <c r="Z340" s="679"/>
      <c r="AA340" s="642"/>
      <c r="AB340" s="679"/>
      <c r="AC340" s="644">
        <f t="shared" si="67"/>
        <v>1323.9070833333333</v>
      </c>
      <c r="AD340" s="643"/>
      <c r="AE340" s="643"/>
      <c r="AF340" s="677">
        <f t="shared" si="58"/>
        <v>0</v>
      </c>
    </row>
    <row r="341" spans="1:32">
      <c r="A341" s="604">
        <v>327</v>
      </c>
      <c r="B341" s="316" t="s">
        <v>984</v>
      </c>
      <c r="C341" s="316" t="s">
        <v>517</v>
      </c>
      <c r="D341" s="316" t="s">
        <v>1181</v>
      </c>
      <c r="E341" s="602" t="s">
        <v>1612</v>
      </c>
      <c r="F341" s="603">
        <v>156518.59</v>
      </c>
      <c r="G341" s="603">
        <v>0</v>
      </c>
      <c r="H341" s="603">
        <v>0</v>
      </c>
      <c r="I341" s="603">
        <v>0</v>
      </c>
      <c r="J341" s="603">
        <v>0</v>
      </c>
      <c r="K341" s="603">
        <v>0</v>
      </c>
      <c r="L341" s="603">
        <v>0</v>
      </c>
      <c r="M341" s="603">
        <v>0</v>
      </c>
      <c r="N341" s="603">
        <v>0</v>
      </c>
      <c r="O341" s="603">
        <v>0</v>
      </c>
      <c r="P341" s="603">
        <v>0</v>
      </c>
      <c r="Q341" s="603">
        <v>0</v>
      </c>
      <c r="R341" s="603">
        <v>0</v>
      </c>
      <c r="S341" s="484">
        <f t="shared" si="68"/>
        <v>6521.6079166666668</v>
      </c>
      <c r="T341" s="604"/>
      <c r="U341" s="642"/>
      <c r="V341" s="679"/>
      <c r="W341" s="679">
        <f t="shared" si="66"/>
        <v>6521.6079166666668</v>
      </c>
      <c r="X341" s="702"/>
      <c r="Y341" s="679"/>
      <c r="Z341" s="679"/>
      <c r="AA341" s="642"/>
      <c r="AB341" s="679"/>
      <c r="AC341" s="644">
        <f t="shared" si="67"/>
        <v>6521.6079166666668</v>
      </c>
      <c r="AD341" s="643"/>
      <c r="AE341" s="643"/>
      <c r="AF341" s="677">
        <f t="shared" si="58"/>
        <v>0</v>
      </c>
    </row>
    <row r="342" spans="1:32">
      <c r="A342" s="604">
        <v>328</v>
      </c>
      <c r="B342" s="316" t="s">
        <v>984</v>
      </c>
      <c r="C342" s="316" t="s">
        <v>517</v>
      </c>
      <c r="D342" s="316" t="s">
        <v>1182</v>
      </c>
      <c r="E342" s="602" t="s">
        <v>1613</v>
      </c>
      <c r="F342" s="603">
        <v>39378.44</v>
      </c>
      <c r="G342" s="603">
        <v>0</v>
      </c>
      <c r="H342" s="603">
        <v>0</v>
      </c>
      <c r="I342" s="603">
        <v>0</v>
      </c>
      <c r="J342" s="603">
        <v>9490.2900000000009</v>
      </c>
      <c r="K342" s="603">
        <v>21965.360000000001</v>
      </c>
      <c r="L342" s="603">
        <v>31077.74</v>
      </c>
      <c r="M342" s="603">
        <v>40780.449999999997</v>
      </c>
      <c r="N342" s="603">
        <v>50530.43</v>
      </c>
      <c r="O342" s="603">
        <v>58370.19</v>
      </c>
      <c r="P342" s="603">
        <v>67212.75</v>
      </c>
      <c r="Q342" s="603">
        <v>79771.240000000005</v>
      </c>
      <c r="R342" s="603">
        <v>92377.64</v>
      </c>
      <c r="S342" s="484">
        <f t="shared" si="68"/>
        <v>35423.040833333333</v>
      </c>
      <c r="T342" s="604"/>
      <c r="U342" s="642"/>
      <c r="V342" s="679"/>
      <c r="W342" s="679">
        <f t="shared" si="66"/>
        <v>35423.040833333333</v>
      </c>
      <c r="X342" s="702"/>
      <c r="Y342" s="679"/>
      <c r="Z342" s="679"/>
      <c r="AA342" s="642"/>
      <c r="AB342" s="679"/>
      <c r="AC342" s="644">
        <f t="shared" si="67"/>
        <v>35423.040833333333</v>
      </c>
      <c r="AD342" s="643"/>
      <c r="AE342" s="643"/>
      <c r="AF342" s="677">
        <f t="shared" si="58"/>
        <v>0</v>
      </c>
    </row>
    <row r="343" spans="1:32">
      <c r="A343" s="604">
        <v>329</v>
      </c>
      <c r="B343" s="316" t="s">
        <v>959</v>
      </c>
      <c r="C343" s="316" t="s">
        <v>517</v>
      </c>
      <c r="D343" s="316" t="s">
        <v>1180</v>
      </c>
      <c r="E343" s="602" t="s">
        <v>1611</v>
      </c>
      <c r="F343" s="603">
        <v>12321.35</v>
      </c>
      <c r="G343" s="603">
        <v>144.74</v>
      </c>
      <c r="H343" s="603">
        <v>424.49</v>
      </c>
      <c r="I343" s="603">
        <v>944.89</v>
      </c>
      <c r="J343" s="603">
        <v>1674.17</v>
      </c>
      <c r="K343" s="603">
        <v>2379.8200000000002</v>
      </c>
      <c r="L343" s="603">
        <v>3131.36</v>
      </c>
      <c r="M343" s="603">
        <v>4037.04</v>
      </c>
      <c r="N343" s="603">
        <v>5172.18</v>
      </c>
      <c r="O343" s="603">
        <v>6230.27</v>
      </c>
      <c r="P343" s="603">
        <v>7596.28</v>
      </c>
      <c r="Q343" s="603">
        <v>8494.06</v>
      </c>
      <c r="R343" s="603">
        <v>16599.79</v>
      </c>
      <c r="S343" s="484">
        <f t="shared" si="68"/>
        <v>4557.4891666666672</v>
      </c>
      <c r="T343" s="604"/>
      <c r="U343" s="642"/>
      <c r="V343" s="679"/>
      <c r="W343" s="679">
        <f t="shared" si="66"/>
        <v>4557.4891666666672</v>
      </c>
      <c r="X343" s="702"/>
      <c r="Y343" s="679"/>
      <c r="Z343" s="679"/>
      <c r="AA343" s="642"/>
      <c r="AB343" s="679"/>
      <c r="AC343" s="644">
        <f t="shared" si="67"/>
        <v>4557.4891666666672</v>
      </c>
      <c r="AD343" s="643"/>
      <c r="AE343" s="643"/>
      <c r="AF343" s="677">
        <f t="shared" si="58"/>
        <v>0</v>
      </c>
    </row>
    <row r="344" spans="1:32">
      <c r="A344" s="604">
        <v>330</v>
      </c>
      <c r="B344" s="316" t="s">
        <v>959</v>
      </c>
      <c r="C344" s="316" t="s">
        <v>517</v>
      </c>
      <c r="D344" s="316" t="s">
        <v>1181</v>
      </c>
      <c r="E344" s="602" t="s">
        <v>1612</v>
      </c>
      <c r="F344" s="603">
        <v>0</v>
      </c>
      <c r="G344" s="603">
        <v>0</v>
      </c>
      <c r="H344" s="603">
        <v>0</v>
      </c>
      <c r="I344" s="603">
        <v>0</v>
      </c>
      <c r="J344" s="603">
        <v>0</v>
      </c>
      <c r="K344" s="603">
        <v>0</v>
      </c>
      <c r="L344" s="603">
        <v>0</v>
      </c>
      <c r="M344" s="603">
        <v>0</v>
      </c>
      <c r="N344" s="603">
        <v>0</v>
      </c>
      <c r="O344" s="603">
        <v>0</v>
      </c>
      <c r="P344" s="603">
        <v>0</v>
      </c>
      <c r="Q344" s="603">
        <v>0</v>
      </c>
      <c r="R344" s="603">
        <v>0</v>
      </c>
      <c r="S344" s="484">
        <f t="shared" si="68"/>
        <v>0</v>
      </c>
      <c r="T344" s="604"/>
      <c r="U344" s="642"/>
      <c r="V344" s="679"/>
      <c r="W344" s="679">
        <f t="shared" si="66"/>
        <v>0</v>
      </c>
      <c r="X344" s="702"/>
      <c r="Y344" s="679"/>
      <c r="Z344" s="679"/>
      <c r="AA344" s="642"/>
      <c r="AB344" s="679"/>
      <c r="AC344" s="644">
        <f t="shared" si="67"/>
        <v>0</v>
      </c>
      <c r="AD344" s="643"/>
      <c r="AE344" s="643"/>
      <c r="AF344" s="677">
        <f t="shared" si="58"/>
        <v>0</v>
      </c>
    </row>
    <row r="345" spans="1:32">
      <c r="A345" s="604">
        <v>331</v>
      </c>
      <c r="B345" s="316" t="s">
        <v>959</v>
      </c>
      <c r="C345" s="316" t="s">
        <v>517</v>
      </c>
      <c r="D345" s="316" t="s">
        <v>1182</v>
      </c>
      <c r="E345" s="602" t="s">
        <v>1613</v>
      </c>
      <c r="F345" s="603">
        <v>53464.6</v>
      </c>
      <c r="G345" s="603">
        <v>0</v>
      </c>
      <c r="H345" s="603">
        <v>0</v>
      </c>
      <c r="I345" s="603">
        <v>0</v>
      </c>
      <c r="J345" s="603">
        <v>0</v>
      </c>
      <c r="K345" s="603">
        <v>0</v>
      </c>
      <c r="L345" s="603">
        <v>0</v>
      </c>
      <c r="M345" s="603">
        <v>0</v>
      </c>
      <c r="N345" s="603">
        <v>0</v>
      </c>
      <c r="O345" s="603">
        <v>0</v>
      </c>
      <c r="P345" s="603">
        <v>0</v>
      </c>
      <c r="Q345" s="603">
        <v>0</v>
      </c>
      <c r="R345" s="603">
        <v>0</v>
      </c>
      <c r="S345" s="484">
        <f t="shared" si="68"/>
        <v>2227.6916666666666</v>
      </c>
      <c r="T345" s="604"/>
      <c r="U345" s="642"/>
      <c r="V345" s="679"/>
      <c r="W345" s="679">
        <f t="shared" si="66"/>
        <v>2227.6916666666666</v>
      </c>
      <c r="X345" s="702"/>
      <c r="Y345" s="679"/>
      <c r="Z345" s="679"/>
      <c r="AA345" s="642"/>
      <c r="AB345" s="679"/>
      <c r="AC345" s="644">
        <f t="shared" si="67"/>
        <v>2227.6916666666666</v>
      </c>
      <c r="AD345" s="643"/>
      <c r="AE345" s="643"/>
      <c r="AF345" s="677">
        <f t="shared" si="58"/>
        <v>0</v>
      </c>
    </row>
    <row r="346" spans="1:32">
      <c r="A346" s="604">
        <v>332</v>
      </c>
      <c r="B346" s="316" t="s">
        <v>956</v>
      </c>
      <c r="C346" s="316" t="s">
        <v>518</v>
      </c>
      <c r="D346" s="604"/>
      <c r="E346" s="602" t="s">
        <v>519</v>
      </c>
      <c r="F346" s="603">
        <v>200172.75</v>
      </c>
      <c r="G346" s="603">
        <v>16464.189999999999</v>
      </c>
      <c r="H346" s="603">
        <v>33621.160000000003</v>
      </c>
      <c r="I346" s="603">
        <v>50081.73</v>
      </c>
      <c r="J346" s="603">
        <v>66542.3</v>
      </c>
      <c r="K346" s="603">
        <v>86139.56</v>
      </c>
      <c r="L346" s="603">
        <v>169066.61</v>
      </c>
      <c r="M346" s="603">
        <v>186772.98</v>
      </c>
      <c r="N346" s="603">
        <v>142055.23000000001</v>
      </c>
      <c r="O346" s="603">
        <v>160580.14000000001</v>
      </c>
      <c r="P346" s="603">
        <v>179105.05</v>
      </c>
      <c r="Q346" s="603">
        <v>198455.11</v>
      </c>
      <c r="R346" s="603">
        <v>216975.49</v>
      </c>
      <c r="S346" s="484">
        <f>((F346+R346)+((G346+H346+I346+J346+K346+L346+M346+N346+O346+P346+Q346)*2))/24</f>
        <v>124788.18166666669</v>
      </c>
      <c r="T346" s="604"/>
      <c r="U346" s="642"/>
      <c r="V346" s="679"/>
      <c r="W346" s="679">
        <f t="shared" si="66"/>
        <v>124788.18166666669</v>
      </c>
      <c r="X346" s="702"/>
      <c r="Y346" s="679"/>
      <c r="Z346" s="679"/>
      <c r="AA346" s="642"/>
      <c r="AB346" s="679"/>
      <c r="AC346" s="644">
        <f t="shared" si="67"/>
        <v>124788.18166666669</v>
      </c>
      <c r="AD346" s="643"/>
      <c r="AE346" s="643"/>
      <c r="AF346" s="677">
        <f t="shared" si="58"/>
        <v>0</v>
      </c>
    </row>
    <row r="347" spans="1:32">
      <c r="A347" s="604">
        <v>333</v>
      </c>
      <c r="B347" s="316" t="s">
        <v>956</v>
      </c>
      <c r="C347" s="316" t="s">
        <v>520</v>
      </c>
      <c r="D347" s="604"/>
      <c r="E347" s="602" t="s">
        <v>1609</v>
      </c>
      <c r="F347" s="303">
        <v>40970.639999999999</v>
      </c>
      <c r="G347" s="303">
        <v>3414.22</v>
      </c>
      <c r="H347" s="303">
        <v>6828.44</v>
      </c>
      <c r="I347" s="303">
        <v>10242.66</v>
      </c>
      <c r="J347" s="303">
        <v>13656.88</v>
      </c>
      <c r="K347" s="303">
        <v>17071.099999999999</v>
      </c>
      <c r="L347" s="303">
        <v>20485.32</v>
      </c>
      <c r="M347" s="303">
        <v>23899.54</v>
      </c>
      <c r="N347" s="303">
        <v>27313.759999999998</v>
      </c>
      <c r="O347" s="303">
        <v>30727.98</v>
      </c>
      <c r="P347" s="303">
        <v>34142.199999999997</v>
      </c>
      <c r="Q347" s="303">
        <v>37556.42</v>
      </c>
      <c r="R347" s="303">
        <v>40970.639999999999</v>
      </c>
      <c r="S347" s="484">
        <f>((F347+R347)+((G347+H347+I347+J347+K347+L347+M347+N347+O347+P347+Q347)*2))/24</f>
        <v>22192.429999999997</v>
      </c>
      <c r="T347" s="604"/>
      <c r="U347" s="642"/>
      <c r="V347" s="679"/>
      <c r="W347" s="679">
        <f t="shared" si="66"/>
        <v>22192.429999999997</v>
      </c>
      <c r="X347" s="702"/>
      <c r="Y347" s="679"/>
      <c r="Z347" s="679"/>
      <c r="AA347" s="642"/>
      <c r="AB347" s="679"/>
      <c r="AC347" s="644">
        <f t="shared" si="67"/>
        <v>22192.429999999997</v>
      </c>
      <c r="AD347" s="643"/>
      <c r="AE347" s="643"/>
      <c r="AF347" s="677">
        <f t="shared" si="58"/>
        <v>0</v>
      </c>
    </row>
    <row r="348" spans="1:32">
      <c r="A348" s="604">
        <v>334</v>
      </c>
      <c r="B348" s="604"/>
      <c r="C348" s="604"/>
      <c r="D348" s="604"/>
      <c r="E348" s="602" t="s">
        <v>521</v>
      </c>
      <c r="F348" s="295">
        <f t="shared" ref="F348:S348" si="69">SUM(F332:F347)</f>
        <v>12288416.85</v>
      </c>
      <c r="G348" s="295">
        <f t="shared" si="69"/>
        <v>1156006.6399999999</v>
      </c>
      <c r="H348" s="295">
        <f t="shared" si="69"/>
        <v>2335818.46</v>
      </c>
      <c r="I348" s="295">
        <f t="shared" si="69"/>
        <v>3562062.37</v>
      </c>
      <c r="J348" s="295">
        <f t="shared" si="69"/>
        <v>4802203.4799999995</v>
      </c>
      <c r="K348" s="295">
        <f t="shared" si="69"/>
        <v>6161593.5500000007</v>
      </c>
      <c r="L348" s="295">
        <f t="shared" si="69"/>
        <v>7680596.2400000012</v>
      </c>
      <c r="M348" s="295">
        <f t="shared" si="69"/>
        <v>9040357.839999998</v>
      </c>
      <c r="N348" s="295">
        <f t="shared" si="69"/>
        <v>10364554.799999999</v>
      </c>
      <c r="O348" s="295">
        <f t="shared" si="69"/>
        <v>11750300.390000001</v>
      </c>
      <c r="P348" s="295">
        <f t="shared" si="69"/>
        <v>13080449.229999997</v>
      </c>
      <c r="Q348" s="295">
        <f t="shared" si="69"/>
        <v>14428640.719999999</v>
      </c>
      <c r="R348" s="295">
        <f t="shared" si="69"/>
        <v>15822821.99</v>
      </c>
      <c r="S348" s="486">
        <f t="shared" si="69"/>
        <v>8201516.9283333337</v>
      </c>
      <c r="T348" s="604"/>
      <c r="U348" s="642"/>
      <c r="V348" s="679"/>
      <c r="W348" s="679"/>
      <c r="X348" s="702"/>
      <c r="Y348" s="679"/>
      <c r="Z348" s="679"/>
      <c r="AA348" s="642"/>
      <c r="AB348" s="679"/>
      <c r="AC348" s="643"/>
      <c r="AD348" s="643"/>
      <c r="AE348" s="643"/>
      <c r="AF348" s="677">
        <f t="shared" si="58"/>
        <v>0</v>
      </c>
    </row>
    <row r="349" spans="1:32">
      <c r="A349" s="604">
        <v>335</v>
      </c>
      <c r="B349" s="604"/>
      <c r="C349" s="604"/>
      <c r="D349" s="604"/>
      <c r="E349" s="602"/>
      <c r="F349" s="603"/>
      <c r="G349" s="314"/>
      <c r="H349" s="305"/>
      <c r="I349" s="305"/>
      <c r="J349" s="306"/>
      <c r="K349" s="307"/>
      <c r="L349" s="308"/>
      <c r="M349" s="309"/>
      <c r="N349" s="310"/>
      <c r="O349" s="590"/>
      <c r="P349" s="311"/>
      <c r="Q349" s="315"/>
      <c r="R349" s="603"/>
      <c r="S349" s="294"/>
      <c r="T349" s="604"/>
      <c r="U349" s="642"/>
      <c r="V349" s="679"/>
      <c r="W349" s="679"/>
      <c r="X349" s="702"/>
      <c r="Y349" s="679"/>
      <c r="Z349" s="679"/>
      <c r="AA349" s="642"/>
      <c r="AB349" s="679"/>
      <c r="AC349" s="643"/>
      <c r="AD349" s="643"/>
      <c r="AE349" s="643"/>
      <c r="AF349" s="677">
        <f t="shared" si="58"/>
        <v>0</v>
      </c>
    </row>
    <row r="350" spans="1:32">
      <c r="A350" s="604">
        <v>336</v>
      </c>
      <c r="B350" s="316" t="s">
        <v>984</v>
      </c>
      <c r="C350" s="316" t="s">
        <v>522</v>
      </c>
      <c r="D350" s="316" t="s">
        <v>1183</v>
      </c>
      <c r="E350" s="602" t="s">
        <v>1616</v>
      </c>
      <c r="F350" s="603">
        <v>477754.1</v>
      </c>
      <c r="G350" s="603">
        <v>-1106116.25</v>
      </c>
      <c r="H350" s="603">
        <v>360934.49</v>
      </c>
      <c r="I350" s="603">
        <v>304626.49</v>
      </c>
      <c r="J350" s="603">
        <v>60968.1</v>
      </c>
      <c r="K350" s="603">
        <v>-120515.98</v>
      </c>
      <c r="L350" s="603">
        <v>-340927.21</v>
      </c>
      <c r="M350" s="603">
        <v>-656514.9</v>
      </c>
      <c r="N350" s="603">
        <v>-1034313.55</v>
      </c>
      <c r="O350" s="603">
        <v>-900351.67</v>
      </c>
      <c r="P350" s="603">
        <v>-972430.98</v>
      </c>
      <c r="Q350" s="603">
        <v>-1075747.08</v>
      </c>
      <c r="R350" s="603">
        <v>-638181.51</v>
      </c>
      <c r="S350" s="484">
        <f t="shared" ref="S350:S370" si="70">((F350+R350)+((G350+H350+I350+J350+K350+L350+M350+N350+O350+P350+Q350)*2))/24</f>
        <v>-463383.52041666675</v>
      </c>
      <c r="T350" s="604"/>
      <c r="U350" s="642"/>
      <c r="V350" s="679"/>
      <c r="W350" s="679">
        <f t="shared" ref="W350:W370" si="71">+S350</f>
        <v>-463383.52041666675</v>
      </c>
      <c r="X350" s="702"/>
      <c r="Y350" s="679"/>
      <c r="Z350" s="679"/>
      <c r="AA350" s="642"/>
      <c r="AB350" s="679"/>
      <c r="AC350" s="644">
        <f t="shared" ref="AC350:AC370" si="72">+S350</f>
        <v>-463383.52041666675</v>
      </c>
      <c r="AD350" s="643"/>
      <c r="AE350" s="643"/>
      <c r="AF350" s="677">
        <f t="shared" si="58"/>
        <v>0</v>
      </c>
    </row>
    <row r="351" spans="1:32">
      <c r="A351" s="604">
        <v>337</v>
      </c>
      <c r="B351" s="316" t="s">
        <v>984</v>
      </c>
      <c r="C351" s="316" t="s">
        <v>522</v>
      </c>
      <c r="D351" s="316" t="s">
        <v>1184</v>
      </c>
      <c r="E351" s="602" t="s">
        <v>1617</v>
      </c>
      <c r="F351" s="603">
        <v>-461581.72</v>
      </c>
      <c r="G351" s="603">
        <v>4449.66</v>
      </c>
      <c r="H351" s="603">
        <v>-310132.34000000003</v>
      </c>
      <c r="I351" s="603">
        <v>-655617.5</v>
      </c>
      <c r="J351" s="603">
        <v>-653131</v>
      </c>
      <c r="K351" s="603">
        <v>-734062.41</v>
      </c>
      <c r="L351" s="603">
        <v>-843428.71</v>
      </c>
      <c r="M351" s="603">
        <v>-983006.67</v>
      </c>
      <c r="N351" s="603">
        <v>-1116988.21</v>
      </c>
      <c r="O351" s="603">
        <v>-1049291.58</v>
      </c>
      <c r="P351" s="603">
        <v>-1068975.5</v>
      </c>
      <c r="Q351" s="603">
        <v>-1029140.04</v>
      </c>
      <c r="R351" s="603">
        <v>-941388.15</v>
      </c>
      <c r="S351" s="484">
        <f t="shared" si="70"/>
        <v>-761734.10291666677</v>
      </c>
      <c r="T351" s="604"/>
      <c r="U351" s="642"/>
      <c r="V351" s="679"/>
      <c r="W351" s="679">
        <f t="shared" si="71"/>
        <v>-761734.10291666677</v>
      </c>
      <c r="X351" s="702"/>
      <c r="Y351" s="679"/>
      <c r="Z351" s="679"/>
      <c r="AA351" s="642"/>
      <c r="AB351" s="679"/>
      <c r="AC351" s="644">
        <f t="shared" si="72"/>
        <v>-761734.10291666677</v>
      </c>
      <c r="AD351" s="643"/>
      <c r="AE351" s="643"/>
      <c r="AF351" s="677">
        <f t="shared" si="58"/>
        <v>0</v>
      </c>
    </row>
    <row r="352" spans="1:32">
      <c r="A352" s="604">
        <v>338</v>
      </c>
      <c r="B352" s="316" t="s">
        <v>959</v>
      </c>
      <c r="C352" s="316" t="s">
        <v>522</v>
      </c>
      <c r="D352" s="316" t="s">
        <v>1183</v>
      </c>
      <c r="E352" s="602" t="s">
        <v>1616</v>
      </c>
      <c r="F352" s="603">
        <v>-5897972.5800000001</v>
      </c>
      <c r="G352" s="603">
        <v>1164652.29</v>
      </c>
      <c r="H352" s="603">
        <v>-3906190.58</v>
      </c>
      <c r="I352" s="603">
        <v>-7792882.1500000004</v>
      </c>
      <c r="J352" s="603">
        <v>-7521783.9699999997</v>
      </c>
      <c r="K352" s="603">
        <v>-8265924.8300000001</v>
      </c>
      <c r="L352" s="603">
        <v>-9301275.4000000004</v>
      </c>
      <c r="M352" s="603">
        <v>-10583539.939999999</v>
      </c>
      <c r="N352" s="603">
        <v>-11739653.470000001</v>
      </c>
      <c r="O352" s="603">
        <v>-11096809.800000001</v>
      </c>
      <c r="P352" s="603">
        <v>-11252771.48</v>
      </c>
      <c r="Q352" s="603">
        <v>-11444564.33</v>
      </c>
      <c r="R352" s="603">
        <v>-10887316.07</v>
      </c>
      <c r="S352" s="484">
        <f t="shared" si="70"/>
        <v>-8344448.9987500003</v>
      </c>
      <c r="T352" s="604"/>
      <c r="U352" s="642"/>
      <c r="V352" s="679"/>
      <c r="W352" s="679">
        <f t="shared" si="71"/>
        <v>-8344448.9987500003</v>
      </c>
      <c r="X352" s="702"/>
      <c r="Y352" s="679"/>
      <c r="Z352" s="679"/>
      <c r="AA352" s="642"/>
      <c r="AB352" s="679"/>
      <c r="AC352" s="644">
        <f t="shared" si="72"/>
        <v>-8344448.9987500003</v>
      </c>
      <c r="AD352" s="643"/>
      <c r="AE352" s="643"/>
      <c r="AF352" s="677">
        <f t="shared" si="58"/>
        <v>0</v>
      </c>
    </row>
    <row r="353" spans="1:32">
      <c r="A353" s="604">
        <v>339</v>
      </c>
      <c r="B353" s="316" t="s">
        <v>956</v>
      </c>
      <c r="C353" s="316" t="s">
        <v>523</v>
      </c>
      <c r="D353" s="316" t="s">
        <v>1183</v>
      </c>
      <c r="E353" s="602" t="s">
        <v>1614</v>
      </c>
      <c r="F353" s="603">
        <v>-0.66000000003987203</v>
      </c>
      <c r="G353" s="603">
        <v>0</v>
      </c>
      <c r="H353" s="603">
        <v>0</v>
      </c>
      <c r="I353" s="603">
        <v>0</v>
      </c>
      <c r="J353" s="603">
        <v>0</v>
      </c>
      <c r="K353" s="603">
        <v>0</v>
      </c>
      <c r="L353" s="603">
        <v>0</v>
      </c>
      <c r="M353" s="603">
        <v>0</v>
      </c>
      <c r="N353" s="603">
        <v>0</v>
      </c>
      <c r="O353" s="603">
        <v>0</v>
      </c>
      <c r="P353" s="603">
        <v>0</v>
      </c>
      <c r="Q353" s="603">
        <v>0</v>
      </c>
      <c r="R353" s="603">
        <v>0</v>
      </c>
      <c r="S353" s="484">
        <f t="shared" si="70"/>
        <v>-2.7500000001661334E-2</v>
      </c>
      <c r="T353" s="604"/>
      <c r="U353" s="642"/>
      <c r="V353" s="679"/>
      <c r="W353" s="679">
        <f t="shared" si="71"/>
        <v>-2.7500000001661334E-2</v>
      </c>
      <c r="X353" s="702"/>
      <c r="Y353" s="679"/>
      <c r="Z353" s="679"/>
      <c r="AA353" s="642"/>
      <c r="AB353" s="679"/>
      <c r="AC353" s="644">
        <f t="shared" si="72"/>
        <v>-2.7500000001661334E-2</v>
      </c>
      <c r="AD353" s="643"/>
      <c r="AE353" s="643"/>
      <c r="AF353" s="677">
        <f t="shared" si="58"/>
        <v>0</v>
      </c>
    </row>
    <row r="354" spans="1:32">
      <c r="A354" s="604">
        <v>340</v>
      </c>
      <c r="B354" s="316" t="s">
        <v>959</v>
      </c>
      <c r="C354" s="316" t="s">
        <v>523</v>
      </c>
      <c r="D354" s="316" t="s">
        <v>1183</v>
      </c>
      <c r="E354" s="602" t="s">
        <v>1614</v>
      </c>
      <c r="F354" s="603">
        <v>-202795.88</v>
      </c>
      <c r="G354" s="603">
        <v>33862.14</v>
      </c>
      <c r="H354" s="603">
        <v>-114363.35</v>
      </c>
      <c r="I354" s="603">
        <v>-62698.27</v>
      </c>
      <c r="J354" s="603">
        <v>436.49000000001303</v>
      </c>
      <c r="K354" s="603">
        <v>105548.77</v>
      </c>
      <c r="L354" s="603">
        <v>184457.71</v>
      </c>
      <c r="M354" s="603">
        <v>236745.25</v>
      </c>
      <c r="N354" s="603">
        <v>325665.51</v>
      </c>
      <c r="O354" s="603">
        <v>405737.39</v>
      </c>
      <c r="P354" s="603">
        <v>482461.55</v>
      </c>
      <c r="Q354" s="603">
        <v>511190.11</v>
      </c>
      <c r="R354" s="603">
        <v>616283.49</v>
      </c>
      <c r="S354" s="484">
        <f t="shared" si="70"/>
        <v>192982.25875000004</v>
      </c>
      <c r="T354" s="604"/>
      <c r="U354" s="642"/>
      <c r="V354" s="679"/>
      <c r="W354" s="679">
        <f t="shared" si="71"/>
        <v>192982.25875000004</v>
      </c>
      <c r="X354" s="702"/>
      <c r="Y354" s="679"/>
      <c r="Z354" s="679"/>
      <c r="AA354" s="642"/>
      <c r="AB354" s="679"/>
      <c r="AC354" s="644">
        <f t="shared" si="72"/>
        <v>192982.25875000004</v>
      </c>
      <c r="AD354" s="643"/>
      <c r="AE354" s="643"/>
      <c r="AF354" s="677">
        <f t="shared" si="58"/>
        <v>0</v>
      </c>
    </row>
    <row r="355" spans="1:32">
      <c r="A355" s="604">
        <v>341</v>
      </c>
      <c r="B355" s="316" t="s">
        <v>984</v>
      </c>
      <c r="C355" s="316" t="s">
        <v>523</v>
      </c>
      <c r="D355" s="316" t="s">
        <v>1183</v>
      </c>
      <c r="E355" s="602" t="s">
        <v>1614</v>
      </c>
      <c r="F355" s="603">
        <v>-41879.49</v>
      </c>
      <c r="G355" s="603">
        <v>165.09</v>
      </c>
      <c r="H355" s="603">
        <v>-58971.95</v>
      </c>
      <c r="I355" s="603">
        <v>-56500.07</v>
      </c>
      <c r="J355" s="603">
        <v>-53017.59</v>
      </c>
      <c r="K355" s="603">
        <v>-48856.44</v>
      </c>
      <c r="L355" s="603">
        <v>-45565.31</v>
      </c>
      <c r="M355" s="603">
        <v>-53413.01</v>
      </c>
      <c r="N355" s="603">
        <v>-51639.28</v>
      </c>
      <c r="O355" s="603">
        <v>-50790.29</v>
      </c>
      <c r="P355" s="603">
        <v>-49747.69</v>
      </c>
      <c r="Q355" s="603">
        <v>-34705.440000000002</v>
      </c>
      <c r="R355" s="603">
        <v>-29139.84</v>
      </c>
      <c r="S355" s="484">
        <f t="shared" si="70"/>
        <v>-44879.303749999999</v>
      </c>
      <c r="T355" s="604"/>
      <c r="U355" s="642"/>
      <c r="V355" s="679"/>
      <c r="W355" s="679">
        <f t="shared" si="71"/>
        <v>-44879.303749999999</v>
      </c>
      <c r="X355" s="702"/>
      <c r="Y355" s="679"/>
      <c r="Z355" s="679"/>
      <c r="AA355" s="642"/>
      <c r="AB355" s="679"/>
      <c r="AC355" s="644">
        <f t="shared" si="72"/>
        <v>-44879.303749999999</v>
      </c>
      <c r="AD355" s="643"/>
      <c r="AE355" s="643"/>
      <c r="AF355" s="677">
        <f t="shared" si="58"/>
        <v>0</v>
      </c>
    </row>
    <row r="356" spans="1:32">
      <c r="A356" s="604">
        <v>342</v>
      </c>
      <c r="B356" s="316" t="s">
        <v>984</v>
      </c>
      <c r="C356" s="316" t="s">
        <v>523</v>
      </c>
      <c r="D356" s="316" t="s">
        <v>1184</v>
      </c>
      <c r="E356" s="602" t="s">
        <v>1618</v>
      </c>
      <c r="F356" s="603">
        <v>-27118.1</v>
      </c>
      <c r="G356" s="603">
        <v>2978.26</v>
      </c>
      <c r="H356" s="603">
        <v>-15171.34</v>
      </c>
      <c r="I356" s="603">
        <v>-10432.950000000001</v>
      </c>
      <c r="J356" s="603">
        <v>-4602.22</v>
      </c>
      <c r="K356" s="603">
        <v>4962.05</v>
      </c>
      <c r="L356" s="603">
        <v>12156.69</v>
      </c>
      <c r="M356" s="603">
        <v>16046.33</v>
      </c>
      <c r="N356" s="603">
        <v>23984.41</v>
      </c>
      <c r="O356" s="603">
        <v>31067.09</v>
      </c>
      <c r="P356" s="603">
        <v>37873.699999999997</v>
      </c>
      <c r="Q356" s="603">
        <v>-100224.79</v>
      </c>
      <c r="R356" s="603">
        <v>-89092.800000000003</v>
      </c>
      <c r="S356" s="484">
        <f t="shared" si="70"/>
        <v>-4955.6850000000004</v>
      </c>
      <c r="T356" s="604"/>
      <c r="U356" s="642"/>
      <c r="V356" s="679"/>
      <c r="W356" s="679">
        <f t="shared" si="71"/>
        <v>-4955.6850000000004</v>
      </c>
      <c r="X356" s="702"/>
      <c r="Y356" s="679"/>
      <c r="Z356" s="679"/>
      <c r="AA356" s="642"/>
      <c r="AB356" s="679"/>
      <c r="AC356" s="644">
        <f t="shared" si="72"/>
        <v>-4955.6850000000004</v>
      </c>
      <c r="AD356" s="643"/>
      <c r="AE356" s="643"/>
      <c r="AF356" s="677">
        <f t="shared" si="58"/>
        <v>0</v>
      </c>
    </row>
    <row r="357" spans="1:32">
      <c r="A357" s="604">
        <v>343</v>
      </c>
      <c r="B357" s="316" t="s">
        <v>984</v>
      </c>
      <c r="C357" s="316" t="s">
        <v>524</v>
      </c>
      <c r="D357" s="316" t="s">
        <v>1183</v>
      </c>
      <c r="E357" s="602" t="s">
        <v>1619</v>
      </c>
      <c r="F357" s="603">
        <v>1030111.29</v>
      </c>
      <c r="G357" s="603">
        <v>1502122.64</v>
      </c>
      <c r="H357" s="603">
        <v>1584002.58</v>
      </c>
      <c r="I357" s="603">
        <v>1824710.85</v>
      </c>
      <c r="J357" s="603">
        <v>2132970.7000000002</v>
      </c>
      <c r="K357" s="603">
        <v>6942868.6699999999</v>
      </c>
      <c r="L357" s="603">
        <v>7148657.1100000003</v>
      </c>
      <c r="M357" s="603">
        <v>7259055.5899999999</v>
      </c>
      <c r="N357" s="603">
        <v>7487450.7599999998</v>
      </c>
      <c r="O357" s="603">
        <v>7513531.9000000004</v>
      </c>
      <c r="P357" s="603">
        <v>7616251.2300000004</v>
      </c>
      <c r="Q357" s="603">
        <v>8169856.7300000004</v>
      </c>
      <c r="R357" s="603">
        <v>9119545.7400000002</v>
      </c>
      <c r="S357" s="484">
        <f t="shared" si="70"/>
        <v>5354692.2729166672</v>
      </c>
      <c r="T357" s="604"/>
      <c r="U357" s="642"/>
      <c r="V357" s="679"/>
      <c r="W357" s="679">
        <f t="shared" si="71"/>
        <v>5354692.2729166672</v>
      </c>
      <c r="X357" s="702"/>
      <c r="Y357" s="679"/>
      <c r="Z357" s="679"/>
      <c r="AA357" s="642"/>
      <c r="AB357" s="679"/>
      <c r="AC357" s="644">
        <f t="shared" si="72"/>
        <v>5354692.2729166672</v>
      </c>
      <c r="AD357" s="643"/>
      <c r="AE357" s="643"/>
      <c r="AF357" s="677">
        <f t="shared" si="58"/>
        <v>0</v>
      </c>
    </row>
    <row r="358" spans="1:32">
      <c r="A358" s="604">
        <v>344</v>
      </c>
      <c r="B358" s="316" t="s">
        <v>984</v>
      </c>
      <c r="C358" s="316" t="s">
        <v>524</v>
      </c>
      <c r="D358" s="604" t="s">
        <v>1184</v>
      </c>
      <c r="E358" s="602" t="s">
        <v>1620</v>
      </c>
      <c r="F358" s="603">
        <v>1414436.22</v>
      </c>
      <c r="G358" s="603">
        <v>156745.59</v>
      </c>
      <c r="H358" s="603">
        <v>692716.72</v>
      </c>
      <c r="I358" s="603">
        <v>1115086</v>
      </c>
      <c r="J358" s="603">
        <v>1171393.23</v>
      </c>
      <c r="K358" s="603">
        <v>2824593.05</v>
      </c>
      <c r="L358" s="603">
        <v>2904628.65</v>
      </c>
      <c r="M358" s="603">
        <v>2989308.51</v>
      </c>
      <c r="N358" s="603">
        <v>3089196.77</v>
      </c>
      <c r="O358" s="603">
        <v>3126799.81</v>
      </c>
      <c r="P358" s="603">
        <v>3170217.26</v>
      </c>
      <c r="Q358" s="603">
        <v>3390773.84</v>
      </c>
      <c r="R358" s="603">
        <v>3692365.67</v>
      </c>
      <c r="S358" s="484">
        <f t="shared" si="70"/>
        <v>2265405.0312499995</v>
      </c>
      <c r="T358" s="604"/>
      <c r="U358" s="642"/>
      <c r="V358" s="679"/>
      <c r="W358" s="679">
        <f t="shared" si="71"/>
        <v>2265405.0312499995</v>
      </c>
      <c r="X358" s="702"/>
      <c r="Y358" s="679"/>
      <c r="Z358" s="679"/>
      <c r="AA358" s="642"/>
      <c r="AB358" s="679"/>
      <c r="AC358" s="644">
        <f t="shared" si="72"/>
        <v>2265405.0312499995</v>
      </c>
      <c r="AD358" s="643"/>
      <c r="AE358" s="643"/>
      <c r="AF358" s="677">
        <f t="shared" si="58"/>
        <v>0</v>
      </c>
    </row>
    <row r="359" spans="1:32">
      <c r="A359" s="604">
        <v>345</v>
      </c>
      <c r="B359" s="316" t="s">
        <v>959</v>
      </c>
      <c r="C359" s="316" t="s">
        <v>524</v>
      </c>
      <c r="D359" s="604" t="s">
        <v>1183</v>
      </c>
      <c r="E359" s="602" t="s">
        <v>1619</v>
      </c>
      <c r="F359" s="603">
        <v>14687003.68</v>
      </c>
      <c r="G359" s="603">
        <v>157170.60999999999</v>
      </c>
      <c r="H359" s="603">
        <v>6165862.3399999999</v>
      </c>
      <c r="I359" s="603">
        <v>10673719.439999999</v>
      </c>
      <c r="J359" s="603">
        <v>10858290.310000001</v>
      </c>
      <c r="K359" s="603">
        <v>25464210.609999999</v>
      </c>
      <c r="L359" s="603">
        <v>26022982.27</v>
      </c>
      <c r="M359" s="603">
        <v>26728626.530000001</v>
      </c>
      <c r="N359" s="603">
        <v>27495811.370000001</v>
      </c>
      <c r="O359" s="603">
        <v>27756122.93</v>
      </c>
      <c r="P359" s="603">
        <v>27991593.460000001</v>
      </c>
      <c r="Q359" s="603">
        <v>29920866.98</v>
      </c>
      <c r="R359" s="603">
        <v>32227813.57</v>
      </c>
      <c r="S359" s="484">
        <f t="shared" si="70"/>
        <v>20224388.789583333</v>
      </c>
      <c r="T359" s="604"/>
      <c r="U359" s="642"/>
      <c r="V359" s="679"/>
      <c r="W359" s="679">
        <f t="shared" si="71"/>
        <v>20224388.789583333</v>
      </c>
      <c r="X359" s="702"/>
      <c r="Y359" s="679"/>
      <c r="Z359" s="679"/>
      <c r="AA359" s="642"/>
      <c r="AB359" s="679"/>
      <c r="AC359" s="644">
        <f t="shared" si="72"/>
        <v>20224388.789583333</v>
      </c>
      <c r="AD359" s="643"/>
      <c r="AE359" s="643"/>
      <c r="AF359" s="677">
        <f t="shared" si="58"/>
        <v>0</v>
      </c>
    </row>
    <row r="360" spans="1:32">
      <c r="A360" s="604">
        <v>346</v>
      </c>
      <c r="B360" s="316" t="s">
        <v>956</v>
      </c>
      <c r="C360" s="316" t="s">
        <v>525</v>
      </c>
      <c r="D360" s="604" t="s">
        <v>1183</v>
      </c>
      <c r="E360" s="602" t="s">
        <v>1615</v>
      </c>
      <c r="F360" s="603">
        <v>-9.9999999947613105E-3</v>
      </c>
      <c r="G360" s="603">
        <v>0</v>
      </c>
      <c r="H360" s="603">
        <v>0</v>
      </c>
      <c r="I360" s="603">
        <v>0</v>
      </c>
      <c r="J360" s="603">
        <v>0</v>
      </c>
      <c r="K360" s="603">
        <v>0</v>
      </c>
      <c r="L360" s="603">
        <v>0</v>
      </c>
      <c r="M360" s="603">
        <v>0</v>
      </c>
      <c r="N360" s="603">
        <v>0</v>
      </c>
      <c r="O360" s="603">
        <v>0</v>
      </c>
      <c r="P360" s="603">
        <v>0</v>
      </c>
      <c r="Q360" s="603">
        <v>0</v>
      </c>
      <c r="R360" s="603">
        <v>0</v>
      </c>
      <c r="S360" s="484">
        <f t="shared" si="70"/>
        <v>-4.1666666644838796E-4</v>
      </c>
      <c r="T360" s="604"/>
      <c r="U360" s="642"/>
      <c r="V360" s="679"/>
      <c r="W360" s="679">
        <f t="shared" si="71"/>
        <v>-4.1666666644838796E-4</v>
      </c>
      <c r="X360" s="702"/>
      <c r="Y360" s="679"/>
      <c r="Z360" s="679"/>
      <c r="AA360" s="642"/>
      <c r="AB360" s="679"/>
      <c r="AC360" s="644">
        <f t="shared" si="72"/>
        <v>-4.1666666644838796E-4</v>
      </c>
      <c r="AD360" s="643"/>
      <c r="AE360" s="643"/>
      <c r="AF360" s="677">
        <f t="shared" si="58"/>
        <v>0</v>
      </c>
    </row>
    <row r="361" spans="1:32">
      <c r="A361" s="604">
        <v>347</v>
      </c>
      <c r="B361" s="316" t="s">
        <v>959</v>
      </c>
      <c r="C361" s="316" t="s">
        <v>525</v>
      </c>
      <c r="D361" s="604" t="s">
        <v>1183</v>
      </c>
      <c r="E361" s="602" t="s">
        <v>1615</v>
      </c>
      <c r="F361" s="603">
        <v>107145.27</v>
      </c>
      <c r="G361" s="603">
        <v>16577.55</v>
      </c>
      <c r="H361" s="603">
        <v>16600.02</v>
      </c>
      <c r="I361" s="603">
        <v>16622.5</v>
      </c>
      <c r="J361" s="603">
        <v>16782.759999999998</v>
      </c>
      <c r="K361" s="603">
        <v>505882.98</v>
      </c>
      <c r="L361" s="603">
        <v>506037.91</v>
      </c>
      <c r="M361" s="603">
        <v>527991.24</v>
      </c>
      <c r="N361" s="603">
        <v>528008.38</v>
      </c>
      <c r="O361" s="603">
        <v>528025.52</v>
      </c>
      <c r="P361" s="603">
        <v>528042.66</v>
      </c>
      <c r="Q361" s="603">
        <v>528059.80000000005</v>
      </c>
      <c r="R361" s="603">
        <v>528076.93999999994</v>
      </c>
      <c r="S361" s="484">
        <f t="shared" si="70"/>
        <v>336353.53541666671</v>
      </c>
      <c r="T361" s="604"/>
      <c r="U361" s="642"/>
      <c r="V361" s="679"/>
      <c r="W361" s="679">
        <f t="shared" si="71"/>
        <v>336353.53541666671</v>
      </c>
      <c r="X361" s="702"/>
      <c r="Y361" s="679"/>
      <c r="Z361" s="679"/>
      <c r="AA361" s="642"/>
      <c r="AB361" s="679"/>
      <c r="AC361" s="644">
        <f t="shared" si="72"/>
        <v>336353.53541666671</v>
      </c>
      <c r="AD361" s="643"/>
      <c r="AE361" s="643"/>
      <c r="AF361" s="677">
        <f t="shared" si="58"/>
        <v>0</v>
      </c>
    </row>
    <row r="362" spans="1:32">
      <c r="A362" s="604">
        <v>348</v>
      </c>
      <c r="B362" s="316" t="s">
        <v>984</v>
      </c>
      <c r="C362" s="316" t="s">
        <v>525</v>
      </c>
      <c r="D362" s="604" t="s">
        <v>1183</v>
      </c>
      <c r="E362" s="602" t="s">
        <v>1615</v>
      </c>
      <c r="F362" s="603">
        <v>36001.379999999997</v>
      </c>
      <c r="G362" s="603">
        <v>5475.86</v>
      </c>
      <c r="H362" s="603">
        <v>5483.28</v>
      </c>
      <c r="I362" s="603">
        <v>5490.7</v>
      </c>
      <c r="J362" s="603">
        <v>5543.64</v>
      </c>
      <c r="K362" s="603">
        <v>167102.23000000001</v>
      </c>
      <c r="L362" s="603">
        <v>167153.4</v>
      </c>
      <c r="M362" s="603">
        <v>174404.98</v>
      </c>
      <c r="N362" s="603">
        <v>174410.64</v>
      </c>
      <c r="O362" s="603">
        <v>174416.3</v>
      </c>
      <c r="P362" s="603">
        <v>174421.97</v>
      </c>
      <c r="Q362" s="603">
        <v>174427.64</v>
      </c>
      <c r="R362" s="603">
        <v>174433.3</v>
      </c>
      <c r="S362" s="484">
        <f t="shared" si="70"/>
        <v>111128.99833333335</v>
      </c>
      <c r="T362" s="604"/>
      <c r="U362" s="642"/>
      <c r="V362" s="679"/>
      <c r="W362" s="679">
        <f t="shared" si="71"/>
        <v>111128.99833333335</v>
      </c>
      <c r="X362" s="702"/>
      <c r="Y362" s="679"/>
      <c r="Z362" s="679"/>
      <c r="AA362" s="642"/>
      <c r="AB362" s="679"/>
      <c r="AC362" s="644">
        <f t="shared" si="72"/>
        <v>111128.99833333335</v>
      </c>
      <c r="AD362" s="643"/>
      <c r="AE362" s="643"/>
      <c r="AF362" s="677">
        <f t="shared" si="58"/>
        <v>0</v>
      </c>
    </row>
    <row r="363" spans="1:32">
      <c r="A363" s="604">
        <v>349</v>
      </c>
      <c r="B363" s="316" t="s">
        <v>984</v>
      </c>
      <c r="C363" s="316" t="s">
        <v>525</v>
      </c>
      <c r="D363" s="604" t="s">
        <v>1184</v>
      </c>
      <c r="E363" s="602" t="s">
        <v>1621</v>
      </c>
      <c r="F363" s="603">
        <v>9512.19</v>
      </c>
      <c r="G363" s="603">
        <v>1895.4</v>
      </c>
      <c r="H363" s="603">
        <v>1895.4</v>
      </c>
      <c r="I363" s="603">
        <v>1895.4</v>
      </c>
      <c r="J363" s="603">
        <v>1895.4</v>
      </c>
      <c r="K363" s="603">
        <v>57801.8</v>
      </c>
      <c r="L363" s="603">
        <v>57801.8</v>
      </c>
      <c r="M363" s="603">
        <v>60311.839999999997</v>
      </c>
      <c r="N363" s="603">
        <v>60311.839999999997</v>
      </c>
      <c r="O363" s="603">
        <v>60311.839999999997</v>
      </c>
      <c r="P363" s="603">
        <v>60311.839999999997</v>
      </c>
      <c r="Q363" s="603">
        <v>60311.85</v>
      </c>
      <c r="R363" s="603">
        <v>60311.85</v>
      </c>
      <c r="S363" s="484">
        <f t="shared" si="70"/>
        <v>38304.702499999992</v>
      </c>
      <c r="T363" s="604"/>
      <c r="U363" s="642"/>
      <c r="V363" s="679"/>
      <c r="W363" s="679">
        <f t="shared" si="71"/>
        <v>38304.702499999992</v>
      </c>
      <c r="X363" s="702"/>
      <c r="Y363" s="679"/>
      <c r="Z363" s="679"/>
      <c r="AA363" s="642"/>
      <c r="AB363" s="679"/>
      <c r="AC363" s="644">
        <f t="shared" si="72"/>
        <v>38304.702499999992</v>
      </c>
      <c r="AD363" s="643"/>
      <c r="AE363" s="643"/>
      <c r="AF363" s="677">
        <f t="shared" si="58"/>
        <v>0</v>
      </c>
    </row>
    <row r="364" spans="1:32">
      <c r="A364" s="604">
        <v>350</v>
      </c>
      <c r="B364" s="316" t="s">
        <v>984</v>
      </c>
      <c r="C364" s="316" t="s">
        <v>526</v>
      </c>
      <c r="D364" s="604" t="s">
        <v>1183</v>
      </c>
      <c r="E364" s="602" t="s">
        <v>1622</v>
      </c>
      <c r="F364" s="603">
        <v>-1752961.74</v>
      </c>
      <c r="G364" s="603">
        <v>-156734.28</v>
      </c>
      <c r="H364" s="603">
        <v>-1374074.62</v>
      </c>
      <c r="I364" s="603">
        <v>-1500419.21</v>
      </c>
      <c r="J364" s="603">
        <v>-1570383.62</v>
      </c>
      <c r="K364" s="603">
        <v>-6529214.7000000002</v>
      </c>
      <c r="L364" s="603">
        <v>-6710913.8399999999</v>
      </c>
      <c r="M364" s="603">
        <v>-6772071.4500000002</v>
      </c>
      <c r="N364" s="603">
        <v>-6850954.8600000003</v>
      </c>
      <c r="O364" s="603">
        <v>-7235545.7400000002</v>
      </c>
      <c r="P364" s="603">
        <v>-7308183.5499999998</v>
      </c>
      <c r="Q364" s="603">
        <v>-7527273.8300000001</v>
      </c>
      <c r="R364" s="603">
        <v>-8574114.7400000002</v>
      </c>
      <c r="S364" s="484">
        <f t="shared" si="70"/>
        <v>-4891608.9950000001</v>
      </c>
      <c r="T364" s="604"/>
      <c r="U364" s="642"/>
      <c r="V364" s="679"/>
      <c r="W364" s="679">
        <f t="shared" si="71"/>
        <v>-4891608.9950000001</v>
      </c>
      <c r="X364" s="702"/>
      <c r="Y364" s="679"/>
      <c r="Z364" s="679"/>
      <c r="AA364" s="642"/>
      <c r="AB364" s="679"/>
      <c r="AC364" s="644">
        <f t="shared" si="72"/>
        <v>-4891608.9950000001</v>
      </c>
      <c r="AD364" s="643"/>
      <c r="AE364" s="643"/>
      <c r="AF364" s="677">
        <f t="shared" si="58"/>
        <v>0</v>
      </c>
    </row>
    <row r="365" spans="1:32">
      <c r="A365" s="604">
        <v>351</v>
      </c>
      <c r="B365" s="316" t="s">
        <v>984</v>
      </c>
      <c r="C365" s="316" t="s">
        <v>526</v>
      </c>
      <c r="D365" s="604" t="s">
        <v>1184</v>
      </c>
      <c r="E365" s="602" t="s">
        <v>1623</v>
      </c>
      <c r="F365" s="603">
        <v>-603695.05000000005</v>
      </c>
      <c r="G365" s="603">
        <v>-29214.48</v>
      </c>
      <c r="H365" s="603">
        <v>-148530</v>
      </c>
      <c r="I365" s="603">
        <v>-171518.93</v>
      </c>
      <c r="J365" s="603">
        <v>-211000.63</v>
      </c>
      <c r="K365" s="603">
        <v>-1883516.22</v>
      </c>
      <c r="L365" s="603">
        <v>-1902261.41</v>
      </c>
      <c r="M365" s="603">
        <v>-1908844.55</v>
      </c>
      <c r="N365" s="603">
        <v>-1927738.13</v>
      </c>
      <c r="O365" s="603">
        <v>-2074194.28</v>
      </c>
      <c r="P365" s="603">
        <v>-2091457.23</v>
      </c>
      <c r="Q365" s="603">
        <v>-2197694.86</v>
      </c>
      <c r="R365" s="603">
        <v>-2456542.67</v>
      </c>
      <c r="S365" s="484">
        <f t="shared" si="70"/>
        <v>-1339674.1316666666</v>
      </c>
      <c r="T365" s="604"/>
      <c r="U365" s="642"/>
      <c r="V365" s="679"/>
      <c r="W365" s="679">
        <f t="shared" si="71"/>
        <v>-1339674.1316666666</v>
      </c>
      <c r="X365" s="702"/>
      <c r="Y365" s="679"/>
      <c r="Z365" s="679"/>
      <c r="AA365" s="642"/>
      <c r="AB365" s="679"/>
      <c r="AC365" s="644">
        <f t="shared" si="72"/>
        <v>-1339674.1316666666</v>
      </c>
      <c r="AD365" s="643"/>
      <c r="AE365" s="643"/>
      <c r="AF365" s="677">
        <f t="shared" si="58"/>
        <v>0</v>
      </c>
    </row>
    <row r="366" spans="1:32">
      <c r="A366" s="604">
        <v>352</v>
      </c>
      <c r="B366" s="316" t="s">
        <v>959</v>
      </c>
      <c r="C366" s="316" t="s">
        <v>526</v>
      </c>
      <c r="D366" s="604" t="s">
        <v>1183</v>
      </c>
      <c r="E366" s="602" t="s">
        <v>1622</v>
      </c>
      <c r="F366" s="603">
        <v>-8395783.8699999992</v>
      </c>
      <c r="G366" s="603">
        <v>-369161.04</v>
      </c>
      <c r="H366" s="603">
        <v>-805695.08</v>
      </c>
      <c r="I366" s="603">
        <v>-1188591.5</v>
      </c>
      <c r="J366" s="603">
        <v>-1742891.06</v>
      </c>
      <c r="K366" s="603">
        <v>-16744232.460000001</v>
      </c>
      <c r="L366" s="603">
        <v>-16950507.079999998</v>
      </c>
      <c r="M366" s="603">
        <v>-17136791.32</v>
      </c>
      <c r="N366" s="603">
        <v>-17451777.640000001</v>
      </c>
      <c r="O366" s="603">
        <v>-18920913.670000002</v>
      </c>
      <c r="P366" s="603">
        <v>-19211314.190000001</v>
      </c>
      <c r="Q366" s="603">
        <v>-20428021.890000001</v>
      </c>
      <c r="R366" s="603">
        <v>-22532955.920000002</v>
      </c>
      <c r="S366" s="484">
        <f t="shared" si="70"/>
        <v>-12201188.902083335</v>
      </c>
      <c r="T366" s="604"/>
      <c r="U366" s="642"/>
      <c r="V366" s="679"/>
      <c r="W366" s="679">
        <f t="shared" si="71"/>
        <v>-12201188.902083335</v>
      </c>
      <c r="X366" s="702"/>
      <c r="Y366" s="679"/>
      <c r="Z366" s="679"/>
      <c r="AA366" s="642"/>
      <c r="AB366" s="679"/>
      <c r="AC366" s="644">
        <f t="shared" si="72"/>
        <v>-12201188.902083335</v>
      </c>
      <c r="AD366" s="643"/>
      <c r="AE366" s="643"/>
      <c r="AF366" s="677">
        <f t="shared" si="58"/>
        <v>0</v>
      </c>
    </row>
    <row r="367" spans="1:32">
      <c r="A367" s="604">
        <v>353</v>
      </c>
      <c r="B367" s="316" t="s">
        <v>984</v>
      </c>
      <c r="C367" s="316" t="s">
        <v>527</v>
      </c>
      <c r="D367" s="604" t="s">
        <v>1183</v>
      </c>
      <c r="E367" s="602" t="s">
        <v>1624</v>
      </c>
      <c r="F367" s="603">
        <v>-27116.89</v>
      </c>
      <c r="G367" s="603">
        <v>-98.83</v>
      </c>
      <c r="H367" s="603">
        <v>-510.13</v>
      </c>
      <c r="I367" s="603">
        <v>-921.42</v>
      </c>
      <c r="J367" s="603">
        <v>-3854.47</v>
      </c>
      <c r="K367" s="603">
        <v>-9214.41</v>
      </c>
      <c r="L367" s="603">
        <v>-12049.81</v>
      </c>
      <c r="M367" s="603">
        <v>-12180.69</v>
      </c>
      <c r="N367" s="603">
        <v>-12494.34</v>
      </c>
      <c r="O367" s="603">
        <v>-12807.99</v>
      </c>
      <c r="P367" s="603">
        <v>-13121.64</v>
      </c>
      <c r="Q367" s="603">
        <v>-13435.3</v>
      </c>
      <c r="R367" s="603">
        <v>-13748.91</v>
      </c>
      <c r="S367" s="484">
        <f t="shared" si="70"/>
        <v>-9260.1608333333352</v>
      </c>
      <c r="T367" s="604"/>
      <c r="U367" s="642"/>
      <c r="V367" s="679"/>
      <c r="W367" s="679">
        <f t="shared" si="71"/>
        <v>-9260.1608333333352</v>
      </c>
      <c r="X367" s="702"/>
      <c r="Y367" s="679"/>
      <c r="Z367" s="679"/>
      <c r="AA367" s="642"/>
      <c r="AB367" s="679"/>
      <c r="AC367" s="644">
        <f t="shared" si="72"/>
        <v>-9260.1608333333352</v>
      </c>
      <c r="AD367" s="643"/>
      <c r="AE367" s="643"/>
      <c r="AF367" s="677">
        <f t="shared" si="58"/>
        <v>0</v>
      </c>
    </row>
    <row r="368" spans="1:32">
      <c r="A368" s="604">
        <v>354</v>
      </c>
      <c r="B368" s="316" t="s">
        <v>984</v>
      </c>
      <c r="C368" s="316" t="s">
        <v>527</v>
      </c>
      <c r="D368" s="604" t="s">
        <v>1184</v>
      </c>
      <c r="E368" s="602" t="s">
        <v>1625</v>
      </c>
      <c r="F368" s="603">
        <v>-6420.25</v>
      </c>
      <c r="G368" s="603">
        <v>0</v>
      </c>
      <c r="H368" s="603">
        <v>-142.36000000000001</v>
      </c>
      <c r="I368" s="603">
        <v>-284.72000000000003</v>
      </c>
      <c r="J368" s="603">
        <v>-1299.97</v>
      </c>
      <c r="K368" s="603">
        <v>-2146.1999999999998</v>
      </c>
      <c r="L368" s="603">
        <v>-3127.64</v>
      </c>
      <c r="M368" s="603">
        <v>-3127.64</v>
      </c>
      <c r="N368" s="603">
        <v>-3236.2</v>
      </c>
      <c r="O368" s="603">
        <v>-3344.77</v>
      </c>
      <c r="P368" s="603">
        <v>-3453.34</v>
      </c>
      <c r="Q368" s="603">
        <v>-3561.92</v>
      </c>
      <c r="R368" s="603">
        <v>-3670.46</v>
      </c>
      <c r="S368" s="484">
        <f t="shared" si="70"/>
        <v>-2397.5095833333335</v>
      </c>
      <c r="T368" s="604"/>
      <c r="U368" s="642"/>
      <c r="V368" s="679"/>
      <c r="W368" s="679">
        <f t="shared" si="71"/>
        <v>-2397.5095833333335</v>
      </c>
      <c r="X368" s="702"/>
      <c r="Y368" s="679"/>
      <c r="Z368" s="679"/>
      <c r="AA368" s="642"/>
      <c r="AB368" s="679"/>
      <c r="AC368" s="644">
        <f t="shared" si="72"/>
        <v>-2397.5095833333335</v>
      </c>
      <c r="AD368" s="643"/>
      <c r="AE368" s="643"/>
      <c r="AF368" s="677">
        <f t="shared" si="58"/>
        <v>0</v>
      </c>
    </row>
    <row r="369" spans="1:32">
      <c r="A369" s="604">
        <v>355</v>
      </c>
      <c r="B369" s="316" t="s">
        <v>959</v>
      </c>
      <c r="C369" s="316" t="s">
        <v>527</v>
      </c>
      <c r="D369" s="604" t="s">
        <v>1183</v>
      </c>
      <c r="E369" s="602" t="s">
        <v>1624</v>
      </c>
      <c r="F369" s="603">
        <v>-80703.789999999994</v>
      </c>
      <c r="G369" s="603">
        <v>-299.2</v>
      </c>
      <c r="H369" s="603">
        <v>-1544.36</v>
      </c>
      <c r="I369" s="603">
        <v>-2789.52</v>
      </c>
      <c r="J369" s="603">
        <v>-11668.98</v>
      </c>
      <c r="K369" s="603">
        <v>-27895.599999999999</v>
      </c>
      <c r="L369" s="603">
        <v>-36479.440000000002</v>
      </c>
      <c r="M369" s="603">
        <v>-36875.67</v>
      </c>
      <c r="N369" s="603">
        <v>-37825.21</v>
      </c>
      <c r="O369" s="603">
        <v>-38774.76</v>
      </c>
      <c r="P369" s="603">
        <v>-39724.31</v>
      </c>
      <c r="Q369" s="603">
        <v>-40673.870000000003</v>
      </c>
      <c r="R369" s="603">
        <v>-41623.26</v>
      </c>
      <c r="S369" s="484">
        <f t="shared" si="70"/>
        <v>-27976.203750000004</v>
      </c>
      <c r="T369" s="604"/>
      <c r="U369" s="642"/>
      <c r="V369" s="679"/>
      <c r="W369" s="679">
        <f t="shared" si="71"/>
        <v>-27976.203750000004</v>
      </c>
      <c r="X369" s="702"/>
      <c r="Y369" s="679"/>
      <c r="Z369" s="679"/>
      <c r="AA369" s="642"/>
      <c r="AB369" s="679"/>
      <c r="AC369" s="644">
        <f t="shared" si="72"/>
        <v>-27976.203750000004</v>
      </c>
      <c r="AD369" s="643"/>
      <c r="AE369" s="643"/>
      <c r="AF369" s="677">
        <f t="shared" si="58"/>
        <v>0</v>
      </c>
    </row>
    <row r="370" spans="1:32">
      <c r="A370" s="604">
        <v>356</v>
      </c>
      <c r="B370" s="316" t="s">
        <v>956</v>
      </c>
      <c r="C370" s="316" t="s">
        <v>1185</v>
      </c>
      <c r="D370" s="604"/>
      <c r="E370" s="602" t="s">
        <v>528</v>
      </c>
      <c r="F370" s="603">
        <v>-42184</v>
      </c>
      <c r="G370" s="603">
        <v>-3501.58</v>
      </c>
      <c r="H370" s="603">
        <v>-7003.17</v>
      </c>
      <c r="I370" s="603">
        <v>-10504.95</v>
      </c>
      <c r="J370" s="603">
        <v>-14006.33</v>
      </c>
      <c r="K370" s="603">
        <v>-17507.900000000001</v>
      </c>
      <c r="L370" s="603">
        <v>-21009.48</v>
      </c>
      <c r="M370" s="603">
        <v>-24511.06</v>
      </c>
      <c r="N370" s="603">
        <v>-28012.639999999999</v>
      </c>
      <c r="O370" s="603">
        <v>-31514.22</v>
      </c>
      <c r="P370" s="603">
        <v>-35015.800000000003</v>
      </c>
      <c r="Q370" s="603">
        <v>-38517.379999999997</v>
      </c>
      <c r="R370" s="603">
        <v>-42018.96</v>
      </c>
      <c r="S370" s="484">
        <f t="shared" si="70"/>
        <v>-22767.165833333333</v>
      </c>
      <c r="T370" s="604"/>
      <c r="U370" s="642"/>
      <c r="V370" s="679"/>
      <c r="W370" s="679">
        <f t="shared" si="71"/>
        <v>-22767.165833333333</v>
      </c>
      <c r="X370" s="702"/>
      <c r="Y370" s="679"/>
      <c r="Z370" s="679"/>
      <c r="AA370" s="642"/>
      <c r="AB370" s="679"/>
      <c r="AC370" s="644">
        <f t="shared" si="72"/>
        <v>-22767.165833333333</v>
      </c>
      <c r="AD370" s="643"/>
      <c r="AE370" s="643"/>
      <c r="AF370" s="677">
        <f t="shared" ref="AF370:AF440" si="73">+U370+V370-AD370</f>
        <v>0</v>
      </c>
    </row>
    <row r="371" spans="1:32">
      <c r="A371" s="604">
        <v>357</v>
      </c>
      <c r="B371" s="604"/>
      <c r="C371" s="604"/>
      <c r="D371" s="604"/>
      <c r="E371" s="602" t="s">
        <v>529</v>
      </c>
      <c r="F371" s="295">
        <f t="shared" ref="F371:S371" si="74">SUM(F350:F370)</f>
        <v>221750.09999999934</v>
      </c>
      <c r="G371" s="295">
        <f t="shared" si="74"/>
        <v>1380969.4299999997</v>
      </c>
      <c r="H371" s="295">
        <f t="shared" si="74"/>
        <v>2085165.5499999993</v>
      </c>
      <c r="I371" s="295">
        <f t="shared" si="74"/>
        <v>2488990.19</v>
      </c>
      <c r="J371" s="295">
        <f t="shared" si="74"/>
        <v>2460640.79</v>
      </c>
      <c r="K371" s="295">
        <f t="shared" si="74"/>
        <v>1689883.0100000012</v>
      </c>
      <c r="L371" s="295">
        <f t="shared" si="74"/>
        <v>836330.21000000183</v>
      </c>
      <c r="M371" s="295">
        <f t="shared" si="74"/>
        <v>-178386.6300000003</v>
      </c>
      <c r="N371" s="295">
        <f t="shared" si="74"/>
        <v>-1069793.8499999971</v>
      </c>
      <c r="O371" s="295">
        <f t="shared" si="74"/>
        <v>-1818325.99</v>
      </c>
      <c r="P371" s="295">
        <f t="shared" si="74"/>
        <v>-1985022.0400000031</v>
      </c>
      <c r="Q371" s="295">
        <f t="shared" si="74"/>
        <v>-1178073.7799999949</v>
      </c>
      <c r="R371" s="295">
        <f t="shared" si="74"/>
        <v>169037.26999999196</v>
      </c>
      <c r="S371" s="486">
        <f t="shared" si="74"/>
        <v>408980.88124999689</v>
      </c>
      <c r="T371" s="604"/>
      <c r="U371" s="642"/>
      <c r="V371" s="679"/>
      <c r="W371" s="679"/>
      <c r="X371" s="702"/>
      <c r="Y371" s="679"/>
      <c r="Z371" s="679"/>
      <c r="AA371" s="642"/>
      <c r="AB371" s="679"/>
      <c r="AC371" s="643"/>
      <c r="AD371" s="643"/>
      <c r="AE371" s="643"/>
      <c r="AF371" s="677">
        <f t="shared" si="73"/>
        <v>0</v>
      </c>
    </row>
    <row r="372" spans="1:32">
      <c r="A372" s="604">
        <v>358</v>
      </c>
      <c r="B372" s="604"/>
      <c r="C372" s="604"/>
      <c r="D372" s="604"/>
      <c r="E372" s="602"/>
      <c r="F372" s="603"/>
      <c r="G372" s="314"/>
      <c r="H372" s="305"/>
      <c r="I372" s="305"/>
      <c r="J372" s="306"/>
      <c r="K372" s="307"/>
      <c r="L372" s="308"/>
      <c r="M372" s="309"/>
      <c r="N372" s="310"/>
      <c r="O372" s="590"/>
      <c r="P372" s="311"/>
      <c r="Q372" s="315"/>
      <c r="R372" s="603"/>
      <c r="S372" s="294"/>
      <c r="T372" s="604"/>
      <c r="U372" s="642"/>
      <c r="V372" s="679"/>
      <c r="W372" s="679"/>
      <c r="X372" s="702"/>
      <c r="Y372" s="679"/>
      <c r="Z372" s="679"/>
      <c r="AA372" s="642"/>
      <c r="AB372" s="679"/>
      <c r="AC372" s="643"/>
      <c r="AD372" s="643"/>
      <c r="AE372" s="643"/>
      <c r="AF372" s="677">
        <f t="shared" si="73"/>
        <v>0</v>
      </c>
    </row>
    <row r="373" spans="1:32">
      <c r="A373" s="604">
        <v>359</v>
      </c>
      <c r="B373" s="604"/>
      <c r="C373" s="604"/>
      <c r="D373" s="604"/>
      <c r="E373" s="602"/>
      <c r="F373" s="603"/>
      <c r="G373" s="314"/>
      <c r="H373" s="305"/>
      <c r="I373" s="305"/>
      <c r="J373" s="306"/>
      <c r="K373" s="307"/>
      <c r="L373" s="308"/>
      <c r="M373" s="309"/>
      <c r="N373" s="310"/>
      <c r="O373" s="590"/>
      <c r="P373" s="311"/>
      <c r="Q373" s="315"/>
      <c r="R373" s="603"/>
      <c r="S373" s="294"/>
      <c r="T373" s="604"/>
      <c r="U373" s="642"/>
      <c r="V373" s="679"/>
      <c r="W373" s="679"/>
      <c r="X373" s="702"/>
      <c r="Y373" s="679"/>
      <c r="Z373" s="679"/>
      <c r="AA373" s="642"/>
      <c r="AB373" s="679"/>
      <c r="AC373" s="643"/>
      <c r="AD373" s="643"/>
      <c r="AE373" s="643"/>
      <c r="AF373" s="677">
        <f t="shared" si="73"/>
        <v>0</v>
      </c>
    </row>
    <row r="374" spans="1:32">
      <c r="A374" s="604">
        <v>360</v>
      </c>
      <c r="B374" s="316" t="s">
        <v>956</v>
      </c>
      <c r="C374" s="316" t="s">
        <v>530</v>
      </c>
      <c r="D374" s="604"/>
      <c r="E374" s="602" t="s">
        <v>1626</v>
      </c>
      <c r="F374" s="603">
        <v>0</v>
      </c>
      <c r="G374" s="603">
        <v>0</v>
      </c>
      <c r="H374" s="603">
        <v>0</v>
      </c>
      <c r="I374" s="603">
        <v>0</v>
      </c>
      <c r="J374" s="603">
        <v>0</v>
      </c>
      <c r="K374" s="603">
        <v>0</v>
      </c>
      <c r="L374" s="603">
        <v>-934.33</v>
      </c>
      <c r="M374" s="603">
        <v>-934.33</v>
      </c>
      <c r="N374" s="603">
        <v>-934.33</v>
      </c>
      <c r="O374" s="603">
        <v>-934.33</v>
      </c>
      <c r="P374" s="603">
        <v>-934.33</v>
      </c>
      <c r="Q374" s="603">
        <v>-934.33</v>
      </c>
      <c r="R374" s="603">
        <v>-934.33</v>
      </c>
      <c r="S374" s="484">
        <f t="shared" ref="S374:S383" si="75">((F374+R374)+((G374+H374+I374+J374+K374+L374+M374+N374+O374+P374+Q374)*2))/24</f>
        <v>-506.09541666666672</v>
      </c>
      <c r="T374" s="604"/>
      <c r="U374" s="642"/>
      <c r="V374" s="679"/>
      <c r="W374" s="679">
        <f t="shared" ref="W374:W382" si="76">+S374</f>
        <v>-506.09541666666672</v>
      </c>
      <c r="X374" s="702"/>
      <c r="Y374" s="679"/>
      <c r="Z374" s="679"/>
      <c r="AA374" s="642"/>
      <c r="AB374" s="679"/>
      <c r="AC374" s="644">
        <f t="shared" ref="AC374:AC383" si="77">+S374</f>
        <v>-506.09541666666672</v>
      </c>
      <c r="AD374" s="643"/>
      <c r="AE374" s="643"/>
      <c r="AF374" s="677">
        <f t="shared" si="73"/>
        <v>0</v>
      </c>
    </row>
    <row r="375" spans="1:32">
      <c r="A375" s="604">
        <v>361</v>
      </c>
      <c r="B375" s="316" t="s">
        <v>956</v>
      </c>
      <c r="C375" s="316" t="s">
        <v>532</v>
      </c>
      <c r="D375" s="604"/>
      <c r="E375" s="602" t="s">
        <v>1627</v>
      </c>
      <c r="F375" s="603">
        <v>0</v>
      </c>
      <c r="G375" s="603">
        <v>0</v>
      </c>
      <c r="H375" s="603">
        <v>0</v>
      </c>
      <c r="I375" s="603">
        <v>0</v>
      </c>
      <c r="J375" s="603">
        <v>0</v>
      </c>
      <c r="K375" s="603">
        <v>0</v>
      </c>
      <c r="L375" s="603">
        <v>0</v>
      </c>
      <c r="M375" s="603">
        <v>0</v>
      </c>
      <c r="N375" s="603">
        <v>0</v>
      </c>
      <c r="O375" s="603">
        <v>0</v>
      </c>
      <c r="P375" s="603">
        <v>0</v>
      </c>
      <c r="Q375" s="603">
        <v>0</v>
      </c>
      <c r="R375" s="603">
        <v>0</v>
      </c>
      <c r="S375" s="484">
        <f t="shared" si="75"/>
        <v>0</v>
      </c>
      <c r="T375" s="604"/>
      <c r="U375" s="642"/>
      <c r="V375" s="679"/>
      <c r="W375" s="679">
        <f t="shared" si="76"/>
        <v>0</v>
      </c>
      <c r="X375" s="702"/>
      <c r="Y375" s="679"/>
      <c r="Z375" s="679"/>
      <c r="AA375" s="642"/>
      <c r="AB375" s="679"/>
      <c r="AC375" s="644">
        <f t="shared" si="77"/>
        <v>0</v>
      </c>
      <c r="AD375" s="643"/>
      <c r="AE375" s="643"/>
      <c r="AF375" s="677">
        <f t="shared" si="73"/>
        <v>0</v>
      </c>
    </row>
    <row r="376" spans="1:32">
      <c r="A376" s="604">
        <v>362</v>
      </c>
      <c r="B376" s="524" t="s">
        <v>369</v>
      </c>
      <c r="C376" s="524" t="s">
        <v>369</v>
      </c>
      <c r="D376" s="316" t="s">
        <v>533</v>
      </c>
      <c r="E376" s="602" t="s">
        <v>1628</v>
      </c>
      <c r="F376" s="603">
        <v>147336.4</v>
      </c>
      <c r="G376" s="603">
        <v>11595.3</v>
      </c>
      <c r="H376" s="603">
        <v>36289.72</v>
      </c>
      <c r="I376" s="603">
        <v>63881.3</v>
      </c>
      <c r="J376" s="603">
        <v>72384.92</v>
      </c>
      <c r="K376" s="603">
        <v>79709.919999999998</v>
      </c>
      <c r="L376" s="603">
        <v>94660.39</v>
      </c>
      <c r="M376" s="603">
        <v>114137.21</v>
      </c>
      <c r="N376" s="603">
        <v>114936.66</v>
      </c>
      <c r="O376" s="603">
        <v>153413.89000000001</v>
      </c>
      <c r="P376" s="603">
        <v>162223.39000000001</v>
      </c>
      <c r="Q376" s="603">
        <v>167773.39</v>
      </c>
      <c r="R376" s="603">
        <v>251618.91</v>
      </c>
      <c r="S376" s="484">
        <f t="shared" si="75"/>
        <v>105873.64541666668</v>
      </c>
      <c r="T376" s="604"/>
      <c r="U376" s="642"/>
      <c r="V376" s="679"/>
      <c r="W376" s="679">
        <f t="shared" si="76"/>
        <v>105873.64541666668</v>
      </c>
      <c r="X376" s="702"/>
      <c r="Y376" s="679"/>
      <c r="Z376" s="679"/>
      <c r="AA376" s="642"/>
      <c r="AB376" s="679"/>
      <c r="AC376" s="644">
        <f t="shared" si="77"/>
        <v>105873.64541666668</v>
      </c>
      <c r="AD376" s="643"/>
      <c r="AE376" s="643"/>
      <c r="AF376" s="677">
        <f t="shared" si="73"/>
        <v>0</v>
      </c>
    </row>
    <row r="377" spans="1:32">
      <c r="A377" s="604">
        <v>363</v>
      </c>
      <c r="B377" s="524" t="s">
        <v>369</v>
      </c>
      <c r="C377" s="524" t="s">
        <v>369</v>
      </c>
      <c r="D377" s="316" t="s">
        <v>1397</v>
      </c>
      <c r="E377" s="602" t="s">
        <v>1629</v>
      </c>
      <c r="F377" s="603">
        <v>452956.61</v>
      </c>
      <c r="G377" s="603">
        <v>-311902.46000000002</v>
      </c>
      <c r="H377" s="603">
        <v>-376410.95</v>
      </c>
      <c r="I377" s="603">
        <v>-507107.83</v>
      </c>
      <c r="J377" s="603">
        <v>-556812.68000000005</v>
      </c>
      <c r="K377" s="603">
        <v>-355694.12</v>
      </c>
      <c r="L377" s="603">
        <v>-641758.32999999996</v>
      </c>
      <c r="M377" s="603">
        <v>-619867.71</v>
      </c>
      <c r="N377" s="603">
        <v>-671236.85</v>
      </c>
      <c r="O377" s="603">
        <v>-711010.69</v>
      </c>
      <c r="P377" s="603">
        <v>-713523.32</v>
      </c>
      <c r="Q377" s="603">
        <v>-813020.16000000003</v>
      </c>
      <c r="R377" s="603">
        <v>-783272.35</v>
      </c>
      <c r="S377" s="484">
        <f t="shared" si="75"/>
        <v>-536958.58083333343</v>
      </c>
      <c r="T377" s="604"/>
      <c r="U377" s="642"/>
      <c r="V377" s="679"/>
      <c r="W377" s="679">
        <f t="shared" si="76"/>
        <v>-536958.58083333343</v>
      </c>
      <c r="X377" s="702"/>
      <c r="Y377" s="679"/>
      <c r="Z377" s="679"/>
      <c r="AA377" s="642"/>
      <c r="AB377" s="679"/>
      <c r="AC377" s="644">
        <f t="shared" si="77"/>
        <v>-536958.58083333343</v>
      </c>
      <c r="AD377" s="643"/>
      <c r="AE377" s="643"/>
      <c r="AF377" s="677">
        <f t="shared" si="73"/>
        <v>0</v>
      </c>
    </row>
    <row r="378" spans="1:32">
      <c r="A378" s="604">
        <v>364</v>
      </c>
      <c r="B378" s="524" t="s">
        <v>369</v>
      </c>
      <c r="C378" s="524" t="s">
        <v>369</v>
      </c>
      <c r="D378" s="316" t="s">
        <v>534</v>
      </c>
      <c r="E378" s="602" t="s">
        <v>1630</v>
      </c>
      <c r="F378" s="603">
        <v>50.76</v>
      </c>
      <c r="G378" s="603">
        <v>50.35</v>
      </c>
      <c r="H378" s="603">
        <v>50.35</v>
      </c>
      <c r="I378" s="603">
        <v>50.35</v>
      </c>
      <c r="J378" s="603">
        <v>50.35</v>
      </c>
      <c r="K378" s="603">
        <v>50.35</v>
      </c>
      <c r="L378" s="603">
        <v>50.35</v>
      </c>
      <c r="M378" s="603">
        <v>94.63</v>
      </c>
      <c r="N378" s="603">
        <v>94.63</v>
      </c>
      <c r="O378" s="603">
        <v>158.94</v>
      </c>
      <c r="P378" s="603">
        <v>94.63</v>
      </c>
      <c r="Q378" s="603">
        <v>94.63</v>
      </c>
      <c r="R378" s="603">
        <v>94.63</v>
      </c>
      <c r="S378" s="484">
        <f t="shared" si="75"/>
        <v>76.021249999999995</v>
      </c>
      <c r="T378" s="604"/>
      <c r="U378" s="642"/>
      <c r="V378" s="679"/>
      <c r="W378" s="679">
        <f t="shared" si="76"/>
        <v>76.021249999999995</v>
      </c>
      <c r="X378" s="702"/>
      <c r="Y378" s="679"/>
      <c r="Z378" s="679"/>
      <c r="AA378" s="642"/>
      <c r="AB378" s="679"/>
      <c r="AC378" s="644">
        <f t="shared" si="77"/>
        <v>76.021249999999995</v>
      </c>
      <c r="AD378" s="643"/>
      <c r="AE378" s="643"/>
      <c r="AF378" s="677">
        <f t="shared" si="73"/>
        <v>0</v>
      </c>
    </row>
    <row r="379" spans="1:32">
      <c r="A379" s="604">
        <v>365</v>
      </c>
      <c r="B379" s="524" t="s">
        <v>369</v>
      </c>
      <c r="C379" s="524" t="s">
        <v>369</v>
      </c>
      <c r="D379" s="316" t="s">
        <v>535</v>
      </c>
      <c r="E379" s="602" t="s">
        <v>1631</v>
      </c>
      <c r="F379" s="603">
        <v>165577.54</v>
      </c>
      <c r="G379" s="603">
        <v>13951</v>
      </c>
      <c r="H379" s="603">
        <v>24015</v>
      </c>
      <c r="I379" s="603">
        <v>33665</v>
      </c>
      <c r="J379" s="603">
        <v>43359.35</v>
      </c>
      <c r="K379" s="603">
        <v>56439.81</v>
      </c>
      <c r="L379" s="603">
        <v>66385.31</v>
      </c>
      <c r="M379" s="603">
        <v>76108.460000000006</v>
      </c>
      <c r="N379" s="603">
        <v>85608.46</v>
      </c>
      <c r="O379" s="603">
        <v>96108.46</v>
      </c>
      <c r="P379" s="603">
        <v>106250.3</v>
      </c>
      <c r="Q379" s="603">
        <v>115750.3</v>
      </c>
      <c r="R379" s="603">
        <v>306253.81</v>
      </c>
      <c r="S379" s="484">
        <f t="shared" si="75"/>
        <v>79463.09375</v>
      </c>
      <c r="T379" s="604"/>
      <c r="U379" s="642"/>
      <c r="V379" s="679"/>
      <c r="W379" s="679">
        <f t="shared" si="76"/>
        <v>79463.09375</v>
      </c>
      <c r="X379" s="702"/>
      <c r="Y379" s="679"/>
      <c r="Z379" s="679"/>
      <c r="AA379" s="642"/>
      <c r="AB379" s="679"/>
      <c r="AC379" s="644">
        <f t="shared" si="77"/>
        <v>79463.09375</v>
      </c>
      <c r="AD379" s="643"/>
      <c r="AE379" s="643"/>
      <c r="AF379" s="677">
        <f t="shared" si="73"/>
        <v>0</v>
      </c>
    </row>
    <row r="380" spans="1:32">
      <c r="A380" s="604">
        <v>366</v>
      </c>
      <c r="B380" s="525" t="s">
        <v>369</v>
      </c>
      <c r="C380" s="525" t="s">
        <v>369</v>
      </c>
      <c r="D380" s="316" t="s">
        <v>536</v>
      </c>
      <c r="E380" s="602" t="s">
        <v>1632</v>
      </c>
      <c r="F380" s="603">
        <v>615677.14</v>
      </c>
      <c r="G380" s="603">
        <v>0</v>
      </c>
      <c r="H380" s="603">
        <v>0</v>
      </c>
      <c r="I380" s="603">
        <v>1555.78</v>
      </c>
      <c r="J380" s="603">
        <v>1555.78</v>
      </c>
      <c r="K380" s="603">
        <v>1555.78</v>
      </c>
      <c r="L380" s="603">
        <v>1555.78</v>
      </c>
      <c r="M380" s="603">
        <v>1555.78</v>
      </c>
      <c r="N380" s="603">
        <v>1555.78</v>
      </c>
      <c r="O380" s="603">
        <v>1555.78</v>
      </c>
      <c r="P380" s="603">
        <v>1555.78</v>
      </c>
      <c r="Q380" s="603">
        <v>1555.78</v>
      </c>
      <c r="R380" s="603">
        <v>1555.78</v>
      </c>
      <c r="S380" s="484">
        <f t="shared" si="75"/>
        <v>26884.873333333337</v>
      </c>
      <c r="T380" s="604"/>
      <c r="U380" s="642"/>
      <c r="V380" s="679"/>
      <c r="W380" s="679">
        <f t="shared" si="76"/>
        <v>26884.873333333337</v>
      </c>
      <c r="X380" s="702"/>
      <c r="Y380" s="679"/>
      <c r="Z380" s="679"/>
      <c r="AA380" s="642"/>
      <c r="AB380" s="679"/>
      <c r="AC380" s="644">
        <f t="shared" si="77"/>
        <v>26884.873333333337</v>
      </c>
      <c r="AD380" s="643"/>
      <c r="AE380" s="643"/>
      <c r="AF380" s="677">
        <f t="shared" si="73"/>
        <v>0</v>
      </c>
    </row>
    <row r="381" spans="1:32">
      <c r="A381" s="604">
        <v>367</v>
      </c>
      <c r="B381" s="526" t="s">
        <v>369</v>
      </c>
      <c r="C381" s="526" t="s">
        <v>369</v>
      </c>
      <c r="D381" s="316" t="s">
        <v>537</v>
      </c>
      <c r="E381" s="602" t="s">
        <v>1633</v>
      </c>
      <c r="F381" s="603">
        <v>0</v>
      </c>
      <c r="G381" s="603">
        <v>0</v>
      </c>
      <c r="H381" s="603">
        <v>0</v>
      </c>
      <c r="I381" s="603">
        <v>0</v>
      </c>
      <c r="J381" s="603">
        <v>0</v>
      </c>
      <c r="K381" s="603">
        <v>0</v>
      </c>
      <c r="L381" s="603">
        <v>0</v>
      </c>
      <c r="M381" s="603">
        <v>0</v>
      </c>
      <c r="N381" s="603">
        <v>0</v>
      </c>
      <c r="O381" s="603">
        <v>0</v>
      </c>
      <c r="P381" s="603">
        <v>0</v>
      </c>
      <c r="Q381" s="603">
        <v>0</v>
      </c>
      <c r="R381" s="603">
        <v>0</v>
      </c>
      <c r="S381" s="484">
        <f t="shared" si="75"/>
        <v>0</v>
      </c>
      <c r="T381" s="604"/>
      <c r="U381" s="642"/>
      <c r="V381" s="679"/>
      <c r="W381" s="679">
        <f t="shared" si="76"/>
        <v>0</v>
      </c>
      <c r="X381" s="702"/>
      <c r="Y381" s="679"/>
      <c r="Z381" s="679"/>
      <c r="AA381" s="642"/>
      <c r="AB381" s="679"/>
      <c r="AC381" s="644">
        <f t="shared" si="77"/>
        <v>0</v>
      </c>
      <c r="AD381" s="643"/>
      <c r="AE381" s="643"/>
      <c r="AF381" s="677">
        <f t="shared" si="73"/>
        <v>0</v>
      </c>
    </row>
    <row r="382" spans="1:32">
      <c r="A382" s="604">
        <v>368</v>
      </c>
      <c r="B382" s="316" t="s">
        <v>369</v>
      </c>
      <c r="C382" s="316" t="s">
        <v>538</v>
      </c>
      <c r="D382" s="316" t="s">
        <v>537</v>
      </c>
      <c r="E382" s="319" t="s">
        <v>1634</v>
      </c>
      <c r="F382" s="603">
        <v>0</v>
      </c>
      <c r="G382" s="603">
        <v>0</v>
      </c>
      <c r="H382" s="603">
        <v>0</v>
      </c>
      <c r="I382" s="603">
        <v>0</v>
      </c>
      <c r="J382" s="603">
        <v>0</v>
      </c>
      <c r="K382" s="603">
        <v>0</v>
      </c>
      <c r="L382" s="603">
        <v>0</v>
      </c>
      <c r="M382" s="603">
        <v>0</v>
      </c>
      <c r="N382" s="603">
        <v>0</v>
      </c>
      <c r="O382" s="603">
        <v>0</v>
      </c>
      <c r="P382" s="603">
        <v>0</v>
      </c>
      <c r="Q382" s="603">
        <v>0</v>
      </c>
      <c r="R382" s="603">
        <v>0</v>
      </c>
      <c r="S382" s="484">
        <f t="shared" si="75"/>
        <v>0</v>
      </c>
      <c r="T382" s="604"/>
      <c r="U382" s="642"/>
      <c r="V382" s="679"/>
      <c r="W382" s="679">
        <f t="shared" si="76"/>
        <v>0</v>
      </c>
      <c r="X382" s="702"/>
      <c r="Y382" s="679"/>
      <c r="Z382" s="679"/>
      <c r="AA382" s="642"/>
      <c r="AB382" s="679"/>
      <c r="AC382" s="644">
        <f t="shared" si="77"/>
        <v>0</v>
      </c>
      <c r="AD382" s="643"/>
      <c r="AE382" s="643"/>
      <c r="AF382" s="677">
        <f t="shared" si="73"/>
        <v>0</v>
      </c>
    </row>
    <row r="383" spans="1:32">
      <c r="A383" s="604">
        <v>369</v>
      </c>
      <c r="B383" s="316" t="s">
        <v>959</v>
      </c>
      <c r="C383" s="316" t="s">
        <v>539</v>
      </c>
      <c r="D383" s="316" t="s">
        <v>1178</v>
      </c>
      <c r="E383" s="602" t="s">
        <v>1635</v>
      </c>
      <c r="F383" s="303">
        <v>1144.68</v>
      </c>
      <c r="G383" s="303">
        <v>0</v>
      </c>
      <c r="H383" s="303">
        <v>0</v>
      </c>
      <c r="I383" s="303">
        <v>0</v>
      </c>
      <c r="J383" s="303">
        <v>536.05999999999995</v>
      </c>
      <c r="K383" s="303">
        <v>536.05999999999995</v>
      </c>
      <c r="L383" s="303">
        <v>536.05999999999995</v>
      </c>
      <c r="M383" s="303">
        <v>536.05999999999995</v>
      </c>
      <c r="N383" s="303">
        <v>1072.1199999999999</v>
      </c>
      <c r="O383" s="303">
        <v>1072.1199999999999</v>
      </c>
      <c r="P383" s="303">
        <v>1072.1199999999999</v>
      </c>
      <c r="Q383" s="303">
        <v>1072.1199999999999</v>
      </c>
      <c r="R383" s="303">
        <v>1072.1199999999999</v>
      </c>
      <c r="S383" s="484">
        <f t="shared" si="75"/>
        <v>628.42666666666662</v>
      </c>
      <c r="T383" s="604"/>
      <c r="U383" s="642"/>
      <c r="V383" s="679"/>
      <c r="W383" s="679">
        <f>+S383</f>
        <v>628.42666666666662</v>
      </c>
      <c r="X383" s="702"/>
      <c r="Y383" s="679"/>
      <c r="Z383" s="679"/>
      <c r="AA383" s="642"/>
      <c r="AB383" s="679"/>
      <c r="AC383" s="644">
        <f t="shared" si="77"/>
        <v>628.42666666666662</v>
      </c>
      <c r="AD383" s="643"/>
      <c r="AE383" s="643"/>
      <c r="AF383" s="677">
        <f t="shared" si="73"/>
        <v>0</v>
      </c>
    </row>
    <row r="384" spans="1:32">
      <c r="A384" s="604">
        <v>370</v>
      </c>
      <c r="B384" s="604"/>
      <c r="C384" s="604"/>
      <c r="D384" s="604"/>
      <c r="E384" s="602" t="s">
        <v>540</v>
      </c>
      <c r="F384" s="295">
        <f>SUM(F374:F383)</f>
        <v>1382743.1300000001</v>
      </c>
      <c r="G384" s="295">
        <f t="shared" ref="G384:S384" si="78">SUM(G374:G383)</f>
        <v>-286305.81000000006</v>
      </c>
      <c r="H384" s="295">
        <f t="shared" si="78"/>
        <v>-316055.88</v>
      </c>
      <c r="I384" s="295">
        <f t="shared" si="78"/>
        <v>-407955.4</v>
      </c>
      <c r="J384" s="295">
        <f t="shared" si="78"/>
        <v>-438926.22000000009</v>
      </c>
      <c r="K384" s="295">
        <f t="shared" si="78"/>
        <v>-217402.20000000004</v>
      </c>
      <c r="L384" s="295">
        <f t="shared" si="78"/>
        <v>-479504.77</v>
      </c>
      <c r="M384" s="295">
        <f t="shared" si="78"/>
        <v>-428369.89999999991</v>
      </c>
      <c r="N384" s="295">
        <f t="shared" si="78"/>
        <v>-468903.52999999997</v>
      </c>
      <c r="O384" s="295">
        <f t="shared" si="78"/>
        <v>-459635.8299999999</v>
      </c>
      <c r="P384" s="295">
        <f t="shared" si="78"/>
        <v>-443261.42999999988</v>
      </c>
      <c r="Q384" s="295">
        <f t="shared" si="78"/>
        <v>-527708.2699999999</v>
      </c>
      <c r="R384" s="295">
        <f t="shared" si="78"/>
        <v>-223611.43000000002</v>
      </c>
      <c r="S384" s="486">
        <f t="shared" si="78"/>
        <v>-324538.61583333334</v>
      </c>
      <c r="T384" s="604"/>
      <c r="U384" s="642"/>
      <c r="V384" s="679"/>
      <c r="W384" s="679"/>
      <c r="X384" s="702"/>
      <c r="Y384" s="679"/>
      <c r="Z384" s="679"/>
      <c r="AA384" s="642"/>
      <c r="AB384" s="679"/>
      <c r="AC384" s="643"/>
      <c r="AD384" s="643"/>
      <c r="AE384" s="643"/>
      <c r="AF384" s="677">
        <f t="shared" si="73"/>
        <v>0</v>
      </c>
    </row>
    <row r="385" spans="1:32">
      <c r="A385" s="604">
        <v>371</v>
      </c>
      <c r="B385" s="604"/>
      <c r="C385" s="604"/>
      <c r="D385" s="604"/>
      <c r="E385" s="602"/>
      <c r="F385" s="603"/>
      <c r="G385" s="314"/>
      <c r="H385" s="305"/>
      <c r="I385" s="305"/>
      <c r="J385" s="306"/>
      <c r="K385" s="307"/>
      <c r="L385" s="308"/>
      <c r="M385" s="309"/>
      <c r="N385" s="310"/>
      <c r="O385" s="590"/>
      <c r="P385" s="311"/>
      <c r="Q385" s="315"/>
      <c r="R385" s="603"/>
      <c r="S385" s="294"/>
      <c r="T385" s="604"/>
      <c r="U385" s="642"/>
      <c r="V385" s="679"/>
      <c r="W385" s="679"/>
      <c r="X385" s="702"/>
      <c r="Y385" s="679"/>
      <c r="Z385" s="679"/>
      <c r="AA385" s="642"/>
      <c r="AB385" s="679"/>
      <c r="AC385" s="643"/>
      <c r="AD385" s="643"/>
      <c r="AE385" s="643"/>
      <c r="AF385" s="677">
        <f t="shared" si="73"/>
        <v>0</v>
      </c>
    </row>
    <row r="386" spans="1:32">
      <c r="A386" s="604">
        <v>372</v>
      </c>
      <c r="B386" s="316" t="s">
        <v>956</v>
      </c>
      <c r="C386" s="316" t="s">
        <v>541</v>
      </c>
      <c r="D386" s="316" t="s">
        <v>515</v>
      </c>
      <c r="E386" s="602" t="s">
        <v>542</v>
      </c>
      <c r="F386" s="303">
        <v>10610000</v>
      </c>
      <c r="G386" s="303">
        <v>0</v>
      </c>
      <c r="H386" s="303">
        <v>2960000</v>
      </c>
      <c r="I386" s="303">
        <v>2960000</v>
      </c>
      <c r="J386" s="303">
        <v>2960000</v>
      </c>
      <c r="K386" s="303">
        <v>5440000</v>
      </c>
      <c r="L386" s="303">
        <v>5440000</v>
      </c>
      <c r="M386" s="303">
        <v>5440000</v>
      </c>
      <c r="N386" s="303">
        <v>7920000</v>
      </c>
      <c r="O386" s="303">
        <v>7920000</v>
      </c>
      <c r="P386" s="303">
        <v>7920000</v>
      </c>
      <c r="Q386" s="303">
        <v>10400000</v>
      </c>
      <c r="R386" s="303">
        <v>10400000</v>
      </c>
      <c r="S386" s="484">
        <f>((F386+R386)+((G386+H386+I386+J386+K386+L386+M386+N386+O386+P386+Q386)*2))/24</f>
        <v>5822083.333333333</v>
      </c>
      <c r="T386" s="604"/>
      <c r="U386" s="642"/>
      <c r="V386" s="679"/>
      <c r="W386" s="679">
        <f>+S386</f>
        <v>5822083.333333333</v>
      </c>
      <c r="X386" s="702"/>
      <c r="Y386" s="679"/>
      <c r="Z386" s="679"/>
      <c r="AA386" s="642"/>
      <c r="AB386" s="679"/>
      <c r="AC386" s="644">
        <f>+S386</f>
        <v>5822083.333333333</v>
      </c>
      <c r="AD386" s="643"/>
      <c r="AE386" s="643"/>
      <c r="AF386" s="677">
        <f t="shared" si="73"/>
        <v>0</v>
      </c>
    </row>
    <row r="387" spans="1:32">
      <c r="A387" s="604">
        <v>373</v>
      </c>
      <c r="B387" s="604"/>
      <c r="C387" s="604"/>
      <c r="D387" s="604"/>
      <c r="E387" s="602" t="s">
        <v>543</v>
      </c>
      <c r="F387" s="295">
        <f>+F386</f>
        <v>10610000</v>
      </c>
      <c r="G387" s="295">
        <f t="shared" ref="G387:S387" si="79">+G386</f>
        <v>0</v>
      </c>
      <c r="H387" s="295">
        <f t="shared" si="79"/>
        <v>2960000</v>
      </c>
      <c r="I387" s="295">
        <f t="shared" si="79"/>
        <v>2960000</v>
      </c>
      <c r="J387" s="295">
        <f t="shared" si="79"/>
        <v>2960000</v>
      </c>
      <c r="K387" s="295">
        <f t="shared" si="79"/>
        <v>5440000</v>
      </c>
      <c r="L387" s="295">
        <f t="shared" si="79"/>
        <v>5440000</v>
      </c>
      <c r="M387" s="295">
        <f t="shared" si="79"/>
        <v>5440000</v>
      </c>
      <c r="N387" s="295">
        <f t="shared" si="79"/>
        <v>7920000</v>
      </c>
      <c r="O387" s="295">
        <f t="shared" si="79"/>
        <v>7920000</v>
      </c>
      <c r="P387" s="295">
        <f t="shared" si="79"/>
        <v>7920000</v>
      </c>
      <c r="Q387" s="295">
        <f t="shared" si="79"/>
        <v>10400000</v>
      </c>
      <c r="R387" s="295">
        <f t="shared" si="79"/>
        <v>10400000</v>
      </c>
      <c r="S387" s="486">
        <f t="shared" si="79"/>
        <v>5822083.333333333</v>
      </c>
      <c r="T387" s="604"/>
      <c r="U387" s="642"/>
      <c r="V387" s="679"/>
      <c r="W387" s="679"/>
      <c r="X387" s="702"/>
      <c r="Y387" s="679"/>
      <c r="Z387" s="679"/>
      <c r="AA387" s="642"/>
      <c r="AB387" s="679"/>
      <c r="AC387" s="643"/>
      <c r="AD387" s="643"/>
      <c r="AE387" s="643"/>
      <c r="AF387" s="677">
        <f t="shared" si="73"/>
        <v>0</v>
      </c>
    </row>
    <row r="388" spans="1:32">
      <c r="A388" s="604">
        <v>374</v>
      </c>
      <c r="B388" s="604"/>
      <c r="C388" s="604"/>
      <c r="D388" s="604"/>
      <c r="E388" s="602"/>
      <c r="F388" s="296"/>
      <c r="G388" s="320"/>
      <c r="H388" s="594"/>
      <c r="I388" s="594"/>
      <c r="J388" s="297"/>
      <c r="K388" s="598"/>
      <c r="L388" s="298"/>
      <c r="M388" s="299"/>
      <c r="N388" s="300"/>
      <c r="O388" s="301"/>
      <c r="P388" s="302"/>
      <c r="Q388" s="321"/>
      <c r="R388" s="296"/>
      <c r="S388" s="294"/>
      <c r="T388" s="604"/>
      <c r="U388" s="642"/>
      <c r="V388" s="679"/>
      <c r="W388" s="679"/>
      <c r="X388" s="702"/>
      <c r="Y388" s="679"/>
      <c r="Z388" s="679"/>
      <c r="AA388" s="642"/>
      <c r="AB388" s="679"/>
      <c r="AC388" s="643"/>
      <c r="AD388" s="643"/>
      <c r="AE388" s="643"/>
      <c r="AF388" s="677">
        <f t="shared" si="73"/>
        <v>0</v>
      </c>
    </row>
    <row r="389" spans="1:32" ht="15" thickBot="1">
      <c r="A389" s="604">
        <v>375</v>
      </c>
      <c r="B389" s="527"/>
      <c r="C389" s="527"/>
      <c r="D389" s="527"/>
      <c r="E389" s="597" t="s">
        <v>544</v>
      </c>
      <c r="F389" s="322">
        <f t="shared" ref="F389:R389" si="80">+F387+F384+F371+F348+F330+F325+F307+F306+F304+F298+F227+F224+F202+F200+F181+F169+F149+F122+F63+F46+F39+F36+F59+F183+F184+F185+F186+F187+F188+F189+F190+F191+F192+F193+F195+F194+F198+F199+F201+F203+F204+F205+F196+F197</f>
        <v>1117173255.4100006</v>
      </c>
      <c r="G389" s="322">
        <f t="shared" si="80"/>
        <v>874125722.07999992</v>
      </c>
      <c r="H389" s="322">
        <f t="shared" si="80"/>
        <v>939569369.3599999</v>
      </c>
      <c r="I389" s="322">
        <f t="shared" si="80"/>
        <v>996037968.9599998</v>
      </c>
      <c r="J389" s="322">
        <f t="shared" si="80"/>
        <v>998465333.8499999</v>
      </c>
      <c r="K389" s="322">
        <f t="shared" si="80"/>
        <v>1006979612.1500003</v>
      </c>
      <c r="L389" s="322">
        <f t="shared" si="80"/>
        <v>1026172554.4400002</v>
      </c>
      <c r="M389" s="322">
        <f t="shared" si="80"/>
        <v>1052630814.3600003</v>
      </c>
      <c r="N389" s="322">
        <f t="shared" si="80"/>
        <v>1077947351.5200002</v>
      </c>
      <c r="O389" s="322">
        <f t="shared" si="80"/>
        <v>1095026663.5400002</v>
      </c>
      <c r="P389" s="322">
        <f t="shared" si="80"/>
        <v>1143148336.5700002</v>
      </c>
      <c r="Q389" s="322">
        <f t="shared" si="80"/>
        <v>1193037825.99</v>
      </c>
      <c r="R389" s="322">
        <f t="shared" si="80"/>
        <v>1262198971.2999995</v>
      </c>
      <c r="S389" s="322">
        <f>+S387+S384+S371+S348+S330+S325+S307+S306+S304+S298+S227+S224+S202+S200+S181+S169+S149+S122+S63+S46+S39+S36+S59+S183+S184+S185+S186+S187+S188+S189+S190+S191+S192+S193+S195+S194+S198+S199+S201+S203+S204+S205+S196+S197</f>
        <v>1049402305.5145835</v>
      </c>
      <c r="T389" s="527"/>
      <c r="U389" s="647"/>
      <c r="V389" s="680"/>
      <c r="W389" s="680"/>
      <c r="X389" s="705"/>
      <c r="Y389" s="680"/>
      <c r="Z389" s="680"/>
      <c r="AA389" s="647"/>
      <c r="AB389" s="680"/>
      <c r="AC389" s="648"/>
      <c r="AD389" s="648"/>
      <c r="AE389" s="648"/>
      <c r="AF389" s="677">
        <f t="shared" si="73"/>
        <v>0</v>
      </c>
    </row>
    <row r="390" spans="1:32" ht="15" thickTop="1">
      <c r="A390" s="604">
        <v>376</v>
      </c>
      <c r="B390" s="604"/>
      <c r="C390" s="604"/>
      <c r="D390" s="604"/>
      <c r="E390" s="602"/>
      <c r="F390" s="603"/>
      <c r="G390" s="314"/>
      <c r="H390" s="305"/>
      <c r="I390" s="305"/>
      <c r="J390" s="306"/>
      <c r="K390" s="307"/>
      <c r="L390" s="308"/>
      <c r="M390" s="309"/>
      <c r="N390" s="310"/>
      <c r="O390" s="590"/>
      <c r="P390" s="311"/>
      <c r="Q390" s="315"/>
      <c r="R390" s="603"/>
      <c r="S390" s="294"/>
      <c r="T390" s="604"/>
      <c r="U390" s="642"/>
      <c r="V390" s="679"/>
      <c r="W390" s="679"/>
      <c r="X390" s="702"/>
      <c r="Y390" s="679"/>
      <c r="Z390" s="679"/>
      <c r="AA390" s="642"/>
      <c r="AB390" s="679"/>
      <c r="AC390" s="643"/>
      <c r="AD390" s="643"/>
      <c r="AE390" s="643"/>
      <c r="AF390" s="677">
        <f t="shared" si="73"/>
        <v>0</v>
      </c>
    </row>
    <row r="391" spans="1:32">
      <c r="A391" s="604">
        <v>377</v>
      </c>
      <c r="B391" s="604"/>
      <c r="C391" s="604"/>
      <c r="D391" s="604"/>
      <c r="E391" s="602"/>
      <c r="F391" s="603"/>
      <c r="G391" s="314"/>
      <c r="H391" s="305"/>
      <c r="I391" s="305"/>
      <c r="J391" s="306"/>
      <c r="K391" s="307"/>
      <c r="L391" s="308"/>
      <c r="M391" s="309"/>
      <c r="N391" s="310"/>
      <c r="O391" s="590"/>
      <c r="P391" s="311"/>
      <c r="Q391" s="315"/>
      <c r="R391" s="603"/>
      <c r="S391" s="294"/>
      <c r="T391" s="604"/>
      <c r="U391" s="642"/>
      <c r="V391" s="679"/>
      <c r="W391" s="679"/>
      <c r="X391" s="702"/>
      <c r="Y391" s="679"/>
      <c r="Z391" s="679"/>
      <c r="AA391" s="642"/>
      <c r="AB391" s="679"/>
      <c r="AC391" s="643"/>
      <c r="AD391" s="643"/>
      <c r="AE391" s="643"/>
      <c r="AF391" s="677">
        <f t="shared" si="73"/>
        <v>0</v>
      </c>
    </row>
    <row r="392" spans="1:32">
      <c r="A392" s="604">
        <v>378</v>
      </c>
      <c r="B392" s="316" t="s">
        <v>956</v>
      </c>
      <c r="C392" s="316" t="s">
        <v>545</v>
      </c>
      <c r="D392" s="316" t="s">
        <v>1186</v>
      </c>
      <c r="E392" s="589" t="s">
        <v>546</v>
      </c>
      <c r="F392" s="603">
        <v>-1000</v>
      </c>
      <c r="G392" s="603">
        <v>-1000</v>
      </c>
      <c r="H392" s="603">
        <v>-1000</v>
      </c>
      <c r="I392" s="603">
        <v>-1000</v>
      </c>
      <c r="J392" s="603">
        <v>-1000</v>
      </c>
      <c r="K392" s="603">
        <v>-1000</v>
      </c>
      <c r="L392" s="603">
        <v>-1000</v>
      </c>
      <c r="M392" s="603">
        <v>-1000</v>
      </c>
      <c r="N392" s="603">
        <v>-1000</v>
      </c>
      <c r="O392" s="603">
        <v>-1000</v>
      </c>
      <c r="P392" s="603">
        <v>-1000</v>
      </c>
      <c r="Q392" s="603">
        <v>-1000</v>
      </c>
      <c r="R392" s="603">
        <v>-1000</v>
      </c>
      <c r="S392" s="484">
        <f>((F392+R392)+((G392+H392+I392+J392+K392+L392+M392+N392+O392+P392+Q392)*2))/24</f>
        <v>-1000</v>
      </c>
      <c r="T392" s="604"/>
      <c r="U392" s="642"/>
      <c r="V392" s="679"/>
      <c r="W392" s="679">
        <f t="shared" ref="W392:W398" si="81">+S392</f>
        <v>-1000</v>
      </c>
      <c r="X392" s="702"/>
      <c r="Y392" s="679"/>
      <c r="Z392" s="679"/>
      <c r="AA392" s="642"/>
      <c r="AB392" s="679"/>
      <c r="AC392" s="644">
        <f>+S392</f>
        <v>-1000</v>
      </c>
      <c r="AD392" s="643"/>
      <c r="AE392" s="643"/>
      <c r="AF392" s="677">
        <f t="shared" si="73"/>
        <v>0</v>
      </c>
    </row>
    <row r="393" spans="1:32">
      <c r="A393" s="604">
        <v>379</v>
      </c>
      <c r="B393" s="316" t="s">
        <v>956</v>
      </c>
      <c r="C393" s="316" t="s">
        <v>547</v>
      </c>
      <c r="D393" s="316" t="s">
        <v>515</v>
      </c>
      <c r="E393" s="589" t="s">
        <v>548</v>
      </c>
      <c r="F393" s="603">
        <v>-30688673.449999999</v>
      </c>
      <c r="G393" s="603">
        <v>-34416893.780000001</v>
      </c>
      <c r="H393" s="603">
        <v>-34416893.780000001</v>
      </c>
      <c r="I393" s="603">
        <v>-34416893.780000001</v>
      </c>
      <c r="J393" s="603">
        <v>-34416893.780000001</v>
      </c>
      <c r="K393" s="603">
        <v>-34416893.780000001</v>
      </c>
      <c r="L393" s="603">
        <v>-34416893.780000001</v>
      </c>
      <c r="M393" s="603">
        <v>-34416893.780000001</v>
      </c>
      <c r="N393" s="603">
        <v>-34416893.780000001</v>
      </c>
      <c r="O393" s="603">
        <v>-34416893.780000001</v>
      </c>
      <c r="P393" s="603">
        <v>-34416893.780000001</v>
      </c>
      <c r="Q393" s="603">
        <v>-34416893.780000001</v>
      </c>
      <c r="R393" s="603">
        <v>-34416893.780000001</v>
      </c>
      <c r="S393" s="484">
        <f>((F393+R393)+((G393+H393+I393+J393+K393+L393+M393+N393+O393+P393+Q393)*2))/24</f>
        <v>-34261551.266249992</v>
      </c>
      <c r="T393" s="604"/>
      <c r="U393" s="642"/>
      <c r="V393" s="679"/>
      <c r="W393" s="679">
        <f t="shared" si="81"/>
        <v>-34261551.266249992</v>
      </c>
      <c r="X393" s="702"/>
      <c r="Y393" s="679"/>
      <c r="Z393" s="679"/>
      <c r="AA393" s="642"/>
      <c r="AB393" s="679"/>
      <c r="AC393" s="644">
        <f>+W393</f>
        <v>-34261551.266249992</v>
      </c>
      <c r="AD393" s="643"/>
      <c r="AE393" s="643"/>
      <c r="AF393" s="677">
        <f t="shared" si="73"/>
        <v>0</v>
      </c>
    </row>
    <row r="394" spans="1:32">
      <c r="A394" s="604">
        <v>381</v>
      </c>
      <c r="B394" s="316" t="s">
        <v>956</v>
      </c>
      <c r="C394" s="316" t="s">
        <v>547</v>
      </c>
      <c r="D394" s="316" t="s">
        <v>550</v>
      </c>
      <c r="E394" s="589" t="s">
        <v>551</v>
      </c>
      <c r="F394" s="603">
        <v>42776</v>
      </c>
      <c r="G394" s="603">
        <v>2144</v>
      </c>
      <c r="H394" s="603">
        <v>4288</v>
      </c>
      <c r="I394" s="603">
        <v>6635</v>
      </c>
      <c r="J394" s="603">
        <v>8982</v>
      </c>
      <c r="K394" s="603">
        <v>11329</v>
      </c>
      <c r="L394" s="603">
        <v>13676</v>
      </c>
      <c r="M394" s="603">
        <v>16023</v>
      </c>
      <c r="N394" s="603">
        <v>18370</v>
      </c>
      <c r="O394" s="603">
        <v>20717</v>
      </c>
      <c r="P394" s="603">
        <v>23064</v>
      </c>
      <c r="Q394" s="603">
        <v>25411</v>
      </c>
      <c r="R394" s="603">
        <v>13231</v>
      </c>
      <c r="S394" s="484">
        <f t="shared" ref="S394:S456" si="82">((F394+R394)+((G394+H394+I394+J394+K394+L394+M394+N394+O394+P394+Q394)*2))/24</f>
        <v>14886.875</v>
      </c>
      <c r="T394" s="604"/>
      <c r="U394" s="642"/>
      <c r="V394" s="679"/>
      <c r="W394" s="679">
        <f t="shared" si="81"/>
        <v>14886.875</v>
      </c>
      <c r="X394" s="702"/>
      <c r="Y394" s="679"/>
      <c r="Z394" s="679"/>
      <c r="AA394" s="642"/>
      <c r="AB394" s="679"/>
      <c r="AC394" s="644">
        <f>+S394</f>
        <v>14886.875</v>
      </c>
      <c r="AD394" s="643"/>
      <c r="AE394" s="643"/>
      <c r="AF394" s="677">
        <f t="shared" si="73"/>
        <v>0</v>
      </c>
    </row>
    <row r="395" spans="1:32">
      <c r="A395" s="604">
        <v>383</v>
      </c>
      <c r="B395" s="316" t="s">
        <v>956</v>
      </c>
      <c r="C395" s="316" t="s">
        <v>552</v>
      </c>
      <c r="D395" s="316" t="s">
        <v>515</v>
      </c>
      <c r="E395" s="589" t="s">
        <v>553</v>
      </c>
      <c r="F395" s="603">
        <v>-222117553.21000001</v>
      </c>
      <c r="G395" s="603">
        <v>-222117553.21000001</v>
      </c>
      <c r="H395" s="603">
        <v>-222117553.21000001</v>
      </c>
      <c r="I395" s="603">
        <v>-222117553.21000001</v>
      </c>
      <c r="J395" s="603">
        <v>-222117553.21000001</v>
      </c>
      <c r="K395" s="603">
        <v>-227117553.21000001</v>
      </c>
      <c r="L395" s="603">
        <v>-232117553.21000001</v>
      </c>
      <c r="M395" s="603">
        <v>-239117553.21000001</v>
      </c>
      <c r="N395" s="603">
        <v>-239117553.21000001</v>
      </c>
      <c r="O395" s="603">
        <v>-259117553.21000001</v>
      </c>
      <c r="P395" s="603">
        <v>-266117553.21000001</v>
      </c>
      <c r="Q395" s="603">
        <v>-266117553.21000001</v>
      </c>
      <c r="R395" s="603">
        <v>-266117553.21000001</v>
      </c>
      <c r="S395" s="484">
        <f>((F395+R395)+((G395+H395+I395+J395+K395+L395+M395+N395+O395+P395+Q395)*2))/24</f>
        <v>-238450886.54333332</v>
      </c>
      <c r="T395" s="604"/>
      <c r="U395" s="642"/>
      <c r="V395" s="679"/>
      <c r="W395" s="679">
        <f t="shared" si="81"/>
        <v>-238450886.54333332</v>
      </c>
      <c r="X395" s="702"/>
      <c r="Y395" s="679"/>
      <c r="Z395" s="679"/>
      <c r="AA395" s="642"/>
      <c r="AB395" s="679"/>
      <c r="AC395" s="644">
        <f>+S395</f>
        <v>-238450886.54333332</v>
      </c>
      <c r="AD395" s="643"/>
      <c r="AE395" s="643"/>
      <c r="AF395" s="677">
        <f t="shared" si="73"/>
        <v>0</v>
      </c>
    </row>
    <row r="396" spans="1:32">
      <c r="A396" s="604">
        <v>384</v>
      </c>
      <c r="B396" s="316" t="s">
        <v>956</v>
      </c>
      <c r="C396" s="316" t="s">
        <v>1398</v>
      </c>
      <c r="D396" s="316"/>
      <c r="E396" s="589" t="s">
        <v>555</v>
      </c>
      <c r="F396" s="603">
        <v>273680.51</v>
      </c>
      <c r="G396" s="603">
        <v>0</v>
      </c>
      <c r="H396" s="603">
        <v>0</v>
      </c>
      <c r="I396" s="603">
        <v>0</v>
      </c>
      <c r="J396" s="603">
        <v>0</v>
      </c>
      <c r="K396" s="603">
        <v>0</v>
      </c>
      <c r="L396" s="603">
        <v>0</v>
      </c>
      <c r="M396" s="603">
        <v>0</v>
      </c>
      <c r="N396" s="603">
        <v>0</v>
      </c>
      <c r="O396" s="603">
        <v>0</v>
      </c>
      <c r="P396" s="603">
        <v>0</v>
      </c>
      <c r="Q396" s="603">
        <v>0</v>
      </c>
      <c r="R396" s="603">
        <v>0</v>
      </c>
      <c r="S396" s="484">
        <f t="shared" si="82"/>
        <v>11403.354583333334</v>
      </c>
      <c r="T396" s="604"/>
      <c r="U396" s="642"/>
      <c r="V396" s="679"/>
      <c r="W396" s="679">
        <f t="shared" si="81"/>
        <v>11403.354583333334</v>
      </c>
      <c r="X396" s="702"/>
      <c r="Y396" s="679"/>
      <c r="Z396" s="679"/>
      <c r="AA396" s="642"/>
      <c r="AB396" s="679"/>
      <c r="AC396" s="644">
        <f>+S396</f>
        <v>11403.354583333334</v>
      </c>
      <c r="AD396" s="643"/>
      <c r="AE396" s="643"/>
      <c r="AF396" s="677">
        <f t="shared" si="73"/>
        <v>0</v>
      </c>
    </row>
    <row r="397" spans="1:32">
      <c r="A397" s="604">
        <v>385</v>
      </c>
      <c r="B397" s="316" t="s">
        <v>956</v>
      </c>
      <c r="C397" s="316" t="s">
        <v>556</v>
      </c>
      <c r="D397" s="604" t="s">
        <v>369</v>
      </c>
      <c r="E397" s="589" t="s">
        <v>1636</v>
      </c>
      <c r="F397" s="603">
        <v>-2402882.85</v>
      </c>
      <c r="G397" s="603">
        <v>-2402882.85</v>
      </c>
      <c r="H397" s="603">
        <v>-2402882.85</v>
      </c>
      <c r="I397" s="603">
        <v>-2402882.85</v>
      </c>
      <c r="J397" s="603">
        <v>-2402882.85</v>
      </c>
      <c r="K397" s="603">
        <v>-2402882.85</v>
      </c>
      <c r="L397" s="603">
        <v>-2402882.85</v>
      </c>
      <c r="M397" s="603">
        <v>-2402882.85</v>
      </c>
      <c r="N397" s="603">
        <v>-2402882.85</v>
      </c>
      <c r="O397" s="603">
        <v>-2402882.85</v>
      </c>
      <c r="P397" s="603">
        <v>-2402882.85</v>
      </c>
      <c r="Q397" s="603">
        <v>-2402882.85</v>
      </c>
      <c r="R397" s="603">
        <v>-2506034.75</v>
      </c>
      <c r="S397" s="484">
        <f t="shared" si="82"/>
        <v>-2407180.8458333337</v>
      </c>
      <c r="T397" s="604"/>
      <c r="U397" s="642"/>
      <c r="V397" s="679"/>
      <c r="W397" s="679">
        <f t="shared" si="81"/>
        <v>-2407180.8458333337</v>
      </c>
      <c r="X397" s="702"/>
      <c r="Y397" s="679"/>
      <c r="Z397" s="679"/>
      <c r="AA397" s="642"/>
      <c r="AB397" s="679"/>
      <c r="AC397" s="644">
        <f>+S397</f>
        <v>-2407180.8458333337</v>
      </c>
      <c r="AD397" s="643"/>
      <c r="AE397" s="643"/>
      <c r="AF397" s="677">
        <f t="shared" si="73"/>
        <v>0</v>
      </c>
    </row>
    <row r="398" spans="1:32">
      <c r="A398" s="604">
        <v>386</v>
      </c>
      <c r="B398" s="316" t="s">
        <v>956</v>
      </c>
      <c r="C398" s="316" t="s">
        <v>557</v>
      </c>
      <c r="D398" s="316" t="s">
        <v>1186</v>
      </c>
      <c r="E398" s="589" t="s">
        <v>1637</v>
      </c>
      <c r="F398" s="303">
        <v>84425.49</v>
      </c>
      <c r="G398" s="303">
        <v>84425.49</v>
      </c>
      <c r="H398" s="303">
        <v>84425.49</v>
      </c>
      <c r="I398" s="303">
        <v>84425.49</v>
      </c>
      <c r="J398" s="303">
        <v>84425.49</v>
      </c>
      <c r="K398" s="303">
        <v>84425.49</v>
      </c>
      <c r="L398" s="303">
        <v>84425.49</v>
      </c>
      <c r="M398" s="303">
        <v>84425.49</v>
      </c>
      <c r="N398" s="303">
        <v>84425.49</v>
      </c>
      <c r="O398" s="303">
        <v>84425.49</v>
      </c>
      <c r="P398" s="303">
        <v>84425.49</v>
      </c>
      <c r="Q398" s="303">
        <v>84425.49</v>
      </c>
      <c r="R398" s="303">
        <v>430592.4</v>
      </c>
      <c r="S398" s="485">
        <f t="shared" si="82"/>
        <v>98849.111250000002</v>
      </c>
      <c r="T398" s="604"/>
      <c r="U398" s="642"/>
      <c r="V398" s="679"/>
      <c r="W398" s="679">
        <f t="shared" si="81"/>
        <v>98849.111250000002</v>
      </c>
      <c r="X398" s="702"/>
      <c r="Y398" s="679"/>
      <c r="Z398" s="679"/>
      <c r="AA398" s="642"/>
      <c r="AB398" s="679"/>
      <c r="AC398" s="644">
        <f>+S398</f>
        <v>98849.111250000002</v>
      </c>
      <c r="AD398" s="643"/>
      <c r="AE398" s="643"/>
      <c r="AF398" s="677">
        <f t="shared" si="73"/>
        <v>0</v>
      </c>
    </row>
    <row r="399" spans="1:32">
      <c r="A399" s="604">
        <v>387</v>
      </c>
      <c r="B399" s="604"/>
      <c r="C399" s="604"/>
      <c r="D399" s="604"/>
      <c r="E399" s="589" t="s">
        <v>558</v>
      </c>
      <c r="F399" s="295">
        <f t="shared" ref="F399:S399" si="83">SUM(F392:F398)</f>
        <v>-254809227.50999999</v>
      </c>
      <c r="G399" s="295">
        <f t="shared" si="83"/>
        <v>-258851760.34999999</v>
      </c>
      <c r="H399" s="295">
        <f t="shared" si="83"/>
        <v>-258849616.34999999</v>
      </c>
      <c r="I399" s="295">
        <f t="shared" si="83"/>
        <v>-258847269.34999999</v>
      </c>
      <c r="J399" s="295">
        <f t="shared" si="83"/>
        <v>-258844922.34999999</v>
      </c>
      <c r="K399" s="295">
        <f t="shared" si="83"/>
        <v>-263842575.34999999</v>
      </c>
      <c r="L399" s="295">
        <f t="shared" si="83"/>
        <v>-268840228.35000002</v>
      </c>
      <c r="M399" s="295">
        <f t="shared" si="83"/>
        <v>-275837881.35000002</v>
      </c>
      <c r="N399" s="295">
        <f t="shared" si="83"/>
        <v>-275835534.35000002</v>
      </c>
      <c r="O399" s="295">
        <f t="shared" si="83"/>
        <v>-295833187.35000002</v>
      </c>
      <c r="P399" s="295">
        <f t="shared" si="83"/>
        <v>-302830840.35000002</v>
      </c>
      <c r="Q399" s="295">
        <f t="shared" si="83"/>
        <v>-302828493.35000002</v>
      </c>
      <c r="R399" s="295">
        <f t="shared" si="83"/>
        <v>-302597658.34000003</v>
      </c>
      <c r="S399" s="486">
        <f t="shared" si="83"/>
        <v>-274995479.31458336</v>
      </c>
      <c r="T399" s="604"/>
      <c r="U399" s="642"/>
      <c r="V399" s="679"/>
      <c r="W399" s="679"/>
      <c r="X399" s="702"/>
      <c r="Y399" s="679"/>
      <c r="Z399" s="679"/>
      <c r="AA399" s="642"/>
      <c r="AB399" s="679"/>
      <c r="AC399" s="643"/>
      <c r="AD399" s="643"/>
      <c r="AE399" s="643"/>
      <c r="AF399" s="677">
        <f t="shared" si="73"/>
        <v>0</v>
      </c>
    </row>
    <row r="400" spans="1:32">
      <c r="A400" s="604">
        <v>388</v>
      </c>
      <c r="B400" s="604"/>
      <c r="C400" s="604"/>
      <c r="D400" s="604"/>
      <c r="E400" s="589"/>
      <c r="F400" s="601"/>
      <c r="G400" s="323"/>
      <c r="H400" s="324"/>
      <c r="I400" s="324"/>
      <c r="J400" s="325"/>
      <c r="K400" s="326"/>
      <c r="L400" s="327"/>
      <c r="M400" s="328"/>
      <c r="N400" s="329"/>
      <c r="O400" s="313"/>
      <c r="P400" s="330"/>
      <c r="Q400" s="331"/>
      <c r="R400" s="601"/>
      <c r="S400" s="294"/>
      <c r="T400" s="604"/>
      <c r="U400" s="642"/>
      <c r="V400" s="679"/>
      <c r="W400" s="679"/>
      <c r="X400" s="702"/>
      <c r="Y400" s="679"/>
      <c r="Z400" s="679"/>
      <c r="AA400" s="642"/>
      <c r="AB400" s="679"/>
      <c r="AC400" s="643"/>
      <c r="AD400" s="643"/>
      <c r="AE400" s="643"/>
      <c r="AF400" s="677">
        <f t="shared" si="73"/>
        <v>0</v>
      </c>
    </row>
    <row r="401" spans="1:32">
      <c r="A401" s="604">
        <v>389</v>
      </c>
      <c r="B401" s="316" t="s">
        <v>956</v>
      </c>
      <c r="C401" s="316" t="s">
        <v>559</v>
      </c>
      <c r="D401" s="316" t="s">
        <v>460</v>
      </c>
      <c r="E401" s="593" t="s">
        <v>560</v>
      </c>
      <c r="F401" s="603">
        <v>-20000000</v>
      </c>
      <c r="G401" s="603">
        <v>-20000000</v>
      </c>
      <c r="H401" s="603">
        <v>-20000000</v>
      </c>
      <c r="I401" s="603">
        <v>-20000000</v>
      </c>
      <c r="J401" s="603">
        <v>-20000000</v>
      </c>
      <c r="K401" s="603">
        <v>-20000000</v>
      </c>
      <c r="L401" s="603">
        <v>-20000000</v>
      </c>
      <c r="M401" s="603">
        <v>-20000000</v>
      </c>
      <c r="N401" s="603">
        <v>-20000000</v>
      </c>
      <c r="O401" s="603">
        <v>-20000000</v>
      </c>
      <c r="P401" s="603">
        <v>-20000000</v>
      </c>
      <c r="Q401" s="603">
        <v>-20000000</v>
      </c>
      <c r="R401" s="603">
        <v>-20000000</v>
      </c>
      <c r="S401" s="484">
        <f t="shared" si="82"/>
        <v>-20000000</v>
      </c>
      <c r="T401" s="604"/>
      <c r="U401" s="642"/>
      <c r="V401" s="679"/>
      <c r="W401" s="679">
        <f t="shared" ref="W401:W418" si="84">+S401</f>
        <v>-20000000</v>
      </c>
      <c r="X401" s="702"/>
      <c r="Y401" s="679"/>
      <c r="Z401" s="679"/>
      <c r="AA401" s="642"/>
      <c r="AB401" s="679"/>
      <c r="AC401" s="644">
        <f t="shared" ref="AC401:AC418" si="85">+S401</f>
        <v>-20000000</v>
      </c>
      <c r="AD401" s="643"/>
      <c r="AE401" s="643"/>
      <c r="AF401" s="677">
        <f t="shared" si="73"/>
        <v>0</v>
      </c>
    </row>
    <row r="402" spans="1:32">
      <c r="A402" s="604">
        <v>390</v>
      </c>
      <c r="B402" s="316" t="s">
        <v>956</v>
      </c>
      <c r="C402" s="316" t="s">
        <v>559</v>
      </c>
      <c r="D402" s="316" t="s">
        <v>462</v>
      </c>
      <c r="E402" s="593" t="s">
        <v>561</v>
      </c>
      <c r="F402" s="603">
        <v>-15000000</v>
      </c>
      <c r="G402" s="603">
        <v>-15000000</v>
      </c>
      <c r="H402" s="603">
        <v>-15000000</v>
      </c>
      <c r="I402" s="603">
        <v>-15000000</v>
      </c>
      <c r="J402" s="603">
        <v>-15000000</v>
      </c>
      <c r="K402" s="603">
        <v>-15000000</v>
      </c>
      <c r="L402" s="603">
        <v>-15000000</v>
      </c>
      <c r="M402" s="603">
        <v>-15000000</v>
      </c>
      <c r="N402" s="603">
        <v>-15000000</v>
      </c>
      <c r="O402" s="603">
        <v>-15000000</v>
      </c>
      <c r="P402" s="603">
        <v>-15000000</v>
      </c>
      <c r="Q402" s="603">
        <v>-15000000</v>
      </c>
      <c r="R402" s="603">
        <v>-15000000</v>
      </c>
      <c r="S402" s="484">
        <f t="shared" si="82"/>
        <v>-15000000</v>
      </c>
      <c r="T402" s="604"/>
      <c r="U402" s="642"/>
      <c r="V402" s="679"/>
      <c r="W402" s="679">
        <f t="shared" si="84"/>
        <v>-15000000</v>
      </c>
      <c r="X402" s="702"/>
      <c r="Y402" s="679"/>
      <c r="Z402" s="679"/>
      <c r="AA402" s="642"/>
      <c r="AB402" s="679"/>
      <c r="AC402" s="644">
        <f t="shared" si="85"/>
        <v>-15000000</v>
      </c>
      <c r="AD402" s="643"/>
      <c r="AE402" s="643"/>
      <c r="AF402" s="677">
        <f t="shared" si="73"/>
        <v>0</v>
      </c>
    </row>
    <row r="403" spans="1:32">
      <c r="A403" s="604">
        <v>391</v>
      </c>
      <c r="B403" s="316" t="s">
        <v>956</v>
      </c>
      <c r="C403" s="316" t="s">
        <v>559</v>
      </c>
      <c r="D403" s="316" t="s">
        <v>464</v>
      </c>
      <c r="E403" s="593" t="s">
        <v>562</v>
      </c>
      <c r="F403" s="603">
        <v>-24361000</v>
      </c>
      <c r="G403" s="603">
        <v>-24361000</v>
      </c>
      <c r="H403" s="603">
        <v>-24341000</v>
      </c>
      <c r="I403" s="603">
        <v>-24341000</v>
      </c>
      <c r="J403" s="603">
        <v>-24341000</v>
      </c>
      <c r="K403" s="603">
        <v>-24249000</v>
      </c>
      <c r="L403" s="603">
        <v>-24249000</v>
      </c>
      <c r="M403" s="603">
        <v>-24249000</v>
      </c>
      <c r="N403" s="603">
        <v>-24239000</v>
      </c>
      <c r="O403" s="603">
        <v>-24239000</v>
      </c>
      <c r="P403" s="603">
        <v>-24239000</v>
      </c>
      <c r="Q403" s="603">
        <v>-24214000</v>
      </c>
      <c r="R403" s="603">
        <v>-24214000</v>
      </c>
      <c r="S403" s="484">
        <f t="shared" si="82"/>
        <v>-24279125</v>
      </c>
      <c r="T403" s="604"/>
      <c r="U403" s="642"/>
      <c r="V403" s="679"/>
      <c r="W403" s="679">
        <f t="shared" si="84"/>
        <v>-24279125</v>
      </c>
      <c r="X403" s="702"/>
      <c r="Y403" s="679"/>
      <c r="Z403" s="679"/>
      <c r="AA403" s="642"/>
      <c r="AB403" s="679"/>
      <c r="AC403" s="644">
        <f t="shared" si="85"/>
        <v>-24279125</v>
      </c>
      <c r="AD403" s="643"/>
      <c r="AE403" s="643"/>
      <c r="AF403" s="677">
        <f t="shared" si="73"/>
        <v>0</v>
      </c>
    </row>
    <row r="404" spans="1:32">
      <c r="A404" s="604">
        <v>392</v>
      </c>
      <c r="B404" s="316" t="s">
        <v>956</v>
      </c>
      <c r="C404" s="316" t="s">
        <v>559</v>
      </c>
      <c r="D404" s="316" t="s">
        <v>466</v>
      </c>
      <c r="E404" s="593" t="s">
        <v>563</v>
      </c>
      <c r="F404" s="603">
        <v>-15000000</v>
      </c>
      <c r="G404" s="603">
        <v>-15000000</v>
      </c>
      <c r="H404" s="603">
        <v>-15000000</v>
      </c>
      <c r="I404" s="603">
        <v>-15000000</v>
      </c>
      <c r="J404" s="603">
        <v>-15000000</v>
      </c>
      <c r="K404" s="603">
        <v>-15000000</v>
      </c>
      <c r="L404" s="603">
        <v>-15000000</v>
      </c>
      <c r="M404" s="603">
        <v>-15000000</v>
      </c>
      <c r="N404" s="603">
        <v>-15000000</v>
      </c>
      <c r="O404" s="603">
        <v>0</v>
      </c>
      <c r="P404" s="603">
        <v>0</v>
      </c>
      <c r="Q404" s="603">
        <v>0</v>
      </c>
      <c r="R404" s="603">
        <v>0</v>
      </c>
      <c r="S404" s="484">
        <f t="shared" si="82"/>
        <v>-10625000</v>
      </c>
      <c r="T404" s="604"/>
      <c r="U404" s="642"/>
      <c r="V404" s="679"/>
      <c r="W404" s="679">
        <f t="shared" si="84"/>
        <v>-10625000</v>
      </c>
      <c r="X404" s="702"/>
      <c r="Y404" s="679"/>
      <c r="Z404" s="679"/>
      <c r="AA404" s="642"/>
      <c r="AB404" s="679"/>
      <c r="AC404" s="644">
        <f t="shared" si="85"/>
        <v>-10625000</v>
      </c>
      <c r="AD404" s="643"/>
      <c r="AE404" s="643"/>
      <c r="AF404" s="677">
        <f t="shared" si="73"/>
        <v>0</v>
      </c>
    </row>
    <row r="405" spans="1:32">
      <c r="A405" s="604">
        <v>393</v>
      </c>
      <c r="B405" s="316" t="s">
        <v>956</v>
      </c>
      <c r="C405" s="316" t="s">
        <v>559</v>
      </c>
      <c r="D405" s="316" t="s">
        <v>468</v>
      </c>
      <c r="E405" s="593" t="s">
        <v>564</v>
      </c>
      <c r="F405" s="603">
        <v>-40000000</v>
      </c>
      <c r="G405" s="603">
        <v>-40000000</v>
      </c>
      <c r="H405" s="603">
        <v>-40000000</v>
      </c>
      <c r="I405" s="603">
        <v>-40000000</v>
      </c>
      <c r="J405" s="603">
        <v>-40000000</v>
      </c>
      <c r="K405" s="603">
        <v>-40000000</v>
      </c>
      <c r="L405" s="603">
        <v>-40000000</v>
      </c>
      <c r="M405" s="603">
        <v>-40000000</v>
      </c>
      <c r="N405" s="603">
        <v>-40000000</v>
      </c>
      <c r="O405" s="603">
        <v>-40000000</v>
      </c>
      <c r="P405" s="603">
        <v>-40000000</v>
      </c>
      <c r="Q405" s="603">
        <v>-40000000</v>
      </c>
      <c r="R405" s="603">
        <v>-40000000</v>
      </c>
      <c r="S405" s="484">
        <f t="shared" si="82"/>
        <v>-40000000</v>
      </c>
      <c r="T405" s="604"/>
      <c r="U405" s="642"/>
      <c r="V405" s="679"/>
      <c r="W405" s="679">
        <f t="shared" si="84"/>
        <v>-40000000</v>
      </c>
      <c r="X405" s="702"/>
      <c r="Y405" s="679"/>
      <c r="Z405" s="679"/>
      <c r="AA405" s="642"/>
      <c r="AB405" s="679"/>
      <c r="AC405" s="644">
        <f t="shared" si="85"/>
        <v>-40000000</v>
      </c>
      <c r="AD405" s="643"/>
      <c r="AE405" s="643"/>
      <c r="AF405" s="677">
        <f t="shared" si="73"/>
        <v>0</v>
      </c>
    </row>
    <row r="406" spans="1:32">
      <c r="A406" s="604">
        <v>394</v>
      </c>
      <c r="B406" s="316" t="s">
        <v>956</v>
      </c>
      <c r="C406" s="316" t="s">
        <v>559</v>
      </c>
      <c r="D406" s="316" t="s">
        <v>470</v>
      </c>
      <c r="E406" s="528" t="s">
        <v>565</v>
      </c>
      <c r="F406" s="603">
        <v>-25000000</v>
      </c>
      <c r="G406" s="603">
        <v>-25000000</v>
      </c>
      <c r="H406" s="603">
        <v>-25000000</v>
      </c>
      <c r="I406" s="603">
        <v>-25000000</v>
      </c>
      <c r="J406" s="603">
        <v>-25000000</v>
      </c>
      <c r="K406" s="603">
        <v>-25000000</v>
      </c>
      <c r="L406" s="603">
        <v>-25000000</v>
      </c>
      <c r="M406" s="603">
        <v>-25000000</v>
      </c>
      <c r="N406" s="603">
        <v>-25000000</v>
      </c>
      <c r="O406" s="603">
        <v>-25000000</v>
      </c>
      <c r="P406" s="603">
        <v>-25000000</v>
      </c>
      <c r="Q406" s="603">
        <v>-25000000</v>
      </c>
      <c r="R406" s="603">
        <v>-25000000</v>
      </c>
      <c r="S406" s="484">
        <f t="shared" si="82"/>
        <v>-25000000</v>
      </c>
      <c r="T406" s="604"/>
      <c r="U406" s="642"/>
      <c r="V406" s="679"/>
      <c r="W406" s="679">
        <f t="shared" si="84"/>
        <v>-25000000</v>
      </c>
      <c r="X406" s="702"/>
      <c r="Y406" s="679"/>
      <c r="Z406" s="679"/>
      <c r="AA406" s="642"/>
      <c r="AB406" s="679"/>
      <c r="AC406" s="644">
        <f t="shared" si="85"/>
        <v>-25000000</v>
      </c>
      <c r="AD406" s="643"/>
      <c r="AE406" s="643"/>
      <c r="AF406" s="677">
        <f t="shared" si="73"/>
        <v>0</v>
      </c>
    </row>
    <row r="407" spans="1:32">
      <c r="A407" s="604">
        <v>395</v>
      </c>
      <c r="B407" s="316" t="s">
        <v>956</v>
      </c>
      <c r="C407" s="316" t="s">
        <v>559</v>
      </c>
      <c r="D407" s="316" t="s">
        <v>472</v>
      </c>
      <c r="E407" s="528" t="s">
        <v>566</v>
      </c>
      <c r="F407" s="603">
        <v>-25000000</v>
      </c>
      <c r="G407" s="603">
        <v>-25000000</v>
      </c>
      <c r="H407" s="603">
        <v>-25000000</v>
      </c>
      <c r="I407" s="603">
        <v>-25000000</v>
      </c>
      <c r="J407" s="603">
        <v>-25000000</v>
      </c>
      <c r="K407" s="603">
        <v>-25000000</v>
      </c>
      <c r="L407" s="603">
        <v>-25000000</v>
      </c>
      <c r="M407" s="603">
        <v>-25000000</v>
      </c>
      <c r="N407" s="603">
        <v>-25000000</v>
      </c>
      <c r="O407" s="603">
        <v>-25000000</v>
      </c>
      <c r="P407" s="603">
        <v>-25000000</v>
      </c>
      <c r="Q407" s="603">
        <v>-25000000</v>
      </c>
      <c r="R407" s="603">
        <v>-25000000</v>
      </c>
      <c r="S407" s="484">
        <f t="shared" si="82"/>
        <v>-25000000</v>
      </c>
      <c r="T407" s="604"/>
      <c r="U407" s="642"/>
      <c r="V407" s="679"/>
      <c r="W407" s="679">
        <f t="shared" si="84"/>
        <v>-25000000</v>
      </c>
      <c r="X407" s="702"/>
      <c r="Y407" s="679"/>
      <c r="Z407" s="679"/>
      <c r="AA407" s="642"/>
      <c r="AB407" s="679"/>
      <c r="AC407" s="644">
        <f t="shared" si="85"/>
        <v>-25000000</v>
      </c>
      <c r="AD407" s="643"/>
      <c r="AE407" s="643"/>
      <c r="AF407" s="677">
        <f t="shared" si="73"/>
        <v>0</v>
      </c>
    </row>
    <row r="408" spans="1:32">
      <c r="A408" s="604">
        <v>396</v>
      </c>
      <c r="B408" s="316" t="s">
        <v>956</v>
      </c>
      <c r="C408" s="316" t="s">
        <v>559</v>
      </c>
      <c r="D408" s="316" t="s">
        <v>475</v>
      </c>
      <c r="E408" s="528" t="s">
        <v>1638</v>
      </c>
      <c r="F408" s="603">
        <v>-12500000</v>
      </c>
      <c r="G408" s="603">
        <v>-12500000</v>
      </c>
      <c r="H408" s="603">
        <v>-12500000</v>
      </c>
      <c r="I408" s="603">
        <v>-12500000</v>
      </c>
      <c r="J408" s="603">
        <v>-12500000</v>
      </c>
      <c r="K408" s="603">
        <v>-12500000</v>
      </c>
      <c r="L408" s="603">
        <v>-12500000</v>
      </c>
      <c r="M408" s="603">
        <v>-12500000</v>
      </c>
      <c r="N408" s="603">
        <v>-12500000</v>
      </c>
      <c r="O408" s="603">
        <v>-12500000</v>
      </c>
      <c r="P408" s="603">
        <v>-12500000</v>
      </c>
      <c r="Q408" s="603">
        <v>-12500000</v>
      </c>
      <c r="R408" s="603">
        <v>-12500000</v>
      </c>
      <c r="S408" s="484">
        <f t="shared" si="82"/>
        <v>-12500000</v>
      </c>
      <c r="T408" s="604"/>
      <c r="U408" s="642"/>
      <c r="V408" s="679"/>
      <c r="W408" s="679">
        <f t="shared" si="84"/>
        <v>-12500000</v>
      </c>
      <c r="X408" s="702"/>
      <c r="Y408" s="679"/>
      <c r="Z408" s="679"/>
      <c r="AA408" s="642"/>
      <c r="AB408" s="679"/>
      <c r="AC408" s="644">
        <f t="shared" si="85"/>
        <v>-12500000</v>
      </c>
      <c r="AD408" s="643"/>
      <c r="AE408" s="643"/>
      <c r="AF408" s="677">
        <f t="shared" si="73"/>
        <v>0</v>
      </c>
    </row>
    <row r="409" spans="1:32">
      <c r="A409" s="604">
        <v>397</v>
      </c>
      <c r="B409" s="316" t="s">
        <v>956</v>
      </c>
      <c r="C409" s="316" t="s">
        <v>559</v>
      </c>
      <c r="D409" s="316" t="s">
        <v>476</v>
      </c>
      <c r="E409" s="528" t="s">
        <v>1639</v>
      </c>
      <c r="F409" s="603">
        <v>-12500000</v>
      </c>
      <c r="G409" s="603">
        <v>-12500000</v>
      </c>
      <c r="H409" s="603">
        <v>-12500000</v>
      </c>
      <c r="I409" s="603">
        <v>-12500000</v>
      </c>
      <c r="J409" s="603">
        <v>-12500000</v>
      </c>
      <c r="K409" s="603">
        <v>-12500000</v>
      </c>
      <c r="L409" s="603">
        <v>-12500000</v>
      </c>
      <c r="M409" s="603">
        <v>-12500000</v>
      </c>
      <c r="N409" s="603">
        <v>-12500000</v>
      </c>
      <c r="O409" s="603">
        <v>-12500000</v>
      </c>
      <c r="P409" s="603">
        <v>-12500000</v>
      </c>
      <c r="Q409" s="603">
        <v>-12500000</v>
      </c>
      <c r="R409" s="603">
        <v>-12500000</v>
      </c>
      <c r="S409" s="484">
        <f t="shared" si="82"/>
        <v>-12500000</v>
      </c>
      <c r="T409" s="604"/>
      <c r="U409" s="642"/>
      <c r="V409" s="679"/>
      <c r="W409" s="679">
        <f t="shared" si="84"/>
        <v>-12500000</v>
      </c>
      <c r="X409" s="702"/>
      <c r="Y409" s="679"/>
      <c r="Z409" s="679"/>
      <c r="AA409" s="642"/>
      <c r="AB409" s="679"/>
      <c r="AC409" s="644">
        <f t="shared" si="85"/>
        <v>-12500000</v>
      </c>
      <c r="AD409" s="643"/>
      <c r="AE409" s="643"/>
      <c r="AF409" s="677">
        <f t="shared" si="73"/>
        <v>0</v>
      </c>
    </row>
    <row r="410" spans="1:32">
      <c r="A410" s="604">
        <v>398</v>
      </c>
      <c r="B410" s="316" t="s">
        <v>956</v>
      </c>
      <c r="C410" s="316" t="s">
        <v>559</v>
      </c>
      <c r="D410" s="316" t="s">
        <v>477</v>
      </c>
      <c r="E410" s="528" t="s">
        <v>1640</v>
      </c>
      <c r="F410" s="603">
        <v>-12500000</v>
      </c>
      <c r="G410" s="603">
        <v>-12500000</v>
      </c>
      <c r="H410" s="603">
        <v>-12500000</v>
      </c>
      <c r="I410" s="603">
        <v>-12500000</v>
      </c>
      <c r="J410" s="603">
        <v>-12500000</v>
      </c>
      <c r="K410" s="603">
        <v>-12500000</v>
      </c>
      <c r="L410" s="603">
        <v>-12500000</v>
      </c>
      <c r="M410" s="603">
        <v>-12500000</v>
      </c>
      <c r="N410" s="603">
        <v>-12500000</v>
      </c>
      <c r="O410" s="603">
        <v>-12500000</v>
      </c>
      <c r="P410" s="603">
        <v>-12500000</v>
      </c>
      <c r="Q410" s="603">
        <v>-12500000</v>
      </c>
      <c r="R410" s="603">
        <v>-12500000</v>
      </c>
      <c r="S410" s="484">
        <f t="shared" si="82"/>
        <v>-12500000</v>
      </c>
      <c r="T410" s="604"/>
      <c r="U410" s="642"/>
      <c r="V410" s="679"/>
      <c r="W410" s="679">
        <f t="shared" si="84"/>
        <v>-12500000</v>
      </c>
      <c r="X410" s="702"/>
      <c r="Y410" s="679"/>
      <c r="Z410" s="679"/>
      <c r="AA410" s="642"/>
      <c r="AB410" s="679"/>
      <c r="AC410" s="644">
        <f t="shared" si="85"/>
        <v>-12500000</v>
      </c>
      <c r="AD410" s="643"/>
      <c r="AE410" s="643"/>
      <c r="AF410" s="677">
        <f t="shared" si="73"/>
        <v>0</v>
      </c>
    </row>
    <row r="411" spans="1:32">
      <c r="A411" s="604">
        <v>399</v>
      </c>
      <c r="B411" s="316" t="s">
        <v>956</v>
      </c>
      <c r="C411" s="316" t="s">
        <v>559</v>
      </c>
      <c r="D411" s="316" t="s">
        <v>478</v>
      </c>
      <c r="E411" s="528" t="s">
        <v>1641</v>
      </c>
      <c r="F411" s="603">
        <v>-12500000</v>
      </c>
      <c r="G411" s="603">
        <v>-12500000</v>
      </c>
      <c r="H411" s="603">
        <v>-12500000</v>
      </c>
      <c r="I411" s="603">
        <v>-12500000</v>
      </c>
      <c r="J411" s="603">
        <v>-12500000</v>
      </c>
      <c r="K411" s="603">
        <v>-12500000</v>
      </c>
      <c r="L411" s="603">
        <v>-12500000</v>
      </c>
      <c r="M411" s="603">
        <v>-12500000</v>
      </c>
      <c r="N411" s="603">
        <v>-12500000</v>
      </c>
      <c r="O411" s="603">
        <v>-12500000</v>
      </c>
      <c r="P411" s="603">
        <v>-12500000</v>
      </c>
      <c r="Q411" s="603">
        <v>-12500000</v>
      </c>
      <c r="R411" s="603">
        <v>-12500000</v>
      </c>
      <c r="S411" s="484">
        <f t="shared" si="82"/>
        <v>-12500000</v>
      </c>
      <c r="T411" s="604"/>
      <c r="U411" s="642"/>
      <c r="V411" s="679"/>
      <c r="W411" s="679">
        <f t="shared" si="84"/>
        <v>-12500000</v>
      </c>
      <c r="X411" s="702"/>
      <c r="Y411" s="679"/>
      <c r="Z411" s="679"/>
      <c r="AA411" s="642"/>
      <c r="AB411" s="679"/>
      <c r="AC411" s="644">
        <f t="shared" si="85"/>
        <v>-12500000</v>
      </c>
      <c r="AD411" s="643"/>
      <c r="AE411" s="643"/>
      <c r="AF411" s="677">
        <f t="shared" si="73"/>
        <v>0</v>
      </c>
    </row>
    <row r="412" spans="1:32">
      <c r="A412" s="604">
        <v>400</v>
      </c>
      <c r="B412" s="316" t="s">
        <v>956</v>
      </c>
      <c r="C412" s="316" t="s">
        <v>559</v>
      </c>
      <c r="D412" s="316" t="s">
        <v>1859</v>
      </c>
      <c r="E412" s="528" t="s">
        <v>1885</v>
      </c>
      <c r="F412" s="603">
        <v>0</v>
      </c>
      <c r="G412" s="603">
        <v>0</v>
      </c>
      <c r="H412" s="603">
        <v>0</v>
      </c>
      <c r="I412" s="603">
        <v>0</v>
      </c>
      <c r="J412" s="603">
        <v>0</v>
      </c>
      <c r="K412" s="603">
        <v>0</v>
      </c>
      <c r="L412" s="603">
        <v>-25000000</v>
      </c>
      <c r="M412" s="603">
        <v>-25000000</v>
      </c>
      <c r="N412" s="603">
        <v>-25000000</v>
      </c>
      <c r="O412" s="603">
        <v>-25000000</v>
      </c>
      <c r="P412" s="603">
        <v>-25000000</v>
      </c>
      <c r="Q412" s="603">
        <v>-25000000</v>
      </c>
      <c r="R412" s="603">
        <v>-25000000</v>
      </c>
      <c r="S412" s="484">
        <f t="shared" si="82"/>
        <v>-13541666.666666666</v>
      </c>
      <c r="T412" s="604"/>
      <c r="U412" s="642"/>
      <c r="V412" s="679"/>
      <c r="W412" s="679">
        <f t="shared" si="84"/>
        <v>-13541666.666666666</v>
      </c>
      <c r="X412" s="702"/>
      <c r="Y412" s="679"/>
      <c r="Z412" s="679"/>
      <c r="AA412" s="642"/>
      <c r="AB412" s="679"/>
      <c r="AC412" s="644">
        <f t="shared" si="85"/>
        <v>-13541666.666666666</v>
      </c>
      <c r="AD412" s="643"/>
      <c r="AE412" s="643"/>
      <c r="AF412" s="677"/>
    </row>
    <row r="413" spans="1:32">
      <c r="A413" s="604">
        <v>401</v>
      </c>
      <c r="B413" s="316" t="s">
        <v>956</v>
      </c>
      <c r="C413" s="316" t="s">
        <v>559</v>
      </c>
      <c r="D413" s="316" t="s">
        <v>1861</v>
      </c>
      <c r="E413" s="528" t="s">
        <v>1886</v>
      </c>
      <c r="F413" s="603">
        <v>0</v>
      </c>
      <c r="G413" s="603">
        <v>0</v>
      </c>
      <c r="H413" s="603">
        <v>0</v>
      </c>
      <c r="I413" s="603">
        <v>0</v>
      </c>
      <c r="J413" s="603">
        <v>0</v>
      </c>
      <c r="K413" s="603">
        <v>0</v>
      </c>
      <c r="L413" s="603">
        <v>-20000000</v>
      </c>
      <c r="M413" s="603">
        <v>-20000000</v>
      </c>
      <c r="N413" s="603">
        <v>-20000000</v>
      </c>
      <c r="O413" s="603">
        <v>-20000000</v>
      </c>
      <c r="P413" s="603">
        <v>-20000000</v>
      </c>
      <c r="Q413" s="603">
        <v>-20000000</v>
      </c>
      <c r="R413" s="603">
        <v>-20000000</v>
      </c>
      <c r="S413" s="484">
        <f t="shared" si="82"/>
        <v>-10833333.333333334</v>
      </c>
      <c r="T413" s="604"/>
      <c r="U413" s="642"/>
      <c r="V413" s="679"/>
      <c r="W413" s="679">
        <f t="shared" si="84"/>
        <v>-10833333.333333334</v>
      </c>
      <c r="X413" s="702"/>
      <c r="Y413" s="679"/>
      <c r="Z413" s="679"/>
      <c r="AA413" s="642"/>
      <c r="AB413" s="679"/>
      <c r="AC413" s="644">
        <f t="shared" si="85"/>
        <v>-10833333.333333334</v>
      </c>
      <c r="AD413" s="643"/>
      <c r="AE413" s="643"/>
      <c r="AF413" s="677"/>
    </row>
    <row r="414" spans="1:32">
      <c r="A414" s="604">
        <v>402</v>
      </c>
      <c r="B414" s="316" t="s">
        <v>956</v>
      </c>
      <c r="C414" s="316" t="s">
        <v>559</v>
      </c>
      <c r="D414" s="316" t="s">
        <v>1863</v>
      </c>
      <c r="E414" s="528" t="s">
        <v>1887</v>
      </c>
      <c r="F414" s="603">
        <v>0</v>
      </c>
      <c r="G414" s="603">
        <v>0</v>
      </c>
      <c r="H414" s="603">
        <v>0</v>
      </c>
      <c r="I414" s="603">
        <v>0</v>
      </c>
      <c r="J414" s="603">
        <v>0</v>
      </c>
      <c r="K414" s="603">
        <v>0</v>
      </c>
      <c r="L414" s="603">
        <v>-30000000</v>
      </c>
      <c r="M414" s="603">
        <v>-30000000</v>
      </c>
      <c r="N414" s="603">
        <v>-30000000</v>
      </c>
      <c r="O414" s="603">
        <v>-30000000</v>
      </c>
      <c r="P414" s="603">
        <v>-30000000</v>
      </c>
      <c r="Q414" s="603">
        <v>-30000000</v>
      </c>
      <c r="R414" s="603">
        <v>-30000000</v>
      </c>
      <c r="S414" s="484">
        <f t="shared" si="82"/>
        <v>-16250000</v>
      </c>
      <c r="T414" s="604"/>
      <c r="U414" s="642"/>
      <c r="V414" s="679"/>
      <c r="W414" s="679">
        <f t="shared" si="84"/>
        <v>-16250000</v>
      </c>
      <c r="X414" s="702"/>
      <c r="Y414" s="679"/>
      <c r="Z414" s="679"/>
      <c r="AA414" s="642"/>
      <c r="AB414" s="679"/>
      <c r="AC414" s="644">
        <f t="shared" si="85"/>
        <v>-16250000</v>
      </c>
      <c r="AD414" s="643"/>
      <c r="AE414" s="643"/>
      <c r="AF414" s="677"/>
    </row>
    <row r="415" spans="1:32">
      <c r="A415" s="604">
        <v>403</v>
      </c>
      <c r="B415" s="316" t="s">
        <v>1844</v>
      </c>
      <c r="C415" s="316" t="s">
        <v>559</v>
      </c>
      <c r="D415" s="316" t="s">
        <v>369</v>
      </c>
      <c r="E415" s="528" t="s">
        <v>717</v>
      </c>
      <c r="F415" s="603">
        <v>0</v>
      </c>
      <c r="G415" s="603">
        <v>1515906.26</v>
      </c>
      <c r="H415" s="603">
        <v>1505331.72</v>
      </c>
      <c r="I415" s="603">
        <v>1495453.58</v>
      </c>
      <c r="J415" s="603">
        <v>1485575.44</v>
      </c>
      <c r="K415" s="603">
        <v>1485511.11</v>
      </c>
      <c r="L415" s="603">
        <v>1816372.27</v>
      </c>
      <c r="M415" s="603">
        <v>1829467.33</v>
      </c>
      <c r="N415" s="603">
        <v>1821810</v>
      </c>
      <c r="O415" s="603">
        <v>1809880.74</v>
      </c>
      <c r="P415" s="603">
        <v>1797951.48</v>
      </c>
      <c r="Q415" s="603">
        <v>1785197.07</v>
      </c>
      <c r="R415" s="603">
        <v>1773272.34</v>
      </c>
      <c r="S415" s="484">
        <f t="shared" si="82"/>
        <v>1602924.4308333334</v>
      </c>
      <c r="T415" s="604"/>
      <c r="U415" s="642">
        <f>+S415</f>
        <v>1602924.4308333334</v>
      </c>
      <c r="V415" s="679"/>
      <c r="W415" s="679"/>
      <c r="X415" s="702"/>
      <c r="Y415" s="679"/>
      <c r="Z415" s="679"/>
      <c r="AA415" s="642"/>
      <c r="AB415" s="679"/>
      <c r="AC415" s="644"/>
      <c r="AD415" s="644">
        <f>+S415</f>
        <v>1602924.4308333334</v>
      </c>
      <c r="AE415" s="643"/>
      <c r="AF415" s="677"/>
    </row>
    <row r="416" spans="1:32">
      <c r="A416" s="604">
        <v>404</v>
      </c>
      <c r="B416" s="316" t="s">
        <v>956</v>
      </c>
      <c r="C416" s="316" t="s">
        <v>559</v>
      </c>
      <c r="D416" s="316" t="s">
        <v>716</v>
      </c>
      <c r="E416" s="528" t="s">
        <v>717</v>
      </c>
      <c r="F416" s="603">
        <v>1525788.02</v>
      </c>
      <c r="G416" s="603">
        <v>0</v>
      </c>
      <c r="H416" s="603">
        <v>0</v>
      </c>
      <c r="I416" s="603">
        <v>0</v>
      </c>
      <c r="J416" s="603">
        <v>0</v>
      </c>
      <c r="K416" s="603">
        <v>0</v>
      </c>
      <c r="L416" s="603">
        <v>0</v>
      </c>
      <c r="M416" s="603">
        <v>0</v>
      </c>
      <c r="N416" s="603">
        <v>0</v>
      </c>
      <c r="O416" s="603">
        <v>0</v>
      </c>
      <c r="P416" s="603">
        <v>0</v>
      </c>
      <c r="Q416" s="603">
        <v>0</v>
      </c>
      <c r="R416" s="603">
        <v>0</v>
      </c>
      <c r="S416" s="484">
        <f t="shared" si="82"/>
        <v>63574.500833333332</v>
      </c>
      <c r="T416" s="604"/>
      <c r="U416" s="642">
        <f>+S416</f>
        <v>63574.500833333332</v>
      </c>
      <c r="V416" s="679"/>
      <c r="W416" s="679"/>
      <c r="X416" s="702"/>
      <c r="Y416" s="679"/>
      <c r="Z416" s="679"/>
      <c r="AA416" s="642"/>
      <c r="AB416" s="679"/>
      <c r="AD416" s="644">
        <f>+S416</f>
        <v>63574.500833333332</v>
      </c>
      <c r="AE416" s="643"/>
      <c r="AF416" s="677" t="e">
        <f>+U416+V416-#REF!</f>
        <v>#REF!</v>
      </c>
    </row>
    <row r="417" spans="1:32">
      <c r="A417" s="604">
        <v>405</v>
      </c>
      <c r="B417" s="316" t="s">
        <v>956</v>
      </c>
      <c r="C417" s="316" t="s">
        <v>1888</v>
      </c>
      <c r="D417" s="316" t="s">
        <v>466</v>
      </c>
      <c r="E417" s="528" t="s">
        <v>1889</v>
      </c>
      <c r="F417" s="603">
        <v>0</v>
      </c>
      <c r="G417" s="603">
        <v>0</v>
      </c>
      <c r="H417" s="603">
        <v>0</v>
      </c>
      <c r="I417" s="603">
        <v>0</v>
      </c>
      <c r="J417" s="603">
        <v>0</v>
      </c>
      <c r="K417" s="603">
        <v>0</v>
      </c>
      <c r="L417" s="603">
        <v>0</v>
      </c>
      <c r="M417" s="603">
        <v>0</v>
      </c>
      <c r="N417" s="603">
        <v>0</v>
      </c>
      <c r="O417" s="603">
        <v>-15000000</v>
      </c>
      <c r="P417" s="603">
        <v>-15000000</v>
      </c>
      <c r="Q417" s="603">
        <v>-15000000</v>
      </c>
      <c r="R417" s="603">
        <v>-15000000</v>
      </c>
      <c r="S417" s="484">
        <f t="shared" si="82"/>
        <v>-4375000</v>
      </c>
      <c r="T417" s="604"/>
      <c r="U417" s="642"/>
      <c r="V417" s="679"/>
      <c r="W417" s="679">
        <f t="shared" si="84"/>
        <v>-4375000</v>
      </c>
      <c r="X417" s="702"/>
      <c r="Y417" s="679"/>
      <c r="Z417" s="679"/>
      <c r="AA417" s="642"/>
      <c r="AB417" s="679"/>
      <c r="AC417" s="644">
        <f>+W417</f>
        <v>-4375000</v>
      </c>
      <c r="AD417" s="643"/>
      <c r="AE417" s="643"/>
      <c r="AF417" s="677"/>
    </row>
    <row r="418" spans="1:32">
      <c r="A418" s="604">
        <v>406</v>
      </c>
      <c r="B418" s="316" t="s">
        <v>956</v>
      </c>
      <c r="C418" s="316" t="s">
        <v>569</v>
      </c>
      <c r="D418" s="316" t="s">
        <v>450</v>
      </c>
      <c r="E418" s="595" t="s">
        <v>570</v>
      </c>
      <c r="F418" s="303">
        <v>-53850000</v>
      </c>
      <c r="G418" s="303">
        <v>-52050000</v>
      </c>
      <c r="H418" s="303">
        <v>-54600000</v>
      </c>
      <c r="I418" s="303">
        <v>-31700000</v>
      </c>
      <c r="J418" s="303">
        <v>-57700000</v>
      </c>
      <c r="K418" s="303">
        <v>-54000000</v>
      </c>
      <c r="L418" s="303">
        <v>-11075000</v>
      </c>
      <c r="M418" s="303">
        <v>-12000000</v>
      </c>
      <c r="N418" s="303">
        <v>-24300000</v>
      </c>
      <c r="O418" s="303">
        <v>-8900000</v>
      </c>
      <c r="P418" s="303">
        <v>-12650000</v>
      </c>
      <c r="Q418" s="303">
        <v>-15100000</v>
      </c>
      <c r="R418" s="303">
        <v>-64600000</v>
      </c>
      <c r="S418" s="706">
        <f>((F418+R418)+((G418+H418+I418+J418+K418+L418+M418+N418+O418+P418+Q418)*2))/24</f>
        <v>-32775000</v>
      </c>
      <c r="T418" s="604"/>
      <c r="U418" s="642"/>
      <c r="V418" s="679"/>
      <c r="W418" s="679">
        <f t="shared" si="84"/>
        <v>-32775000</v>
      </c>
      <c r="X418" s="702"/>
      <c r="Y418" s="679"/>
      <c r="Z418" s="679"/>
      <c r="AA418" s="642"/>
      <c r="AB418" s="679"/>
      <c r="AC418" s="644">
        <f t="shared" si="85"/>
        <v>-32775000</v>
      </c>
      <c r="AD418" s="643"/>
      <c r="AE418" s="643"/>
      <c r="AF418" s="677">
        <f t="shared" si="73"/>
        <v>0</v>
      </c>
    </row>
    <row r="419" spans="1:32">
      <c r="A419" s="604">
        <v>407</v>
      </c>
      <c r="B419" s="604"/>
      <c r="C419" s="604"/>
      <c r="D419" s="604"/>
      <c r="E419" s="589" t="s">
        <v>571</v>
      </c>
      <c r="F419" s="295">
        <f t="shared" ref="F419:S419" si="86">SUM(F401:F418)</f>
        <v>-266685211.97999999</v>
      </c>
      <c r="G419" s="295">
        <f t="shared" si="86"/>
        <v>-264895093.74000001</v>
      </c>
      <c r="H419" s="295">
        <f t="shared" si="86"/>
        <v>-267435668.28</v>
      </c>
      <c r="I419" s="295">
        <f t="shared" si="86"/>
        <v>-244545546.41999999</v>
      </c>
      <c r="J419" s="295">
        <f t="shared" si="86"/>
        <v>-270555424.56</v>
      </c>
      <c r="K419" s="295">
        <f t="shared" si="86"/>
        <v>-266763488.88999999</v>
      </c>
      <c r="L419" s="295">
        <f t="shared" si="86"/>
        <v>-298507627.73000002</v>
      </c>
      <c r="M419" s="295">
        <f t="shared" si="86"/>
        <v>-299419532.67000002</v>
      </c>
      <c r="N419" s="295">
        <f t="shared" si="86"/>
        <v>-311717190</v>
      </c>
      <c r="O419" s="295">
        <f t="shared" si="86"/>
        <v>-296329119.25999999</v>
      </c>
      <c r="P419" s="295">
        <f t="shared" si="86"/>
        <v>-300091048.51999998</v>
      </c>
      <c r="Q419" s="295">
        <f t="shared" si="86"/>
        <v>-302528802.93000001</v>
      </c>
      <c r="R419" s="295">
        <f t="shared" si="86"/>
        <v>-352040727.66000003</v>
      </c>
      <c r="S419" s="295">
        <f t="shared" si="86"/>
        <v>-286012626.06833333</v>
      </c>
      <c r="T419" s="604"/>
      <c r="U419" s="642"/>
      <c r="V419" s="679"/>
      <c r="W419" s="679"/>
      <c r="X419" s="702"/>
      <c r="Y419" s="679"/>
      <c r="Z419" s="679"/>
      <c r="AA419" s="642"/>
      <c r="AB419" s="679"/>
      <c r="AC419" s="643"/>
      <c r="AD419" s="643"/>
      <c r="AE419" s="643"/>
      <c r="AF419" s="677">
        <f t="shared" si="73"/>
        <v>0</v>
      </c>
    </row>
    <row r="420" spans="1:32">
      <c r="A420" s="604">
        <v>408</v>
      </c>
      <c r="B420" s="604"/>
      <c r="C420" s="604"/>
      <c r="D420" s="604"/>
      <c r="E420" s="589"/>
      <c r="F420" s="603"/>
      <c r="G420" s="314"/>
      <c r="H420" s="305"/>
      <c r="I420" s="305"/>
      <c r="J420" s="306"/>
      <c r="K420" s="307"/>
      <c r="L420" s="308"/>
      <c r="M420" s="309"/>
      <c r="N420" s="310"/>
      <c r="O420" s="590"/>
      <c r="P420" s="311"/>
      <c r="Q420" s="315"/>
      <c r="R420" s="603"/>
      <c r="S420" s="487">
        <f>((F420+R420)+((G420+H420+I420+J420+K420+L420+M420+N420+O420+P420+Q420)*2))/24</f>
        <v>0</v>
      </c>
      <c r="T420" s="604"/>
      <c r="U420" s="642"/>
      <c r="V420" s="679"/>
      <c r="W420" s="679"/>
      <c r="X420" s="702"/>
      <c r="Y420" s="679"/>
      <c r="Z420" s="679"/>
      <c r="AA420" s="642"/>
      <c r="AB420" s="679"/>
      <c r="AC420" s="643"/>
      <c r="AD420" s="643"/>
      <c r="AE420" s="643"/>
      <c r="AF420" s="677">
        <f t="shared" si="73"/>
        <v>0</v>
      </c>
    </row>
    <row r="421" spans="1:32">
      <c r="A421" s="604">
        <v>409</v>
      </c>
      <c r="B421" s="604" t="s">
        <v>1844</v>
      </c>
      <c r="C421" s="604" t="s">
        <v>1890</v>
      </c>
      <c r="D421" s="604" t="s">
        <v>1891</v>
      </c>
      <c r="E421" s="589" t="s">
        <v>1892</v>
      </c>
      <c r="F421" s="603">
        <v>0</v>
      </c>
      <c r="G421" s="314">
        <v>0</v>
      </c>
      <c r="H421" s="305">
        <v>-206053.78</v>
      </c>
      <c r="I421" s="305">
        <v>-199317.51</v>
      </c>
      <c r="J421" s="306">
        <v>-193785.08</v>
      </c>
      <c r="K421" s="307">
        <v>-188235.46</v>
      </c>
      <c r="L421" s="308">
        <v>-183548.05</v>
      </c>
      <c r="M421" s="309">
        <v>-170533.22</v>
      </c>
      <c r="N421" s="310">
        <v>-167018.01</v>
      </c>
      <c r="O421" s="590">
        <v>-162266.29999999999</v>
      </c>
      <c r="P421" s="311">
        <v>-159196.99</v>
      </c>
      <c r="Q421" s="315">
        <v>-156117.07</v>
      </c>
      <c r="R421" s="603">
        <v>-150363.85</v>
      </c>
      <c r="S421" s="487">
        <f>((F421+R421)+((G421+H421+I421+J421+K421+L421+M421+N421+O421+P421+Q421)*2))/24</f>
        <v>-155104.44958333333</v>
      </c>
      <c r="T421" s="604"/>
      <c r="U421" s="642"/>
      <c r="V421" s="679">
        <f>+S421</f>
        <v>-155104.44958333333</v>
      </c>
      <c r="W421" s="679"/>
      <c r="X421" s="702"/>
      <c r="Y421" s="679"/>
      <c r="Z421" s="679"/>
      <c r="AA421" s="642"/>
      <c r="AB421" s="679"/>
      <c r="AC421" s="643"/>
      <c r="AD421" s="644">
        <f>+V421</f>
        <v>-155104.44958333333</v>
      </c>
      <c r="AE421" s="643"/>
      <c r="AF421" s="677"/>
    </row>
    <row r="422" spans="1:32">
      <c r="A422" s="604">
        <v>410</v>
      </c>
      <c r="B422" s="604" t="s">
        <v>1844</v>
      </c>
      <c r="C422" s="604" t="s">
        <v>1890</v>
      </c>
      <c r="D422" s="604" t="s">
        <v>1893</v>
      </c>
      <c r="E422" s="589" t="s">
        <v>1894</v>
      </c>
      <c r="F422" s="603">
        <v>0</v>
      </c>
      <c r="G422" s="314">
        <v>0</v>
      </c>
      <c r="H422" s="305">
        <v>0</v>
      </c>
      <c r="I422" s="305">
        <v>0</v>
      </c>
      <c r="J422" s="306">
        <v>0</v>
      </c>
      <c r="K422" s="307">
        <v>0</v>
      </c>
      <c r="L422" s="308">
        <v>0</v>
      </c>
      <c r="M422" s="309">
        <v>0</v>
      </c>
      <c r="N422" s="310">
        <v>0</v>
      </c>
      <c r="O422" s="590">
        <v>0</v>
      </c>
      <c r="P422" s="311">
        <v>0</v>
      </c>
      <c r="Q422" s="315">
        <v>0</v>
      </c>
      <c r="R422" s="603">
        <v>0</v>
      </c>
      <c r="S422" s="487">
        <f>((F422+R422)+((G422+H422+I422+J422+K422+L422+M422+N422+O422+P422+Q422)*2))/24</f>
        <v>0</v>
      </c>
      <c r="T422" s="604"/>
      <c r="U422" s="642"/>
      <c r="V422" s="679"/>
      <c r="W422" s="679"/>
      <c r="X422" s="702"/>
      <c r="Y422" s="679"/>
      <c r="Z422" s="679"/>
      <c r="AA422" s="642"/>
      <c r="AB422" s="679"/>
      <c r="AC422" s="643"/>
      <c r="AD422" s="643"/>
      <c r="AE422" s="643"/>
      <c r="AF422" s="677"/>
    </row>
    <row r="423" spans="1:32">
      <c r="A423" s="604">
        <v>411</v>
      </c>
      <c r="B423" s="604"/>
      <c r="C423" s="604"/>
      <c r="D423" s="604"/>
      <c r="E423" s="589"/>
      <c r="F423" s="603"/>
      <c r="G423" s="314"/>
      <c r="H423" s="305"/>
      <c r="I423" s="305"/>
      <c r="J423" s="306"/>
      <c r="K423" s="307"/>
      <c r="L423" s="308"/>
      <c r="M423" s="309"/>
      <c r="N423" s="310"/>
      <c r="O423" s="590"/>
      <c r="P423" s="311"/>
      <c r="Q423" s="315"/>
      <c r="R423" s="603"/>
      <c r="S423" s="294"/>
      <c r="T423" s="604"/>
      <c r="U423" s="642"/>
      <c r="V423" s="679"/>
      <c r="W423" s="679"/>
      <c r="X423" s="702"/>
      <c r="Y423" s="679"/>
      <c r="Z423" s="679"/>
      <c r="AA423" s="642"/>
      <c r="AB423" s="679"/>
      <c r="AC423" s="643"/>
      <c r="AD423" s="643"/>
      <c r="AE423" s="643"/>
      <c r="AF423" s="677"/>
    </row>
    <row r="424" spans="1:32">
      <c r="A424" s="604">
        <v>412</v>
      </c>
      <c r="B424" s="316" t="s">
        <v>956</v>
      </c>
      <c r="C424" s="316" t="s">
        <v>572</v>
      </c>
      <c r="D424" s="604" t="s">
        <v>369</v>
      </c>
      <c r="E424" s="589" t="s">
        <v>573</v>
      </c>
      <c r="F424" s="603">
        <v>0</v>
      </c>
      <c r="G424" s="603">
        <v>-30000000</v>
      </c>
      <c r="H424" s="603">
        <v>-30000000</v>
      </c>
      <c r="I424" s="603">
        <v>-70000000</v>
      </c>
      <c r="J424" s="603">
        <v>-70000000</v>
      </c>
      <c r="K424" s="603">
        <v>-70000000</v>
      </c>
      <c r="L424" s="603">
        <v>-40000000</v>
      </c>
      <c r="M424" s="603">
        <v>-40000000</v>
      </c>
      <c r="N424" s="603">
        <v>-40000000</v>
      </c>
      <c r="O424" s="603">
        <v>-40000000</v>
      </c>
      <c r="P424" s="603">
        <v>-40000000</v>
      </c>
      <c r="Q424" s="603">
        <v>-40000000</v>
      </c>
      <c r="R424" s="603">
        <v>0</v>
      </c>
      <c r="S424" s="294">
        <f t="shared" si="82"/>
        <v>-42500000</v>
      </c>
      <c r="T424" s="604"/>
      <c r="U424" s="642"/>
      <c r="V424" s="679"/>
      <c r="W424" s="679">
        <f>+S424</f>
        <v>-42500000</v>
      </c>
      <c r="X424" s="702"/>
      <c r="Y424" s="679"/>
      <c r="Z424" s="679"/>
      <c r="AA424" s="642"/>
      <c r="AB424" s="679"/>
      <c r="AC424" s="644">
        <f>+S424</f>
        <v>-42500000</v>
      </c>
      <c r="AD424" s="643"/>
      <c r="AE424" s="643"/>
      <c r="AF424" s="677">
        <f t="shared" si="73"/>
        <v>0</v>
      </c>
    </row>
    <row r="425" spans="1:32">
      <c r="A425" s="604">
        <v>413</v>
      </c>
      <c r="B425" s="316" t="s">
        <v>956</v>
      </c>
      <c r="C425" s="316" t="s">
        <v>574</v>
      </c>
      <c r="D425" s="316" t="s">
        <v>575</v>
      </c>
      <c r="E425" s="595" t="s">
        <v>576</v>
      </c>
      <c r="F425" s="603">
        <v>0</v>
      </c>
      <c r="G425" s="603">
        <v>0</v>
      </c>
      <c r="H425" s="603">
        <v>0</v>
      </c>
      <c r="I425" s="603">
        <v>0</v>
      </c>
      <c r="J425" s="603">
        <v>0</v>
      </c>
      <c r="K425" s="603">
        <v>0</v>
      </c>
      <c r="L425" s="603">
        <v>0</v>
      </c>
      <c r="M425" s="603">
        <v>0</v>
      </c>
      <c r="N425" s="603">
        <v>0</v>
      </c>
      <c r="O425" s="603">
        <v>0</v>
      </c>
      <c r="P425" s="603">
        <v>0</v>
      </c>
      <c r="Q425" s="603">
        <v>0</v>
      </c>
      <c r="R425" s="603">
        <v>0</v>
      </c>
      <c r="S425" s="294">
        <f t="shared" si="82"/>
        <v>0</v>
      </c>
      <c r="T425" s="604"/>
      <c r="U425" s="642"/>
      <c r="V425" s="679"/>
      <c r="W425" s="679">
        <f>+S425</f>
        <v>0</v>
      </c>
      <c r="X425" s="702"/>
      <c r="Y425" s="679"/>
      <c r="Z425" s="679"/>
      <c r="AA425" s="642"/>
      <c r="AB425" s="679"/>
      <c r="AC425" s="644">
        <f>+S425</f>
        <v>0</v>
      </c>
      <c r="AD425" s="643"/>
      <c r="AE425" s="643"/>
      <c r="AF425" s="677">
        <f t="shared" si="73"/>
        <v>0</v>
      </c>
    </row>
    <row r="426" spans="1:32">
      <c r="A426" s="604">
        <v>414</v>
      </c>
      <c r="B426" s="604"/>
      <c r="C426" s="604"/>
      <c r="D426" s="604"/>
      <c r="E426" s="589"/>
      <c r="F426" s="603"/>
      <c r="G426" s="314"/>
      <c r="H426" s="305"/>
      <c r="I426" s="305"/>
      <c r="J426" s="306"/>
      <c r="K426" s="307"/>
      <c r="L426" s="308"/>
      <c r="M426" s="309"/>
      <c r="N426" s="310"/>
      <c r="O426" s="590"/>
      <c r="P426" s="311"/>
      <c r="Q426" s="315"/>
      <c r="R426" s="603"/>
      <c r="S426" s="294"/>
      <c r="T426" s="604"/>
      <c r="U426" s="642"/>
      <c r="V426" s="679"/>
      <c r="W426" s="679"/>
      <c r="X426" s="702"/>
      <c r="Y426" s="679"/>
      <c r="Z426" s="679"/>
      <c r="AA426" s="642"/>
      <c r="AB426" s="679"/>
      <c r="AC426" s="643"/>
      <c r="AD426" s="643"/>
      <c r="AE426" s="643"/>
      <c r="AF426" s="677">
        <f t="shared" si="73"/>
        <v>0</v>
      </c>
    </row>
    <row r="427" spans="1:32">
      <c r="A427" s="604">
        <v>415</v>
      </c>
      <c r="B427" s="316" t="s">
        <v>956</v>
      </c>
      <c r="C427" s="316" t="s">
        <v>577</v>
      </c>
      <c r="D427" s="316" t="s">
        <v>515</v>
      </c>
      <c r="E427" s="589" t="s">
        <v>1642</v>
      </c>
      <c r="F427" s="603">
        <v>-6429388.5499999998</v>
      </c>
      <c r="G427" s="603">
        <v>-3052420.41</v>
      </c>
      <c r="H427" s="603">
        <v>-1738753.51</v>
      </c>
      <c r="I427" s="603">
        <v>-1658173.93</v>
      </c>
      <c r="J427" s="603">
        <v>-2409461.09</v>
      </c>
      <c r="K427" s="603">
        <v>-2747484.7</v>
      </c>
      <c r="L427" s="603">
        <v>-2696374.04</v>
      </c>
      <c r="M427" s="603">
        <v>-2878166.01</v>
      </c>
      <c r="N427" s="603">
        <v>-4328379.6399999997</v>
      </c>
      <c r="O427" s="603">
        <v>-3695293.5</v>
      </c>
      <c r="P427" s="603">
        <v>-3240152.14</v>
      </c>
      <c r="Q427" s="603">
        <v>-3867143.32</v>
      </c>
      <c r="R427" s="603">
        <v>-6520933.0099999998</v>
      </c>
      <c r="S427" s="484">
        <f t="shared" si="82"/>
        <v>-3232246.9224999999</v>
      </c>
      <c r="T427" s="604"/>
      <c r="U427" s="642"/>
      <c r="V427" s="679">
        <f t="shared" ref="V427:V440" si="87">+S427</f>
        <v>-3232246.9224999999</v>
      </c>
      <c r="W427" s="679"/>
      <c r="X427" s="702"/>
      <c r="Y427" s="679"/>
      <c r="Z427" s="679"/>
      <c r="AA427" s="642"/>
      <c r="AB427" s="679"/>
      <c r="AC427" s="643"/>
      <c r="AD427" s="644">
        <f t="shared" ref="AD427:AD441" si="88">+V427</f>
        <v>-3232246.9224999999</v>
      </c>
      <c r="AE427" s="643"/>
      <c r="AF427" s="677">
        <f t="shared" si="73"/>
        <v>0</v>
      </c>
    </row>
    <row r="428" spans="1:32">
      <c r="A428" s="604">
        <v>416</v>
      </c>
      <c r="B428" s="316" t="s">
        <v>956</v>
      </c>
      <c r="C428" s="316" t="s">
        <v>578</v>
      </c>
      <c r="D428" s="316" t="s">
        <v>718</v>
      </c>
      <c r="E428" s="598" t="s">
        <v>1643</v>
      </c>
      <c r="F428" s="603">
        <v>-557521.93999999994</v>
      </c>
      <c r="G428" s="603">
        <v>-336848.1</v>
      </c>
      <c r="H428" s="603">
        <v>-178970.22</v>
      </c>
      <c r="I428" s="603">
        <v>-326239.73</v>
      </c>
      <c r="J428" s="603">
        <v>-129589.75</v>
      </c>
      <c r="K428" s="603">
        <v>-163776.26</v>
      </c>
      <c r="L428" s="603">
        <v>-372115.42</v>
      </c>
      <c r="M428" s="603">
        <v>-361277.87</v>
      </c>
      <c r="N428" s="603">
        <v>-370995.73</v>
      </c>
      <c r="O428" s="603">
        <v>-474940.26</v>
      </c>
      <c r="P428" s="603">
        <v>-471474.43</v>
      </c>
      <c r="Q428" s="603">
        <v>-268582.7</v>
      </c>
      <c r="R428" s="603">
        <v>-440504.1</v>
      </c>
      <c r="S428" s="484">
        <f t="shared" si="82"/>
        <v>-329485.29083333333</v>
      </c>
      <c r="T428" s="604"/>
      <c r="U428" s="642"/>
      <c r="V428" s="679">
        <f t="shared" si="87"/>
        <v>-329485.29083333333</v>
      </c>
      <c r="W428" s="679"/>
      <c r="X428" s="702"/>
      <c r="Y428" s="679"/>
      <c r="Z428" s="679"/>
      <c r="AA428" s="642"/>
      <c r="AB428" s="679"/>
      <c r="AC428" s="643"/>
      <c r="AD428" s="644">
        <f t="shared" si="88"/>
        <v>-329485.29083333333</v>
      </c>
      <c r="AE428" s="643"/>
      <c r="AF428" s="677">
        <f t="shared" si="73"/>
        <v>0</v>
      </c>
    </row>
    <row r="429" spans="1:32">
      <c r="A429" s="604">
        <v>417</v>
      </c>
      <c r="B429" s="316" t="s">
        <v>956</v>
      </c>
      <c r="C429" s="316" t="s">
        <v>578</v>
      </c>
      <c r="D429" s="316" t="s">
        <v>1187</v>
      </c>
      <c r="E429" s="589" t="s">
        <v>579</v>
      </c>
      <c r="F429" s="603">
        <v>-43539082.770000003</v>
      </c>
      <c r="G429" s="603">
        <v>-26860683.850000001</v>
      </c>
      <c r="H429" s="603">
        <v>-40298348.840000004</v>
      </c>
      <c r="I429" s="603">
        <v>-48354825.450000003</v>
      </c>
      <c r="J429" s="603">
        <v>-10887326.09</v>
      </c>
      <c r="K429" s="603">
        <v>-7322383.7400000002</v>
      </c>
      <c r="L429" s="603">
        <v>-7672115.7999999998</v>
      </c>
      <c r="M429" s="603">
        <v>-7408981.7199999997</v>
      </c>
      <c r="N429" s="603">
        <v>-7498183.4800000004</v>
      </c>
      <c r="O429" s="603">
        <v>-8246130.1399999997</v>
      </c>
      <c r="P429" s="603">
        <v>-13966099.76</v>
      </c>
      <c r="Q429" s="603">
        <v>-17572127.510000002</v>
      </c>
      <c r="R429" s="603">
        <v>-26928352.75</v>
      </c>
      <c r="S429" s="484">
        <f t="shared" si="82"/>
        <v>-19276743.678333331</v>
      </c>
      <c r="T429" s="604"/>
      <c r="U429" s="642"/>
      <c r="V429" s="679">
        <f t="shared" si="87"/>
        <v>-19276743.678333331</v>
      </c>
      <c r="W429" s="679"/>
      <c r="X429" s="702"/>
      <c r="Y429" s="679"/>
      <c r="Z429" s="679"/>
      <c r="AA429" s="642"/>
      <c r="AB429" s="679"/>
      <c r="AC429" s="643"/>
      <c r="AD429" s="644">
        <f t="shared" si="88"/>
        <v>-19276743.678333331</v>
      </c>
      <c r="AE429" s="643"/>
      <c r="AF429" s="677">
        <f t="shared" si="73"/>
        <v>0</v>
      </c>
    </row>
    <row r="430" spans="1:32">
      <c r="A430" s="604">
        <v>418</v>
      </c>
      <c r="B430" s="316" t="s">
        <v>956</v>
      </c>
      <c r="C430" s="316" t="s">
        <v>578</v>
      </c>
      <c r="D430" s="316" t="s">
        <v>408</v>
      </c>
      <c r="E430" s="595" t="s">
        <v>1645</v>
      </c>
      <c r="F430" s="603">
        <v>-245670.98</v>
      </c>
      <c r="G430" s="603">
        <v>0</v>
      </c>
      <c r="H430" s="603">
        <v>-23614.45</v>
      </c>
      <c r="I430" s="603">
        <v>-44412.61</v>
      </c>
      <c r="J430" s="603">
        <v>-66013.789999999994</v>
      </c>
      <c r="K430" s="603">
        <v>-88940.15</v>
      </c>
      <c r="L430" s="603">
        <v>-110629.87</v>
      </c>
      <c r="M430" s="603">
        <v>-131228.97</v>
      </c>
      <c r="N430" s="603">
        <v>-152858.88</v>
      </c>
      <c r="O430" s="603">
        <v>-172506.03</v>
      </c>
      <c r="P430" s="603">
        <v>-192985.69</v>
      </c>
      <c r="Q430" s="603">
        <v>-216037.74</v>
      </c>
      <c r="R430" s="603">
        <v>-237373</v>
      </c>
      <c r="S430" s="484">
        <f t="shared" si="82"/>
        <v>-120062.51416666666</v>
      </c>
      <c r="T430" s="604"/>
      <c r="U430" s="642"/>
      <c r="V430" s="679">
        <f t="shared" si="87"/>
        <v>-120062.51416666666</v>
      </c>
      <c r="W430" s="679"/>
      <c r="X430" s="702"/>
      <c r="Y430" s="679"/>
      <c r="Z430" s="679"/>
      <c r="AA430" s="642"/>
      <c r="AB430" s="679"/>
      <c r="AC430" s="643"/>
      <c r="AD430" s="644">
        <f t="shared" si="88"/>
        <v>-120062.51416666666</v>
      </c>
      <c r="AE430" s="643"/>
      <c r="AF430" s="677">
        <f t="shared" si="73"/>
        <v>0</v>
      </c>
    </row>
    <row r="431" spans="1:32">
      <c r="A431" s="604">
        <v>419</v>
      </c>
      <c r="B431" s="316" t="s">
        <v>956</v>
      </c>
      <c r="C431" s="316" t="s">
        <v>578</v>
      </c>
      <c r="D431" s="316" t="s">
        <v>1188</v>
      </c>
      <c r="E431" s="595" t="s">
        <v>1644</v>
      </c>
      <c r="F431" s="603">
        <v>-11172210.310000001</v>
      </c>
      <c r="G431" s="603">
        <v>-5667710.3099999996</v>
      </c>
      <c r="H431" s="603">
        <v>-2893939.67</v>
      </c>
      <c r="I431" s="603">
        <v>-3106406.66</v>
      </c>
      <c r="J431" s="603">
        <v>-3421205.3</v>
      </c>
      <c r="K431" s="603">
        <v>-3515414.66</v>
      </c>
      <c r="L431" s="603">
        <v>-2452428.29</v>
      </c>
      <c r="M431" s="603">
        <v>-7659905.5899999999</v>
      </c>
      <c r="N431" s="603">
        <v>-2839792</v>
      </c>
      <c r="O431" s="603">
        <v>-4132064.97</v>
      </c>
      <c r="P431" s="603">
        <v>-6589053.7599999998</v>
      </c>
      <c r="Q431" s="603">
        <v>-8140193.0800000001</v>
      </c>
      <c r="R431" s="603">
        <v>-5546502.1100000003</v>
      </c>
      <c r="S431" s="484">
        <f t="shared" si="82"/>
        <v>-4898122.541666667</v>
      </c>
      <c r="T431" s="604"/>
      <c r="U431" s="642"/>
      <c r="V431" s="679">
        <f t="shared" si="87"/>
        <v>-4898122.541666667</v>
      </c>
      <c r="W431" s="679"/>
      <c r="X431" s="702"/>
      <c r="Y431" s="679"/>
      <c r="Z431" s="679"/>
      <c r="AA431" s="642"/>
      <c r="AB431" s="679"/>
      <c r="AC431" s="643"/>
      <c r="AD431" s="644">
        <f t="shared" si="88"/>
        <v>-4898122.541666667</v>
      </c>
      <c r="AE431" s="643"/>
      <c r="AF431" s="677">
        <f t="shared" si="73"/>
        <v>0</v>
      </c>
    </row>
    <row r="432" spans="1:32">
      <c r="A432" s="604">
        <v>420</v>
      </c>
      <c r="B432" s="316" t="s">
        <v>956</v>
      </c>
      <c r="C432" s="316" t="s">
        <v>578</v>
      </c>
      <c r="D432" s="316" t="s">
        <v>1189</v>
      </c>
      <c r="E432" s="589" t="s">
        <v>580</v>
      </c>
      <c r="F432" s="603">
        <v>-3247355.18</v>
      </c>
      <c r="G432" s="603">
        <v>-2950390.62</v>
      </c>
      <c r="H432" s="603">
        <v>-2864483.76</v>
      </c>
      <c r="I432" s="603">
        <v>-1682878.63</v>
      </c>
      <c r="J432" s="603">
        <v>-737494.22</v>
      </c>
      <c r="K432" s="603">
        <v>-482887.61</v>
      </c>
      <c r="L432" s="603">
        <v>-464115.63</v>
      </c>
      <c r="M432" s="603">
        <v>-980571.85</v>
      </c>
      <c r="N432" s="603">
        <v>-517872.79</v>
      </c>
      <c r="O432" s="603">
        <v>-410602.67</v>
      </c>
      <c r="P432" s="603">
        <v>-611688.97</v>
      </c>
      <c r="Q432" s="603">
        <v>-407659.48</v>
      </c>
      <c r="R432" s="603">
        <v>-1112884.77</v>
      </c>
      <c r="S432" s="484">
        <f t="shared" si="82"/>
        <v>-1190897.1837500001</v>
      </c>
      <c r="T432" s="604"/>
      <c r="U432" s="642"/>
      <c r="V432" s="679">
        <f t="shared" si="87"/>
        <v>-1190897.1837500001</v>
      </c>
      <c r="W432" s="679"/>
      <c r="X432" s="702"/>
      <c r="Y432" s="679"/>
      <c r="Z432" s="679"/>
      <c r="AA432" s="642"/>
      <c r="AB432" s="679"/>
      <c r="AC432" s="643"/>
      <c r="AD432" s="644">
        <f t="shared" si="88"/>
        <v>-1190897.1837500001</v>
      </c>
      <c r="AE432" s="643"/>
      <c r="AF432" s="677">
        <f t="shared" si="73"/>
        <v>0</v>
      </c>
    </row>
    <row r="433" spans="1:32">
      <c r="A433" s="604">
        <v>421</v>
      </c>
      <c r="B433" s="316" t="s">
        <v>956</v>
      </c>
      <c r="C433" s="316" t="s">
        <v>578</v>
      </c>
      <c r="D433" s="316" t="s">
        <v>1190</v>
      </c>
      <c r="E433" s="589" t="s">
        <v>1651</v>
      </c>
      <c r="F433" s="603">
        <v>-1523.6</v>
      </c>
      <c r="G433" s="603">
        <v>-2424.7800000000002</v>
      </c>
      <c r="H433" s="603">
        <v>-541.85</v>
      </c>
      <c r="I433" s="603">
        <v>115.64</v>
      </c>
      <c r="J433" s="603">
        <v>-1229.81</v>
      </c>
      <c r="K433" s="603">
        <v>-6089.12</v>
      </c>
      <c r="L433" s="603">
        <v>-74.599999999999497</v>
      </c>
      <c r="M433" s="603">
        <v>-11322.06</v>
      </c>
      <c r="N433" s="603">
        <v>-61.779999999997003</v>
      </c>
      <c r="O433" s="603">
        <v>-289.77999999999702</v>
      </c>
      <c r="P433" s="603">
        <v>-899.42999999999699</v>
      </c>
      <c r="Q433" s="603">
        <v>-25.9899999999969</v>
      </c>
      <c r="R433" s="603">
        <v>-9861.52</v>
      </c>
      <c r="S433" s="484">
        <f t="shared" si="82"/>
        <v>-2378.0099999999989</v>
      </c>
      <c r="T433" s="604"/>
      <c r="U433" s="642"/>
      <c r="V433" s="679">
        <f t="shared" si="87"/>
        <v>-2378.0099999999989</v>
      </c>
      <c r="W433" s="679"/>
      <c r="X433" s="702"/>
      <c r="Y433" s="679"/>
      <c r="Z433" s="679"/>
      <c r="AA433" s="642"/>
      <c r="AB433" s="679"/>
      <c r="AC433" s="643"/>
      <c r="AD433" s="644">
        <f t="shared" si="88"/>
        <v>-2378.0099999999989</v>
      </c>
      <c r="AE433" s="643"/>
      <c r="AF433" s="677">
        <f t="shared" si="73"/>
        <v>0</v>
      </c>
    </row>
    <row r="434" spans="1:32">
      <c r="A434" s="604">
        <v>422</v>
      </c>
      <c r="B434" s="316" t="s">
        <v>956</v>
      </c>
      <c r="C434" s="316" t="s">
        <v>578</v>
      </c>
      <c r="D434" s="316" t="s">
        <v>1191</v>
      </c>
      <c r="E434" s="589" t="s">
        <v>1646</v>
      </c>
      <c r="F434" s="603">
        <v>0</v>
      </c>
      <c r="G434" s="603">
        <v>4.13</v>
      </c>
      <c r="H434" s="603">
        <v>4.13</v>
      </c>
      <c r="I434" s="603">
        <v>4.13</v>
      </c>
      <c r="J434" s="603">
        <v>4.13</v>
      </c>
      <c r="K434" s="603">
        <v>56.1</v>
      </c>
      <c r="L434" s="603">
        <v>56.1</v>
      </c>
      <c r="M434" s="603">
        <v>2656.1</v>
      </c>
      <c r="N434" s="603">
        <v>-4162.92</v>
      </c>
      <c r="O434" s="603">
        <v>-4162.92</v>
      </c>
      <c r="P434" s="603">
        <v>-4162.92</v>
      </c>
      <c r="Q434" s="603">
        <v>0</v>
      </c>
      <c r="R434" s="603">
        <v>0</v>
      </c>
      <c r="S434" s="484">
        <f t="shared" si="82"/>
        <v>-808.66166666666675</v>
      </c>
      <c r="T434" s="604"/>
      <c r="U434" s="642"/>
      <c r="V434" s="679">
        <f t="shared" si="87"/>
        <v>-808.66166666666675</v>
      </c>
      <c r="W434" s="679"/>
      <c r="X434" s="702"/>
      <c r="Y434" s="679"/>
      <c r="Z434" s="679"/>
      <c r="AA434" s="642"/>
      <c r="AB434" s="679"/>
      <c r="AC434" s="643"/>
      <c r="AD434" s="644">
        <f t="shared" si="88"/>
        <v>-808.66166666666675</v>
      </c>
      <c r="AE434" s="643"/>
      <c r="AF434" s="677">
        <f t="shared" si="73"/>
        <v>0</v>
      </c>
    </row>
    <row r="435" spans="1:32">
      <c r="A435" s="604">
        <v>423</v>
      </c>
      <c r="B435" s="316" t="s">
        <v>956</v>
      </c>
      <c r="C435" s="316" t="s">
        <v>578</v>
      </c>
      <c r="D435" s="316" t="s">
        <v>1192</v>
      </c>
      <c r="E435" s="589" t="s">
        <v>1647</v>
      </c>
      <c r="F435" s="603">
        <v>2.89901436190121E-12</v>
      </c>
      <c r="G435" s="603">
        <v>0</v>
      </c>
      <c r="H435" s="603">
        <v>0</v>
      </c>
      <c r="I435" s="603">
        <v>-114581.26</v>
      </c>
      <c r="J435" s="603">
        <v>-116772.93</v>
      </c>
      <c r="K435" s="603">
        <v>0</v>
      </c>
      <c r="L435" s="603">
        <v>0</v>
      </c>
      <c r="M435" s="603">
        <v>50964.44</v>
      </c>
      <c r="N435" s="603">
        <v>-117909.33</v>
      </c>
      <c r="O435" s="603">
        <v>-112026.75</v>
      </c>
      <c r="P435" s="603">
        <v>51255.519999999997</v>
      </c>
      <c r="Q435" s="603">
        <v>101096.61</v>
      </c>
      <c r="R435" s="603">
        <v>101096.61</v>
      </c>
      <c r="S435" s="484">
        <f t="shared" si="82"/>
        <v>-17285.449583333335</v>
      </c>
      <c r="T435" s="604"/>
      <c r="U435" s="642"/>
      <c r="V435" s="679">
        <f t="shared" si="87"/>
        <v>-17285.449583333335</v>
      </c>
      <c r="W435" s="679"/>
      <c r="X435" s="702"/>
      <c r="Y435" s="679"/>
      <c r="Z435" s="679"/>
      <c r="AA435" s="642"/>
      <c r="AB435" s="679"/>
      <c r="AC435" s="643"/>
      <c r="AD435" s="644">
        <f t="shared" si="88"/>
        <v>-17285.449583333335</v>
      </c>
      <c r="AE435" s="643"/>
      <c r="AF435" s="677">
        <f t="shared" si="73"/>
        <v>0</v>
      </c>
    </row>
    <row r="436" spans="1:32">
      <c r="A436" s="604">
        <v>424</v>
      </c>
      <c r="B436" s="316" t="s">
        <v>956</v>
      </c>
      <c r="C436" s="316" t="s">
        <v>578</v>
      </c>
      <c r="D436" s="316" t="s">
        <v>1193</v>
      </c>
      <c r="E436" s="589" t="s">
        <v>1648</v>
      </c>
      <c r="F436" s="603">
        <v>-20867.39</v>
      </c>
      <c r="G436" s="603">
        <v>-19631.25</v>
      </c>
      <c r="H436" s="603">
        <v>-19126.38</v>
      </c>
      <c r="I436" s="603">
        <v>-18210.55</v>
      </c>
      <c r="J436" s="603">
        <v>-15794.76</v>
      </c>
      <c r="K436" s="603">
        <v>-13267.2</v>
      </c>
      <c r="L436" s="603">
        <v>-12174.84</v>
      </c>
      <c r="M436" s="603">
        <v>-14643.43</v>
      </c>
      <c r="N436" s="603">
        <v>-16296.07</v>
      </c>
      <c r="O436" s="603">
        <v>-16851.669999999998</v>
      </c>
      <c r="P436" s="603">
        <v>-18984.599999999999</v>
      </c>
      <c r="Q436" s="603">
        <v>-9215.7099999999991</v>
      </c>
      <c r="R436" s="603">
        <v>-11663.77</v>
      </c>
      <c r="S436" s="484">
        <f t="shared" si="82"/>
        <v>-15871.836666666668</v>
      </c>
      <c r="T436" s="604"/>
      <c r="U436" s="642"/>
      <c r="V436" s="679">
        <f t="shared" si="87"/>
        <v>-15871.836666666668</v>
      </c>
      <c r="W436" s="679"/>
      <c r="X436" s="702"/>
      <c r="Y436" s="679"/>
      <c r="Z436" s="679"/>
      <c r="AA436" s="642"/>
      <c r="AB436" s="679"/>
      <c r="AC436" s="643"/>
      <c r="AD436" s="644">
        <f t="shared" si="88"/>
        <v>-15871.836666666668</v>
      </c>
      <c r="AE436" s="643"/>
      <c r="AF436" s="677">
        <f t="shared" si="73"/>
        <v>0</v>
      </c>
    </row>
    <row r="437" spans="1:32">
      <c r="A437" s="604">
        <v>425</v>
      </c>
      <c r="B437" s="316" t="s">
        <v>956</v>
      </c>
      <c r="C437" s="316" t="s">
        <v>578</v>
      </c>
      <c r="D437" s="316" t="s">
        <v>1194</v>
      </c>
      <c r="E437" s="589" t="s">
        <v>1649</v>
      </c>
      <c r="F437" s="603">
        <v>0</v>
      </c>
      <c r="G437" s="603">
        <v>24768.26</v>
      </c>
      <c r="H437" s="603">
        <v>24342.58</v>
      </c>
      <c r="I437" s="603">
        <v>-3.6379788070917101E-12</v>
      </c>
      <c r="J437" s="603">
        <v>-3.6379788070917101E-12</v>
      </c>
      <c r="K437" s="603">
        <v>-3.6379788070917101E-12</v>
      </c>
      <c r="L437" s="603">
        <v>-3.6379788070917101E-12</v>
      </c>
      <c r="M437" s="603">
        <v>-3.6379788070917101E-12</v>
      </c>
      <c r="N437" s="603">
        <v>-3.6379788070917101E-12</v>
      </c>
      <c r="O437" s="603">
        <v>-3.6379788070917101E-12</v>
      </c>
      <c r="P437" s="603">
        <v>-3.6379788070917101E-12</v>
      </c>
      <c r="Q437" s="603">
        <v>-3.6379788070917101E-12</v>
      </c>
      <c r="R437" s="603">
        <v>-3.6379788070917101E-12</v>
      </c>
      <c r="S437" s="484">
        <f t="shared" si="82"/>
        <v>4092.5699999999997</v>
      </c>
      <c r="T437" s="604"/>
      <c r="U437" s="642"/>
      <c r="V437" s="679">
        <f t="shared" si="87"/>
        <v>4092.5699999999997</v>
      </c>
      <c r="W437" s="679"/>
      <c r="X437" s="702"/>
      <c r="Y437" s="679"/>
      <c r="Z437" s="679"/>
      <c r="AA437" s="642"/>
      <c r="AB437" s="679"/>
      <c r="AC437" s="643"/>
      <c r="AD437" s="644">
        <f t="shared" si="88"/>
        <v>4092.5699999999997</v>
      </c>
      <c r="AE437" s="643"/>
      <c r="AF437" s="677">
        <f t="shared" si="73"/>
        <v>0</v>
      </c>
    </row>
    <row r="438" spans="1:32">
      <c r="A438" s="604">
        <v>426</v>
      </c>
      <c r="B438" s="316" t="s">
        <v>956</v>
      </c>
      <c r="C438" s="316" t="s">
        <v>578</v>
      </c>
      <c r="D438" s="316" t="s">
        <v>1195</v>
      </c>
      <c r="E438" s="589" t="s">
        <v>1650</v>
      </c>
      <c r="F438" s="603">
        <v>3.6379788070917101E-12</v>
      </c>
      <c r="G438" s="603">
        <v>0</v>
      </c>
      <c r="H438" s="603">
        <v>0</v>
      </c>
      <c r="I438" s="603">
        <v>-23110.86</v>
      </c>
      <c r="J438" s="603">
        <v>-23068.71</v>
      </c>
      <c r="K438" s="603">
        <v>0</v>
      </c>
      <c r="L438" s="603">
        <v>0</v>
      </c>
      <c r="M438" s="603">
        <v>-23290.36</v>
      </c>
      <c r="N438" s="603">
        <v>-23250.71</v>
      </c>
      <c r="O438" s="603">
        <v>-23853.51</v>
      </c>
      <c r="P438" s="603">
        <v>-24147.06</v>
      </c>
      <c r="Q438" s="603">
        <v>-47891.3</v>
      </c>
      <c r="R438" s="603">
        <v>-47891.3</v>
      </c>
      <c r="S438" s="484">
        <f t="shared" si="82"/>
        <v>-17713.18</v>
      </c>
      <c r="T438" s="604"/>
      <c r="U438" s="642"/>
      <c r="V438" s="679">
        <f t="shared" si="87"/>
        <v>-17713.18</v>
      </c>
      <c r="W438" s="679"/>
      <c r="X438" s="702"/>
      <c r="Y438" s="679"/>
      <c r="Z438" s="679"/>
      <c r="AA438" s="642"/>
      <c r="AB438" s="679"/>
      <c r="AC438" s="643"/>
      <c r="AD438" s="644">
        <f t="shared" si="88"/>
        <v>-17713.18</v>
      </c>
      <c r="AE438" s="643"/>
      <c r="AF438" s="677">
        <f t="shared" si="73"/>
        <v>0</v>
      </c>
    </row>
    <row r="439" spans="1:32">
      <c r="A439" s="604">
        <v>427</v>
      </c>
      <c r="B439" s="316" t="s">
        <v>956</v>
      </c>
      <c r="C439" s="316" t="s">
        <v>578</v>
      </c>
      <c r="D439" s="316" t="s">
        <v>1895</v>
      </c>
      <c r="E439" s="589" t="s">
        <v>1896</v>
      </c>
      <c r="F439" s="603">
        <v>0</v>
      </c>
      <c r="G439" s="603">
        <v>0</v>
      </c>
      <c r="H439" s="603">
        <v>0</v>
      </c>
      <c r="I439" s="603">
        <v>0</v>
      </c>
      <c r="J439" s="603">
        <v>0</v>
      </c>
      <c r="K439" s="603">
        <v>0</v>
      </c>
      <c r="L439" s="603">
        <v>0</v>
      </c>
      <c r="M439" s="603">
        <v>0</v>
      </c>
      <c r="N439" s="603">
        <v>-220.5</v>
      </c>
      <c r="O439" s="603">
        <v>-220.5</v>
      </c>
      <c r="P439" s="603">
        <v>0</v>
      </c>
      <c r="Q439" s="603">
        <v>0</v>
      </c>
      <c r="R439" s="603">
        <v>0</v>
      </c>
      <c r="S439" s="484">
        <f t="shared" si="82"/>
        <v>-36.75</v>
      </c>
      <c r="T439" s="604"/>
      <c r="U439" s="642"/>
      <c r="V439" s="679">
        <f>+S439</f>
        <v>-36.75</v>
      </c>
      <c r="W439" s="679"/>
      <c r="X439" s="702"/>
      <c r="Y439" s="679"/>
      <c r="Z439" s="679"/>
      <c r="AA439" s="642"/>
      <c r="AB439" s="679"/>
      <c r="AC439" s="643"/>
      <c r="AD439" s="644">
        <f t="shared" si="88"/>
        <v>-36.75</v>
      </c>
      <c r="AE439" s="643"/>
      <c r="AF439" s="677">
        <f t="shared" si="73"/>
        <v>0</v>
      </c>
    </row>
    <row r="440" spans="1:32">
      <c r="A440" s="604">
        <v>428</v>
      </c>
      <c r="B440" s="316" t="s">
        <v>956</v>
      </c>
      <c r="C440" s="316" t="s">
        <v>581</v>
      </c>
      <c r="D440" s="316" t="s">
        <v>515</v>
      </c>
      <c r="E440" s="589" t="s">
        <v>582</v>
      </c>
      <c r="F440" s="603">
        <v>-1225497.53</v>
      </c>
      <c r="G440" s="603">
        <v>-916289.02</v>
      </c>
      <c r="H440" s="603">
        <v>-893894.98</v>
      </c>
      <c r="I440" s="603">
        <v>-847938.09</v>
      </c>
      <c r="J440" s="603">
        <v>-1296361.82</v>
      </c>
      <c r="K440" s="603">
        <v>-1222757.27</v>
      </c>
      <c r="L440" s="603">
        <v>-736791.79</v>
      </c>
      <c r="M440" s="603">
        <v>-1134554.6200000001</v>
      </c>
      <c r="N440" s="603">
        <v>-5187950.49</v>
      </c>
      <c r="O440" s="603">
        <v>-1565905.63</v>
      </c>
      <c r="P440" s="603">
        <v>-3017429.74</v>
      </c>
      <c r="Q440" s="603">
        <v>-2289242.7599999998</v>
      </c>
      <c r="R440" s="603">
        <v>-3495159.53</v>
      </c>
      <c r="S440" s="484">
        <f t="shared" si="82"/>
        <v>-1789120.3950000003</v>
      </c>
      <c r="T440" s="604"/>
      <c r="U440" s="642"/>
      <c r="V440" s="679">
        <f t="shared" si="87"/>
        <v>-1789120.3950000003</v>
      </c>
      <c r="W440" s="679"/>
      <c r="X440" s="702"/>
      <c r="Y440" s="679"/>
      <c r="Z440" s="679"/>
      <c r="AA440" s="642"/>
      <c r="AB440" s="679"/>
      <c r="AC440" s="643"/>
      <c r="AD440" s="644">
        <f t="shared" si="88"/>
        <v>-1789120.3950000003</v>
      </c>
      <c r="AE440" s="643"/>
      <c r="AF440" s="677">
        <f t="shared" si="73"/>
        <v>0</v>
      </c>
    </row>
    <row r="441" spans="1:32">
      <c r="A441" s="604">
        <v>429</v>
      </c>
      <c r="B441" s="604"/>
      <c r="C441" s="604"/>
      <c r="D441" s="604"/>
      <c r="E441" s="589"/>
      <c r="F441" s="603"/>
      <c r="G441" s="314"/>
      <c r="H441" s="305"/>
      <c r="I441" s="305"/>
      <c r="J441" s="306"/>
      <c r="K441" s="307"/>
      <c r="L441" s="308"/>
      <c r="M441" s="309"/>
      <c r="N441" s="310"/>
      <c r="O441" s="590"/>
      <c r="P441" s="311"/>
      <c r="Q441" s="315"/>
      <c r="R441" s="603"/>
      <c r="S441" s="484"/>
      <c r="T441" s="604"/>
      <c r="U441" s="642"/>
      <c r="V441" s="679"/>
      <c r="W441" s="679"/>
      <c r="X441" s="702"/>
      <c r="Y441" s="679"/>
      <c r="Z441" s="679"/>
      <c r="AA441" s="642"/>
      <c r="AB441" s="679"/>
      <c r="AC441" s="643"/>
      <c r="AD441" s="644">
        <f t="shared" si="88"/>
        <v>0</v>
      </c>
      <c r="AE441" s="643"/>
      <c r="AF441" s="677">
        <f t="shared" ref="AF441:AF513" si="89">+U441+V441-AD441</f>
        <v>0</v>
      </c>
    </row>
    <row r="442" spans="1:32">
      <c r="A442" s="604">
        <v>430</v>
      </c>
      <c r="B442" s="316" t="s">
        <v>956</v>
      </c>
      <c r="C442" s="316" t="s">
        <v>583</v>
      </c>
      <c r="D442" s="316" t="s">
        <v>412</v>
      </c>
      <c r="E442" s="591" t="s">
        <v>1399</v>
      </c>
      <c r="F442" s="603">
        <v>-1704352.31</v>
      </c>
      <c r="G442" s="603">
        <v>-1185350.18</v>
      </c>
      <c r="H442" s="603">
        <v>-2242639.23</v>
      </c>
      <c r="I442" s="603">
        <v>-1088614.98</v>
      </c>
      <c r="J442" s="603">
        <v>-1109584.99</v>
      </c>
      <c r="K442" s="603">
        <v>-1021661.18</v>
      </c>
      <c r="L442" s="603">
        <v>-902069.26</v>
      </c>
      <c r="M442" s="603">
        <v>-919673.94</v>
      </c>
      <c r="N442" s="603">
        <v>-1277411.8700000001</v>
      </c>
      <c r="O442" s="603">
        <v>-1109369.68</v>
      </c>
      <c r="P442" s="603">
        <v>-1220956.3700000001</v>
      </c>
      <c r="Q442" s="603">
        <v>-1138489.29</v>
      </c>
      <c r="R442" s="603">
        <v>-1330718.17</v>
      </c>
      <c r="S442" s="484">
        <f t="shared" si="82"/>
        <v>-1227779.6841666666</v>
      </c>
      <c r="T442" s="604"/>
      <c r="U442" s="642"/>
      <c r="V442" s="679"/>
      <c r="W442" s="679"/>
      <c r="X442" s="702">
        <f>+S442</f>
        <v>-1227779.6841666666</v>
      </c>
      <c r="Y442" s="679"/>
      <c r="Z442" s="679"/>
      <c r="AA442" s="642"/>
      <c r="AB442" s="679">
        <f t="shared" ref="AB442:AB449" si="90">+S442</f>
        <v>-1227779.6841666666</v>
      </c>
      <c r="AC442" s="643"/>
      <c r="AD442" s="644"/>
      <c r="AE442" s="643"/>
      <c r="AF442" s="677">
        <f t="shared" si="89"/>
        <v>0</v>
      </c>
    </row>
    <row r="443" spans="1:32">
      <c r="A443" s="604">
        <v>431</v>
      </c>
      <c r="B443" s="316" t="s">
        <v>956</v>
      </c>
      <c r="C443" s="316" t="s">
        <v>583</v>
      </c>
      <c r="D443" s="316" t="s">
        <v>1400</v>
      </c>
      <c r="E443" s="589" t="s">
        <v>1652</v>
      </c>
      <c r="F443" s="603">
        <v>0</v>
      </c>
      <c r="G443" s="603">
        <v>-519552.23</v>
      </c>
      <c r="H443" s="603">
        <v>-969604.43</v>
      </c>
      <c r="I443" s="603">
        <v>-569082.82999999996</v>
      </c>
      <c r="J443" s="603">
        <v>-513669.2</v>
      </c>
      <c r="K443" s="603">
        <v>-783318.31</v>
      </c>
      <c r="L443" s="603">
        <v>-381146.96</v>
      </c>
      <c r="M443" s="603">
        <v>-514237.45</v>
      </c>
      <c r="N443" s="603">
        <v>-281315.93</v>
      </c>
      <c r="O443" s="603">
        <v>-606998.31000000006</v>
      </c>
      <c r="P443" s="603">
        <v>-508022.18</v>
      </c>
      <c r="Q443" s="603">
        <v>-907109.46</v>
      </c>
      <c r="R443" s="603">
        <v>-1029872.32</v>
      </c>
      <c r="S443" s="484">
        <f t="shared" si="82"/>
        <v>-589082.78749999998</v>
      </c>
      <c r="T443" s="604"/>
      <c r="U443" s="642"/>
      <c r="V443" s="679"/>
      <c r="W443" s="679"/>
      <c r="X443" s="702">
        <f t="shared" ref="X443:X449" si="91">+S443</f>
        <v>-589082.78749999998</v>
      </c>
      <c r="Y443" s="679"/>
      <c r="Z443" s="679"/>
      <c r="AA443" s="642"/>
      <c r="AB443" s="679">
        <f t="shared" si="90"/>
        <v>-589082.78749999998</v>
      </c>
      <c r="AC443" s="643"/>
      <c r="AD443" s="644"/>
      <c r="AE443" s="643"/>
      <c r="AF443" s="677">
        <f t="shared" si="89"/>
        <v>0</v>
      </c>
    </row>
    <row r="444" spans="1:32">
      <c r="A444" s="604">
        <v>432</v>
      </c>
      <c r="B444" s="316" t="s">
        <v>956</v>
      </c>
      <c r="C444" s="316" t="s">
        <v>583</v>
      </c>
      <c r="D444" s="316" t="s">
        <v>1196</v>
      </c>
      <c r="E444" s="589" t="s">
        <v>1653</v>
      </c>
      <c r="F444" s="603">
        <v>-154330.98000000001</v>
      </c>
      <c r="G444" s="603">
        <v>-1026743.85</v>
      </c>
      <c r="H444" s="603">
        <v>-1065529.23</v>
      </c>
      <c r="I444" s="603">
        <v>-120684.51</v>
      </c>
      <c r="J444" s="603">
        <v>-30479.96</v>
      </c>
      <c r="K444" s="603">
        <v>-619.00000000000705</v>
      </c>
      <c r="L444" s="603">
        <v>-30200.11</v>
      </c>
      <c r="M444" s="603">
        <v>-10964.17</v>
      </c>
      <c r="N444" s="603">
        <v>-14254.17</v>
      </c>
      <c r="O444" s="603">
        <v>-23975.279999999999</v>
      </c>
      <c r="P444" s="603">
        <v>-20685.28</v>
      </c>
      <c r="Q444" s="603">
        <v>-172283.13</v>
      </c>
      <c r="R444" s="603">
        <v>-156065.51</v>
      </c>
      <c r="S444" s="484">
        <f t="shared" si="82"/>
        <v>-222634.74458333326</v>
      </c>
      <c r="T444" s="604"/>
      <c r="U444" s="642"/>
      <c r="V444" s="679"/>
      <c r="W444" s="679"/>
      <c r="X444" s="702">
        <f t="shared" si="91"/>
        <v>-222634.74458333326</v>
      </c>
      <c r="Y444" s="679"/>
      <c r="Z444" s="679"/>
      <c r="AA444" s="642"/>
      <c r="AB444" s="679">
        <f t="shared" si="90"/>
        <v>-222634.74458333326</v>
      </c>
      <c r="AC444" s="643"/>
      <c r="AD444" s="644"/>
      <c r="AE444" s="643"/>
      <c r="AF444" s="677">
        <f t="shared" si="89"/>
        <v>0</v>
      </c>
    </row>
    <row r="445" spans="1:32">
      <c r="A445" s="604">
        <v>433</v>
      </c>
      <c r="B445" s="316" t="s">
        <v>956</v>
      </c>
      <c r="C445" s="316" t="s">
        <v>583</v>
      </c>
      <c r="D445" s="316" t="s">
        <v>1197</v>
      </c>
      <c r="E445" s="591" t="s">
        <v>584</v>
      </c>
      <c r="F445" s="603">
        <v>0</v>
      </c>
      <c r="G445" s="603">
        <v>-103102</v>
      </c>
      <c r="H445" s="603">
        <v>-103102</v>
      </c>
      <c r="I445" s="603">
        <v>0</v>
      </c>
      <c r="J445" s="603">
        <v>0</v>
      </c>
      <c r="K445" s="603">
        <v>0</v>
      </c>
      <c r="L445" s="603">
        <v>0</v>
      </c>
      <c r="M445" s="603">
        <v>0</v>
      </c>
      <c r="N445" s="603">
        <v>0</v>
      </c>
      <c r="O445" s="603">
        <v>0</v>
      </c>
      <c r="P445" s="603">
        <v>0</v>
      </c>
      <c r="Q445" s="603">
        <v>0</v>
      </c>
      <c r="R445" s="603">
        <v>0</v>
      </c>
      <c r="S445" s="484">
        <f t="shared" si="82"/>
        <v>-17183.666666666668</v>
      </c>
      <c r="T445" s="604"/>
      <c r="U445" s="642"/>
      <c r="V445" s="679"/>
      <c r="W445" s="679"/>
      <c r="X445" s="702">
        <f t="shared" si="91"/>
        <v>-17183.666666666668</v>
      </c>
      <c r="Y445" s="679"/>
      <c r="Z445" s="679"/>
      <c r="AA445" s="642"/>
      <c r="AB445" s="679">
        <f t="shared" si="90"/>
        <v>-17183.666666666668</v>
      </c>
      <c r="AC445" s="643"/>
      <c r="AD445" s="644"/>
      <c r="AE445" s="643"/>
      <c r="AF445" s="677">
        <f t="shared" si="89"/>
        <v>0</v>
      </c>
    </row>
    <row r="446" spans="1:32">
      <c r="A446" s="604">
        <v>434</v>
      </c>
      <c r="B446" s="316" t="s">
        <v>956</v>
      </c>
      <c r="C446" s="316" t="s">
        <v>583</v>
      </c>
      <c r="D446" s="316" t="s">
        <v>585</v>
      </c>
      <c r="E446" s="591" t="s">
        <v>586</v>
      </c>
      <c r="F446" s="603">
        <v>-7846.82</v>
      </c>
      <c r="G446" s="603">
        <v>-4049.93</v>
      </c>
      <c r="H446" s="603">
        <v>0</v>
      </c>
      <c r="I446" s="603">
        <v>0</v>
      </c>
      <c r="J446" s="603">
        <v>-3826.77</v>
      </c>
      <c r="K446" s="603">
        <v>-5785.53</v>
      </c>
      <c r="L446" s="603">
        <v>-278.16000000000003</v>
      </c>
      <c r="M446" s="603">
        <v>1.7053025658242399E-13</v>
      </c>
      <c r="N446" s="603">
        <v>-1917.97</v>
      </c>
      <c r="O446" s="603">
        <v>2.2737367544323201E-13</v>
      </c>
      <c r="P446" s="603">
        <v>-1140</v>
      </c>
      <c r="Q446" s="603">
        <v>1434.96</v>
      </c>
      <c r="R446" s="603">
        <v>-5404.1</v>
      </c>
      <c r="S446" s="484">
        <f t="shared" si="82"/>
        <v>-1849.0716666666667</v>
      </c>
      <c r="T446" s="604"/>
      <c r="U446" s="642"/>
      <c r="V446" s="679"/>
      <c r="W446" s="679"/>
      <c r="X446" s="702">
        <f t="shared" si="91"/>
        <v>-1849.0716666666667</v>
      </c>
      <c r="Y446" s="679"/>
      <c r="Z446" s="679"/>
      <c r="AA446" s="642"/>
      <c r="AB446" s="679">
        <f t="shared" si="90"/>
        <v>-1849.0716666666667</v>
      </c>
      <c r="AC446" s="643"/>
      <c r="AD446" s="644"/>
      <c r="AE446" s="643"/>
      <c r="AF446" s="677">
        <f t="shared" si="89"/>
        <v>0</v>
      </c>
    </row>
    <row r="447" spans="1:32">
      <c r="A447" s="604">
        <v>435</v>
      </c>
      <c r="B447" s="316" t="s">
        <v>956</v>
      </c>
      <c r="C447" s="316" t="s">
        <v>583</v>
      </c>
      <c r="D447" s="316" t="s">
        <v>414</v>
      </c>
      <c r="E447" s="591" t="s">
        <v>587</v>
      </c>
      <c r="F447" s="603">
        <v>0</v>
      </c>
      <c r="G447" s="603">
        <v>0</v>
      </c>
      <c r="H447" s="603">
        <v>0</v>
      </c>
      <c r="I447" s="603">
        <v>0</v>
      </c>
      <c r="J447" s="603">
        <v>0</v>
      </c>
      <c r="K447" s="603">
        <v>0</v>
      </c>
      <c r="L447" s="603">
        <v>0</v>
      </c>
      <c r="M447" s="603">
        <v>0</v>
      </c>
      <c r="N447" s="603">
        <v>-29.74</v>
      </c>
      <c r="O447" s="603">
        <v>-29.74</v>
      </c>
      <c r="P447" s="603">
        <v>0</v>
      </c>
      <c r="Q447" s="603">
        <v>0</v>
      </c>
      <c r="R447" s="603">
        <v>0</v>
      </c>
      <c r="S447" s="484">
        <f t="shared" si="82"/>
        <v>-4.9566666666666661</v>
      </c>
      <c r="T447" s="604"/>
      <c r="U447" s="642"/>
      <c r="V447" s="679"/>
      <c r="W447" s="679"/>
      <c r="X447" s="702">
        <f t="shared" si="91"/>
        <v>-4.9566666666666661</v>
      </c>
      <c r="Y447" s="679"/>
      <c r="Z447" s="679"/>
      <c r="AA447" s="642"/>
      <c r="AB447" s="679">
        <f t="shared" si="90"/>
        <v>-4.9566666666666661</v>
      </c>
      <c r="AC447" s="643"/>
      <c r="AD447" s="644"/>
      <c r="AE447" s="643"/>
      <c r="AF447" s="677">
        <f t="shared" si="89"/>
        <v>0</v>
      </c>
    </row>
    <row r="448" spans="1:32">
      <c r="A448" s="604">
        <v>436</v>
      </c>
      <c r="B448" s="316" t="s">
        <v>956</v>
      </c>
      <c r="C448" s="316" t="s">
        <v>583</v>
      </c>
      <c r="D448" s="316" t="s">
        <v>417</v>
      </c>
      <c r="E448" s="589" t="s">
        <v>588</v>
      </c>
      <c r="F448" s="603">
        <v>0</v>
      </c>
      <c r="G448" s="603">
        <v>0</v>
      </c>
      <c r="H448" s="603">
        <v>0</v>
      </c>
      <c r="I448" s="603">
        <v>0</v>
      </c>
      <c r="J448" s="603">
        <v>0</v>
      </c>
      <c r="K448" s="603">
        <v>0</v>
      </c>
      <c r="L448" s="603">
        <v>0</v>
      </c>
      <c r="M448" s="603">
        <v>0</v>
      </c>
      <c r="N448" s="603">
        <v>0</v>
      </c>
      <c r="O448" s="603">
        <v>0</v>
      </c>
      <c r="P448" s="603">
        <v>0</v>
      </c>
      <c r="Q448" s="603">
        <v>0</v>
      </c>
      <c r="R448" s="603">
        <v>0</v>
      </c>
      <c r="S448" s="484"/>
      <c r="T448" s="604"/>
      <c r="U448" s="642"/>
      <c r="V448" s="679"/>
      <c r="W448" s="679"/>
      <c r="X448" s="702"/>
      <c r="Y448" s="679"/>
      <c r="Z448" s="679"/>
      <c r="AA448" s="642"/>
      <c r="AB448" s="679"/>
      <c r="AC448" s="643"/>
      <c r="AD448" s="644"/>
      <c r="AE448" s="643"/>
      <c r="AF448" s="677">
        <f t="shared" si="89"/>
        <v>0</v>
      </c>
    </row>
    <row r="449" spans="1:32">
      <c r="A449" s="604">
        <v>437</v>
      </c>
      <c r="B449" s="316" t="s">
        <v>956</v>
      </c>
      <c r="C449" s="316" t="s">
        <v>583</v>
      </c>
      <c r="D449" s="316" t="s">
        <v>419</v>
      </c>
      <c r="E449" s="589" t="s">
        <v>1654</v>
      </c>
      <c r="F449" s="601">
        <v>-141047.06</v>
      </c>
      <c r="G449" s="601">
        <v>-235826.31</v>
      </c>
      <c r="H449" s="601">
        <v>-217771.7</v>
      </c>
      <c r="I449" s="601">
        <v>-241018.49</v>
      </c>
      <c r="J449" s="601">
        <v>-238130.01</v>
      </c>
      <c r="K449" s="601">
        <v>-126537.31</v>
      </c>
      <c r="L449" s="601">
        <v>-123539.78</v>
      </c>
      <c r="M449" s="601">
        <v>-107664.4</v>
      </c>
      <c r="N449" s="601">
        <v>-126691.93</v>
      </c>
      <c r="O449" s="601">
        <v>-229571.79</v>
      </c>
      <c r="P449" s="601">
        <v>-232516.69</v>
      </c>
      <c r="Q449" s="601">
        <v>-239827.82</v>
      </c>
      <c r="R449" s="601">
        <v>-122705.44</v>
      </c>
      <c r="S449" s="484">
        <f t="shared" si="82"/>
        <v>-187581.04</v>
      </c>
      <c r="T449" s="604"/>
      <c r="U449" s="642"/>
      <c r="V449" s="679"/>
      <c r="W449" s="679"/>
      <c r="X449" s="702">
        <f t="shared" si="91"/>
        <v>-187581.04</v>
      </c>
      <c r="Y449" s="679"/>
      <c r="Z449" s="679"/>
      <c r="AA449" s="642"/>
      <c r="AB449" s="679">
        <f t="shared" si="90"/>
        <v>-187581.04</v>
      </c>
      <c r="AC449" s="643"/>
      <c r="AD449" s="644"/>
      <c r="AE449" s="643"/>
      <c r="AF449" s="677">
        <f t="shared" si="89"/>
        <v>0</v>
      </c>
    </row>
    <row r="450" spans="1:32">
      <c r="A450" s="604">
        <v>438</v>
      </c>
      <c r="B450" s="316" t="s">
        <v>956</v>
      </c>
      <c r="C450" s="316" t="s">
        <v>583</v>
      </c>
      <c r="D450" s="316" t="s">
        <v>421</v>
      </c>
      <c r="E450" s="589" t="s">
        <v>1897</v>
      </c>
      <c r="F450" s="601">
        <v>0</v>
      </c>
      <c r="G450" s="601">
        <v>0</v>
      </c>
      <c r="H450" s="601">
        <v>0</v>
      </c>
      <c r="I450" s="601">
        <v>0</v>
      </c>
      <c r="J450" s="601">
        <v>0</v>
      </c>
      <c r="K450" s="601">
        <v>0</v>
      </c>
      <c r="L450" s="601">
        <v>0</v>
      </c>
      <c r="M450" s="601">
        <v>0</v>
      </c>
      <c r="N450" s="601">
        <v>0</v>
      </c>
      <c r="O450" s="601">
        <v>0</v>
      </c>
      <c r="P450" s="601">
        <v>0</v>
      </c>
      <c r="Q450" s="601">
        <v>0</v>
      </c>
      <c r="R450" s="601">
        <v>0</v>
      </c>
      <c r="S450" s="484">
        <f t="shared" si="82"/>
        <v>0</v>
      </c>
      <c r="T450" s="604"/>
      <c r="U450" s="642"/>
      <c r="V450" s="679"/>
      <c r="W450" s="679"/>
      <c r="X450" s="702"/>
      <c r="Y450" s="679"/>
      <c r="Z450" s="679"/>
      <c r="AA450" s="642"/>
      <c r="AB450" s="679"/>
      <c r="AC450" s="643"/>
      <c r="AD450" s="644"/>
      <c r="AE450" s="643"/>
      <c r="AF450" s="677"/>
    </row>
    <row r="451" spans="1:32">
      <c r="A451" s="604">
        <v>439</v>
      </c>
      <c r="B451" s="604"/>
      <c r="C451" s="604"/>
      <c r="D451" s="604"/>
      <c r="E451" s="589" t="s">
        <v>589</v>
      </c>
      <c r="F451" s="295">
        <f t="shared" ref="F451:S451" si="92">SUM(F442:F449)</f>
        <v>-2007577.1700000002</v>
      </c>
      <c r="G451" s="295">
        <f t="shared" si="92"/>
        <v>-3074624.5</v>
      </c>
      <c r="H451" s="295">
        <f t="shared" si="92"/>
        <v>-4598646.5900000008</v>
      </c>
      <c r="I451" s="295">
        <f t="shared" si="92"/>
        <v>-2019400.81</v>
      </c>
      <c r="J451" s="295">
        <f t="shared" si="92"/>
        <v>-1895690.93</v>
      </c>
      <c r="K451" s="295">
        <f t="shared" si="92"/>
        <v>-1937921.3300000003</v>
      </c>
      <c r="L451" s="295">
        <f t="shared" si="92"/>
        <v>-1437234.27</v>
      </c>
      <c r="M451" s="295">
        <f t="shared" si="92"/>
        <v>-1552539.9599999997</v>
      </c>
      <c r="N451" s="295">
        <f t="shared" si="92"/>
        <v>-1701621.6099999999</v>
      </c>
      <c r="O451" s="295">
        <f t="shared" si="92"/>
        <v>-1969944.8</v>
      </c>
      <c r="P451" s="295">
        <f t="shared" si="92"/>
        <v>-1983320.52</v>
      </c>
      <c r="Q451" s="295">
        <f t="shared" si="92"/>
        <v>-2456274.7399999998</v>
      </c>
      <c r="R451" s="295">
        <f t="shared" si="92"/>
        <v>-2644765.54</v>
      </c>
      <c r="S451" s="486">
        <f t="shared" si="92"/>
        <v>-2246115.9512500004</v>
      </c>
      <c r="T451" s="604"/>
      <c r="U451" s="642"/>
      <c r="V451" s="679"/>
      <c r="W451" s="679"/>
      <c r="X451" s="702"/>
      <c r="Y451" s="679"/>
      <c r="Z451" s="679"/>
      <c r="AA451" s="642"/>
      <c r="AB451" s="679"/>
      <c r="AC451" s="643"/>
      <c r="AD451" s="643"/>
      <c r="AE451" s="643"/>
      <c r="AF451" s="677">
        <f t="shared" si="89"/>
        <v>0</v>
      </c>
    </row>
    <row r="452" spans="1:32">
      <c r="A452" s="604">
        <v>440</v>
      </c>
      <c r="B452" s="604"/>
      <c r="C452" s="604"/>
      <c r="D452" s="604"/>
      <c r="E452" s="589"/>
      <c r="F452" s="603"/>
      <c r="G452" s="314"/>
      <c r="H452" s="305"/>
      <c r="I452" s="305"/>
      <c r="J452" s="306"/>
      <c r="K452" s="307"/>
      <c r="L452" s="308"/>
      <c r="M452" s="309"/>
      <c r="N452" s="310"/>
      <c r="O452" s="590"/>
      <c r="P452" s="311"/>
      <c r="Q452" s="315"/>
      <c r="R452" s="603"/>
      <c r="S452" s="294"/>
      <c r="T452" s="604"/>
      <c r="U452" s="642"/>
      <c r="V452" s="679"/>
      <c r="W452" s="679"/>
      <c r="X452" s="702"/>
      <c r="Y452" s="679"/>
      <c r="Z452" s="679"/>
      <c r="AA452" s="642"/>
      <c r="AB452" s="679"/>
      <c r="AC452" s="643"/>
      <c r="AD452" s="643"/>
      <c r="AE452" s="643"/>
      <c r="AF452" s="677">
        <f t="shared" si="89"/>
        <v>0</v>
      </c>
    </row>
    <row r="453" spans="1:32">
      <c r="A453" s="604">
        <v>441</v>
      </c>
      <c r="B453" s="316" t="s">
        <v>956</v>
      </c>
      <c r="C453" s="316" t="s">
        <v>590</v>
      </c>
      <c r="D453" s="604" t="s">
        <v>70</v>
      </c>
      <c r="E453" s="589" t="s">
        <v>1657</v>
      </c>
      <c r="F453" s="603">
        <v>-1.45519152283669E-11</v>
      </c>
      <c r="G453" s="603">
        <v>0</v>
      </c>
      <c r="H453" s="603">
        <v>0</v>
      </c>
      <c r="I453" s="603">
        <v>-107662.78</v>
      </c>
      <c r="J453" s="603">
        <v>0</v>
      </c>
      <c r="K453" s="603">
        <v>0</v>
      </c>
      <c r="L453" s="603">
        <v>0</v>
      </c>
      <c r="M453" s="603">
        <v>0</v>
      </c>
      <c r="N453" s="603">
        <v>-119237.11</v>
      </c>
      <c r="O453" s="603">
        <v>0</v>
      </c>
      <c r="P453" s="603">
        <v>0</v>
      </c>
      <c r="Q453" s="603">
        <v>0</v>
      </c>
      <c r="R453" s="603">
        <v>0</v>
      </c>
      <c r="S453" s="484">
        <f t="shared" si="82"/>
        <v>-18908.324166666669</v>
      </c>
      <c r="T453" s="604"/>
      <c r="U453" s="642"/>
      <c r="V453" s="679">
        <f>+S453</f>
        <v>-18908.324166666669</v>
      </c>
      <c r="W453" s="679"/>
      <c r="X453" s="702"/>
      <c r="Y453" s="679"/>
      <c r="Z453" s="679"/>
      <c r="AA453" s="642"/>
      <c r="AB453" s="679"/>
      <c r="AC453" s="643"/>
      <c r="AD453" s="644">
        <f>+V453</f>
        <v>-18908.324166666669</v>
      </c>
      <c r="AE453" s="643"/>
      <c r="AF453" s="677">
        <f t="shared" si="89"/>
        <v>0</v>
      </c>
    </row>
    <row r="454" spans="1:32">
      <c r="A454" s="604">
        <v>442</v>
      </c>
      <c r="B454" s="316" t="s">
        <v>956</v>
      </c>
      <c r="C454" s="316" t="s">
        <v>590</v>
      </c>
      <c r="D454" s="604" t="s">
        <v>1401</v>
      </c>
      <c r="E454" s="589" t="s">
        <v>1658</v>
      </c>
      <c r="F454" s="603">
        <v>1.45519152283669E-11</v>
      </c>
      <c r="G454" s="603">
        <v>0</v>
      </c>
      <c r="H454" s="603">
        <v>0</v>
      </c>
      <c r="I454" s="603">
        <v>-80808.570000000007</v>
      </c>
      <c r="J454" s="603">
        <v>0</v>
      </c>
      <c r="K454" s="603">
        <v>0</v>
      </c>
      <c r="L454" s="603">
        <v>0</v>
      </c>
      <c r="M454" s="603">
        <v>0</v>
      </c>
      <c r="N454" s="603">
        <v>-84293.21</v>
      </c>
      <c r="O454" s="603">
        <v>0</v>
      </c>
      <c r="P454" s="603">
        <v>907.8</v>
      </c>
      <c r="Q454" s="603">
        <v>907.8</v>
      </c>
      <c r="R454" s="603">
        <v>907.8</v>
      </c>
      <c r="S454" s="484">
        <f t="shared" si="82"/>
        <v>-13569.356666666672</v>
      </c>
      <c r="T454" s="604"/>
      <c r="U454" s="642"/>
      <c r="V454" s="679">
        <f>+S454</f>
        <v>-13569.356666666672</v>
      </c>
      <c r="W454" s="679"/>
      <c r="X454" s="702"/>
      <c r="Y454" s="679"/>
      <c r="Z454" s="679"/>
      <c r="AA454" s="642"/>
      <c r="AB454" s="679"/>
      <c r="AC454" s="643"/>
      <c r="AD454" s="644">
        <f>+V454</f>
        <v>-13569.356666666672</v>
      </c>
      <c r="AE454" s="643"/>
      <c r="AF454" s="677">
        <f t="shared" si="89"/>
        <v>0</v>
      </c>
    </row>
    <row r="455" spans="1:32">
      <c r="A455" s="604">
        <v>443</v>
      </c>
      <c r="B455" s="316" t="s">
        <v>956</v>
      </c>
      <c r="C455" s="316" t="s">
        <v>591</v>
      </c>
      <c r="D455" s="316" t="s">
        <v>515</v>
      </c>
      <c r="E455" s="589" t="s">
        <v>1655</v>
      </c>
      <c r="F455" s="603">
        <v>1.8189894035458601E-12</v>
      </c>
      <c r="G455" s="603">
        <v>1309.1600000000001</v>
      </c>
      <c r="H455" s="603">
        <v>1309.1600000000001</v>
      </c>
      <c r="I455" s="603">
        <v>-12620.42</v>
      </c>
      <c r="J455" s="603">
        <v>1309.1600000000001</v>
      </c>
      <c r="K455" s="603">
        <v>1309.1600000000001</v>
      </c>
      <c r="L455" s="603">
        <v>1309.1600000000001</v>
      </c>
      <c r="M455" s="603">
        <v>1309.1600000000001</v>
      </c>
      <c r="N455" s="603">
        <v>-14590.46</v>
      </c>
      <c r="O455" s="603">
        <v>-1.8189894035458601E-12</v>
      </c>
      <c r="P455" s="603">
        <v>-1.8189894035458601E-12</v>
      </c>
      <c r="Q455" s="603">
        <v>-1.8189894035458601E-12</v>
      </c>
      <c r="R455" s="603">
        <v>-1.8189894035458601E-12</v>
      </c>
      <c r="S455" s="484">
        <f t="shared" si="82"/>
        <v>-1612.9933333333331</v>
      </c>
      <c r="T455" s="604"/>
      <c r="U455" s="642"/>
      <c r="V455" s="679">
        <f>+S455</f>
        <v>-1612.9933333333331</v>
      </c>
      <c r="W455" s="679"/>
      <c r="X455" s="702"/>
      <c r="Y455" s="679"/>
      <c r="Z455" s="679"/>
      <c r="AA455" s="642"/>
      <c r="AB455" s="679"/>
      <c r="AC455" s="643"/>
      <c r="AD455" s="644">
        <f>+V455</f>
        <v>-1612.9933333333331</v>
      </c>
      <c r="AE455" s="643"/>
      <c r="AF455" s="677">
        <f t="shared" si="89"/>
        <v>0</v>
      </c>
    </row>
    <row r="456" spans="1:32">
      <c r="A456" s="604">
        <v>444</v>
      </c>
      <c r="B456" s="316" t="s">
        <v>956</v>
      </c>
      <c r="C456" s="316" t="s">
        <v>591</v>
      </c>
      <c r="D456" s="316" t="s">
        <v>549</v>
      </c>
      <c r="E456" s="589" t="s">
        <v>1656</v>
      </c>
      <c r="F456" s="603">
        <v>-1309.05</v>
      </c>
      <c r="G456" s="603">
        <v>-1711.24</v>
      </c>
      <c r="H456" s="603">
        <v>-2214.2399999999998</v>
      </c>
      <c r="I456" s="603">
        <v>-2841.3</v>
      </c>
      <c r="J456" s="603">
        <v>-1734.02</v>
      </c>
      <c r="K456" s="603">
        <v>-2162.9</v>
      </c>
      <c r="L456" s="603">
        <v>-2574.96</v>
      </c>
      <c r="M456" s="603">
        <v>-2997.03</v>
      </c>
      <c r="N456" s="603">
        <v>-1010.92</v>
      </c>
      <c r="O456" s="603">
        <v>-1402.37</v>
      </c>
      <c r="P456" s="603">
        <v>-412.51</v>
      </c>
      <c r="Q456" s="603">
        <v>-832.16</v>
      </c>
      <c r="R456" s="603">
        <v>-1221.53</v>
      </c>
      <c r="S456" s="484">
        <f t="shared" si="82"/>
        <v>-1763.2449999999999</v>
      </c>
      <c r="T456" s="604"/>
      <c r="U456" s="642"/>
      <c r="V456" s="679">
        <f>+S456</f>
        <v>-1763.2449999999999</v>
      </c>
      <c r="W456" s="679"/>
      <c r="X456" s="702"/>
      <c r="Y456" s="679"/>
      <c r="Z456" s="679"/>
      <c r="AA456" s="642"/>
      <c r="AB456" s="679"/>
      <c r="AC456" s="643"/>
      <c r="AD456" s="644">
        <f>+V456</f>
        <v>-1763.2449999999999</v>
      </c>
      <c r="AE456" s="643"/>
      <c r="AF456" s="677">
        <f t="shared" si="89"/>
        <v>0</v>
      </c>
    </row>
    <row r="457" spans="1:32">
      <c r="A457" s="604">
        <v>445</v>
      </c>
      <c r="B457" s="604"/>
      <c r="C457" s="604"/>
      <c r="D457" s="604"/>
      <c r="E457" s="589" t="s">
        <v>592</v>
      </c>
      <c r="F457" s="295">
        <f t="shared" ref="F457:S457" si="93">SUM(F453:F456)</f>
        <v>-1309.0499999999981</v>
      </c>
      <c r="G457" s="295">
        <f t="shared" si="93"/>
        <v>-402.07999999999993</v>
      </c>
      <c r="H457" s="295">
        <f t="shared" si="93"/>
        <v>-905.0799999999997</v>
      </c>
      <c r="I457" s="295">
        <f t="shared" si="93"/>
        <v>-203933.07</v>
      </c>
      <c r="J457" s="295">
        <f t="shared" si="93"/>
        <v>-424.8599999999999</v>
      </c>
      <c r="K457" s="295">
        <f t="shared" si="93"/>
        <v>-853.74</v>
      </c>
      <c r="L457" s="295">
        <f t="shared" si="93"/>
        <v>-1265.8</v>
      </c>
      <c r="M457" s="295">
        <f t="shared" si="93"/>
        <v>-1687.8700000000001</v>
      </c>
      <c r="N457" s="295">
        <f t="shared" si="93"/>
        <v>-219131.7</v>
      </c>
      <c r="O457" s="295">
        <f t="shared" si="93"/>
        <v>-1402.3700000000017</v>
      </c>
      <c r="P457" s="295">
        <f t="shared" si="93"/>
        <v>495.28999999999814</v>
      </c>
      <c r="Q457" s="295">
        <f t="shared" si="93"/>
        <v>75.639999999998167</v>
      </c>
      <c r="R457" s="295">
        <f t="shared" si="93"/>
        <v>-313.73000000000184</v>
      </c>
      <c r="S457" s="486">
        <f t="shared" si="93"/>
        <v>-35853.919166666674</v>
      </c>
      <c r="T457" s="604"/>
      <c r="U457" s="642"/>
      <c r="V457" s="679"/>
      <c r="W457" s="679"/>
      <c r="X457" s="702"/>
      <c r="Y457" s="679"/>
      <c r="Z457" s="679"/>
      <c r="AA457" s="642"/>
      <c r="AB457" s="679"/>
      <c r="AC457" s="643"/>
      <c r="AD457" s="643"/>
      <c r="AE457" s="643"/>
      <c r="AF457" s="677">
        <f t="shared" si="89"/>
        <v>0</v>
      </c>
    </row>
    <row r="458" spans="1:32">
      <c r="A458" s="604">
        <v>446</v>
      </c>
      <c r="B458" s="604"/>
      <c r="C458" s="604"/>
      <c r="D458" s="604"/>
      <c r="E458" s="589"/>
      <c r="F458" s="603"/>
      <c r="G458" s="314"/>
      <c r="H458" s="305"/>
      <c r="I458" s="305"/>
      <c r="J458" s="306"/>
      <c r="K458" s="307"/>
      <c r="L458" s="308"/>
      <c r="M458" s="309"/>
      <c r="N458" s="310"/>
      <c r="O458" s="590"/>
      <c r="P458" s="311"/>
      <c r="Q458" s="315"/>
      <c r="R458" s="603"/>
      <c r="S458" s="294"/>
      <c r="T458" s="604"/>
      <c r="U458" s="642"/>
      <c r="V458" s="679"/>
      <c r="W458" s="679"/>
      <c r="X458" s="702"/>
      <c r="Y458" s="679"/>
      <c r="Z458" s="679"/>
      <c r="AA458" s="642"/>
      <c r="AB458" s="679"/>
      <c r="AC458" s="643"/>
      <c r="AD458" s="643"/>
      <c r="AE458" s="643"/>
      <c r="AF458" s="677">
        <f t="shared" si="89"/>
        <v>0</v>
      </c>
    </row>
    <row r="459" spans="1:32">
      <c r="A459" s="604">
        <v>447</v>
      </c>
      <c r="B459" s="604"/>
      <c r="C459" s="604"/>
      <c r="D459" s="604"/>
      <c r="E459" s="589" t="s">
        <v>593</v>
      </c>
      <c r="F459" s="295">
        <f>SUM(F421:F440)+F451+F457</f>
        <v>-68448004.469999999</v>
      </c>
      <c r="G459" s="295">
        <f>SUM(G421:G440)+G451+G457</f>
        <v>-72856652.530000001</v>
      </c>
      <c r="H459" s="295">
        <f t="shared" ref="H459:R459" si="94">SUM(H421:H440)+H451+H457</f>
        <v>-83692932.400000021</v>
      </c>
      <c r="I459" s="295">
        <f t="shared" si="94"/>
        <v>-128599309.39000002</v>
      </c>
      <c r="J459" s="295">
        <f t="shared" si="94"/>
        <v>-91194215.01000002</v>
      </c>
      <c r="K459" s="295">
        <f t="shared" si="94"/>
        <v>-87689955.140000001</v>
      </c>
      <c r="L459" s="295">
        <f t="shared" si="94"/>
        <v>-56138812.299999997</v>
      </c>
      <c r="M459" s="295">
        <f t="shared" si="94"/>
        <v>-62275082.989999995</v>
      </c>
      <c r="N459" s="295">
        <f t="shared" si="94"/>
        <v>-63145705.640000008</v>
      </c>
      <c r="O459" s="295">
        <f t="shared" si="94"/>
        <v>-60988461.799999997</v>
      </c>
      <c r="P459" s="295">
        <f t="shared" si="94"/>
        <v>-70227845.199999988</v>
      </c>
      <c r="Q459" s="295">
        <f t="shared" si="94"/>
        <v>-75329339.150000006</v>
      </c>
      <c r="R459" s="295">
        <f t="shared" si="94"/>
        <v>-47045472.370000005</v>
      </c>
      <c r="S459" s="486">
        <f>SUM(S424:S440)+S451+S457+S421+S422</f>
        <v>-75823754.164166704</v>
      </c>
      <c r="T459" s="604"/>
      <c r="U459" s="642"/>
      <c r="V459" s="679"/>
      <c r="W459" s="679"/>
      <c r="X459" s="702"/>
      <c r="Y459" s="679"/>
      <c r="Z459" s="679"/>
      <c r="AA459" s="642"/>
      <c r="AB459" s="679"/>
      <c r="AC459" s="643"/>
      <c r="AD459" s="643"/>
      <c r="AE459" s="643"/>
      <c r="AF459" s="677">
        <f t="shared" si="89"/>
        <v>0</v>
      </c>
    </row>
    <row r="460" spans="1:32">
      <c r="A460" s="604">
        <v>448</v>
      </c>
      <c r="B460" s="604"/>
      <c r="C460" s="604"/>
      <c r="D460" s="604"/>
      <c r="E460" s="589"/>
      <c r="F460" s="603"/>
      <c r="G460" s="314"/>
      <c r="H460" s="305"/>
      <c r="I460" s="305"/>
      <c r="J460" s="306"/>
      <c r="K460" s="307"/>
      <c r="L460" s="308"/>
      <c r="M460" s="309"/>
      <c r="N460" s="310"/>
      <c r="O460" s="590"/>
      <c r="P460" s="311"/>
      <c r="Q460" s="315"/>
      <c r="R460" s="603"/>
      <c r="S460" s="294"/>
      <c r="T460" s="604"/>
      <c r="U460" s="642"/>
      <c r="V460" s="679"/>
      <c r="W460" s="679"/>
      <c r="X460" s="702"/>
      <c r="Y460" s="679"/>
      <c r="Z460" s="679"/>
      <c r="AA460" s="642"/>
      <c r="AB460" s="679"/>
      <c r="AC460" s="643"/>
      <c r="AD460" s="643"/>
      <c r="AE460" s="643"/>
      <c r="AF460" s="677">
        <f t="shared" si="89"/>
        <v>0</v>
      </c>
    </row>
    <row r="461" spans="1:32">
      <c r="A461" s="604">
        <v>449</v>
      </c>
      <c r="B461" s="604"/>
      <c r="C461" s="604"/>
      <c r="D461" s="604"/>
      <c r="E461" s="589"/>
      <c r="F461" s="603"/>
      <c r="G461" s="314"/>
      <c r="H461" s="305"/>
      <c r="I461" s="305"/>
      <c r="J461" s="306"/>
      <c r="K461" s="307"/>
      <c r="L461" s="308"/>
      <c r="M461" s="309"/>
      <c r="N461" s="310"/>
      <c r="O461" s="590"/>
      <c r="P461" s="311"/>
      <c r="Q461" s="315"/>
      <c r="R461" s="603"/>
      <c r="S461" s="294"/>
      <c r="T461" s="604"/>
      <c r="U461" s="642"/>
      <c r="V461" s="679"/>
      <c r="W461" s="679"/>
      <c r="X461" s="702"/>
      <c r="Y461" s="679"/>
      <c r="Z461" s="679"/>
      <c r="AA461" s="642"/>
      <c r="AB461" s="679"/>
      <c r="AC461" s="643"/>
      <c r="AD461" s="643"/>
      <c r="AE461" s="643"/>
      <c r="AF461" s="677"/>
    </row>
    <row r="462" spans="1:32">
      <c r="A462" s="604">
        <v>450</v>
      </c>
      <c r="B462" s="604">
        <v>47</v>
      </c>
      <c r="C462" s="604" t="s">
        <v>608</v>
      </c>
      <c r="D462" s="604" t="s">
        <v>450</v>
      </c>
      <c r="E462" s="589" t="s">
        <v>1898</v>
      </c>
      <c r="F462" s="603">
        <v>-379517.67</v>
      </c>
      <c r="G462" s="314">
        <v>-379517.67</v>
      </c>
      <c r="H462" s="305">
        <v>-379517.67</v>
      </c>
      <c r="I462" s="305">
        <v>-607717.67000000004</v>
      </c>
      <c r="J462" s="306">
        <v>-607717.67000000004</v>
      </c>
      <c r="K462" s="307">
        <v>-607717.67000000004</v>
      </c>
      <c r="L462" s="308">
        <v>-703517.67</v>
      </c>
      <c r="M462" s="309">
        <v>-703517.67</v>
      </c>
      <c r="N462" s="310">
        <v>-703517.67</v>
      </c>
      <c r="O462" s="590">
        <v>-338797.26</v>
      </c>
      <c r="P462" s="311">
        <v>-91243.58</v>
      </c>
      <c r="Q462" s="315">
        <v>4.3655745685100601E-11</v>
      </c>
      <c r="R462" s="603">
        <v>-30100</v>
      </c>
      <c r="S462" s="484">
        <f t="shared" ref="S462:S684" si="95">((F462+R462)+((G462+H462+I462+J462+K462+L462+M462+N462+O462+P462+Q462)*2))/24</f>
        <v>-443965.91958333337</v>
      </c>
      <c r="T462" s="604"/>
      <c r="U462" s="642"/>
      <c r="V462" s="679">
        <f>+S462</f>
        <v>-443965.91958333337</v>
      </c>
      <c r="W462" s="679"/>
      <c r="X462" s="702"/>
      <c r="Y462" s="679"/>
      <c r="Z462" s="679"/>
      <c r="AA462" s="642"/>
      <c r="AB462" s="679"/>
      <c r="AC462" s="643"/>
      <c r="AD462" s="644">
        <f>+S462</f>
        <v>-443965.91958333337</v>
      </c>
      <c r="AE462" s="643"/>
      <c r="AF462" s="677"/>
    </row>
    <row r="463" spans="1:32">
      <c r="A463" s="604">
        <v>451</v>
      </c>
      <c r="B463" s="316" t="s">
        <v>956</v>
      </c>
      <c r="C463" s="316" t="s">
        <v>609</v>
      </c>
      <c r="D463" s="316" t="s">
        <v>481</v>
      </c>
      <c r="E463" s="589" t="s">
        <v>610</v>
      </c>
      <c r="F463" s="603">
        <v>-24135</v>
      </c>
      <c r="G463" s="603">
        <v>-24135</v>
      </c>
      <c r="H463" s="603">
        <v>-24135</v>
      </c>
      <c r="I463" s="603">
        <v>-24135</v>
      </c>
      <c r="J463" s="603">
        <v>-24135</v>
      </c>
      <c r="K463" s="603">
        <v>-24135</v>
      </c>
      <c r="L463" s="603">
        <v>-24135</v>
      </c>
      <c r="M463" s="603">
        <v>-24135</v>
      </c>
      <c r="N463" s="603">
        <v>-24135</v>
      </c>
      <c r="O463" s="603">
        <v>-24135</v>
      </c>
      <c r="P463" s="603">
        <v>-24135</v>
      </c>
      <c r="Q463" s="603">
        <v>-24135</v>
      </c>
      <c r="R463" s="603">
        <v>-24135</v>
      </c>
      <c r="S463" s="484">
        <f t="shared" si="95"/>
        <v>-24135</v>
      </c>
      <c r="T463" s="604"/>
      <c r="U463" s="642"/>
      <c r="V463" s="679">
        <f t="shared" ref="V463:V484" si="96">+S463</f>
        <v>-24135</v>
      </c>
      <c r="W463" s="679"/>
      <c r="X463" s="702"/>
      <c r="Y463" s="679"/>
      <c r="Z463" s="679"/>
      <c r="AA463" s="642"/>
      <c r="AB463" s="679"/>
      <c r="AC463" s="643"/>
      <c r="AD463" s="644">
        <f t="shared" ref="AD463:AD480" si="97">+V463</f>
        <v>-24135</v>
      </c>
      <c r="AE463" s="643"/>
      <c r="AF463" s="677">
        <f t="shared" si="89"/>
        <v>0</v>
      </c>
    </row>
    <row r="464" spans="1:32">
      <c r="A464" s="604">
        <v>452</v>
      </c>
      <c r="B464" s="316" t="s">
        <v>956</v>
      </c>
      <c r="C464" s="316" t="s">
        <v>594</v>
      </c>
      <c r="D464" s="316" t="s">
        <v>949</v>
      </c>
      <c r="E464" s="589" t="s">
        <v>1659</v>
      </c>
      <c r="F464" s="603">
        <v>9.3132257461547893E-10</v>
      </c>
      <c r="G464" s="603">
        <v>0</v>
      </c>
      <c r="H464" s="603">
        <v>0</v>
      </c>
      <c r="I464" s="603">
        <v>0</v>
      </c>
      <c r="J464" s="603">
        <v>0</v>
      </c>
      <c r="K464" s="603">
        <v>0</v>
      </c>
      <c r="L464" s="603">
        <v>0</v>
      </c>
      <c r="M464" s="603">
        <v>0</v>
      </c>
      <c r="N464" s="603">
        <v>0</v>
      </c>
      <c r="O464" s="603">
        <v>0</v>
      </c>
      <c r="P464" s="603">
        <v>0</v>
      </c>
      <c r="Q464" s="603">
        <v>0</v>
      </c>
      <c r="R464" s="603">
        <v>0</v>
      </c>
      <c r="S464" s="484">
        <f t="shared" si="95"/>
        <v>3.8805107275644955E-11</v>
      </c>
      <c r="T464" s="604"/>
      <c r="U464" s="642"/>
      <c r="V464" s="679">
        <f t="shared" si="96"/>
        <v>3.8805107275644955E-11</v>
      </c>
      <c r="W464" s="679"/>
      <c r="X464" s="702"/>
      <c r="Y464" s="679"/>
      <c r="Z464" s="679"/>
      <c r="AA464" s="642"/>
      <c r="AB464" s="679"/>
      <c r="AC464" s="643"/>
      <c r="AD464" s="644">
        <f t="shared" si="97"/>
        <v>3.8805107275644955E-11</v>
      </c>
      <c r="AE464" s="643"/>
      <c r="AF464" s="677">
        <f t="shared" si="89"/>
        <v>0</v>
      </c>
    </row>
    <row r="465" spans="1:32">
      <c r="A465" s="604">
        <v>453</v>
      </c>
      <c r="B465" s="316" t="s">
        <v>956</v>
      </c>
      <c r="C465" s="316" t="s">
        <v>595</v>
      </c>
      <c r="D465" s="316" t="s">
        <v>948</v>
      </c>
      <c r="E465" s="589" t="s">
        <v>1660</v>
      </c>
      <c r="F465" s="603">
        <v>-129565.47</v>
      </c>
      <c r="G465" s="603">
        <v>-154802.07</v>
      </c>
      <c r="H465" s="603">
        <v>-155416.01</v>
      </c>
      <c r="I465" s="603">
        <v>-167490.20000000001</v>
      </c>
      <c r="J465" s="603">
        <v>-104211.76</v>
      </c>
      <c r="K465" s="603">
        <v>-127291.67</v>
      </c>
      <c r="L465" s="603">
        <v>-130276.45</v>
      </c>
      <c r="M465" s="603">
        <v>-150713.28</v>
      </c>
      <c r="N465" s="603">
        <v>-168428.32</v>
      </c>
      <c r="O465" s="603">
        <v>-92548.62</v>
      </c>
      <c r="P465" s="603">
        <v>-114503.63</v>
      </c>
      <c r="Q465" s="603">
        <v>-119017.89</v>
      </c>
      <c r="R465" s="603">
        <v>-139783.25</v>
      </c>
      <c r="S465" s="484">
        <f t="shared" si="95"/>
        <v>-134947.85499999998</v>
      </c>
      <c r="T465" s="604"/>
      <c r="U465" s="642"/>
      <c r="V465" s="679">
        <f t="shared" si="96"/>
        <v>-134947.85499999998</v>
      </c>
      <c r="W465" s="679"/>
      <c r="X465" s="702"/>
      <c r="Y465" s="679"/>
      <c r="Z465" s="679"/>
      <c r="AA465" s="642"/>
      <c r="AB465" s="679"/>
      <c r="AC465" s="643"/>
      <c r="AD465" s="644">
        <f t="shared" si="97"/>
        <v>-134947.85499999998</v>
      </c>
      <c r="AE465" s="643"/>
      <c r="AF465" s="677">
        <f t="shared" si="89"/>
        <v>0</v>
      </c>
    </row>
    <row r="466" spans="1:32">
      <c r="A466" s="604">
        <v>454</v>
      </c>
      <c r="B466" s="316" t="s">
        <v>956</v>
      </c>
      <c r="C466" s="316" t="s">
        <v>595</v>
      </c>
      <c r="D466" s="316" t="s">
        <v>1187</v>
      </c>
      <c r="E466" s="589" t="s">
        <v>1661</v>
      </c>
      <c r="F466" s="603">
        <v>-91467.8</v>
      </c>
      <c r="G466" s="603">
        <v>-99661.6</v>
      </c>
      <c r="H466" s="603">
        <v>-34028.67</v>
      </c>
      <c r="I466" s="603">
        <v>-41411.040000000001</v>
      </c>
      <c r="J466" s="603">
        <v>-49001.66</v>
      </c>
      <c r="K466" s="603">
        <v>-61904.91</v>
      </c>
      <c r="L466" s="603">
        <v>-71772.570000000007</v>
      </c>
      <c r="M466" s="603">
        <v>-82456.28</v>
      </c>
      <c r="N466" s="603">
        <v>-92381.74</v>
      </c>
      <c r="O466" s="603">
        <v>-101952.82</v>
      </c>
      <c r="P466" s="603">
        <v>-120343.18</v>
      </c>
      <c r="Q466" s="603">
        <v>-134804.47</v>
      </c>
      <c r="R466" s="603">
        <v>-147991.14000000001</v>
      </c>
      <c r="S466" s="484">
        <f t="shared" si="95"/>
        <v>-84120.700833333321</v>
      </c>
      <c r="T466" s="604"/>
      <c r="U466" s="642"/>
      <c r="V466" s="679">
        <f t="shared" si="96"/>
        <v>-84120.700833333321</v>
      </c>
      <c r="W466" s="679"/>
      <c r="X466" s="702"/>
      <c r="Y466" s="679"/>
      <c r="Z466" s="679"/>
      <c r="AA466" s="642"/>
      <c r="AB466" s="679"/>
      <c r="AC466" s="643"/>
      <c r="AD466" s="644">
        <f t="shared" si="97"/>
        <v>-84120.700833333321</v>
      </c>
      <c r="AE466" s="643"/>
      <c r="AF466" s="677">
        <f t="shared" si="89"/>
        <v>0</v>
      </c>
    </row>
    <row r="467" spans="1:32">
      <c r="A467" s="604">
        <v>455</v>
      </c>
      <c r="B467" s="316" t="s">
        <v>956</v>
      </c>
      <c r="C467" s="316" t="s">
        <v>595</v>
      </c>
      <c r="D467" s="316" t="s">
        <v>949</v>
      </c>
      <c r="E467" s="589" t="s">
        <v>1662</v>
      </c>
      <c r="F467" s="603">
        <v>-10477.540000000001</v>
      </c>
      <c r="G467" s="603">
        <v>-15422.37</v>
      </c>
      <c r="H467" s="603">
        <v>-14310.3</v>
      </c>
      <c r="I467" s="603">
        <v>-14371.42</v>
      </c>
      <c r="J467" s="603">
        <v>-183.34000000000199</v>
      </c>
      <c r="K467" s="603">
        <v>-381.16000000000201</v>
      </c>
      <c r="L467" s="603">
        <v>-658.79000000000201</v>
      </c>
      <c r="M467" s="603">
        <v>-561.12000000000205</v>
      </c>
      <c r="N467" s="603">
        <v>-760.22000000000196</v>
      </c>
      <c r="O467" s="603">
        <v>-898.33000000000197</v>
      </c>
      <c r="P467" s="603">
        <v>-97.270000000002099</v>
      </c>
      <c r="Q467" s="603">
        <v>-194.88000000000201</v>
      </c>
      <c r="R467" s="603">
        <v>-11252.53</v>
      </c>
      <c r="S467" s="484">
        <f t="shared" si="95"/>
        <v>-4892.0195833333346</v>
      </c>
      <c r="T467" s="604"/>
      <c r="U467" s="642"/>
      <c r="V467" s="679">
        <f t="shared" si="96"/>
        <v>-4892.0195833333346</v>
      </c>
      <c r="W467" s="679"/>
      <c r="X467" s="702"/>
      <c r="Y467" s="679"/>
      <c r="Z467" s="679"/>
      <c r="AA467" s="642"/>
      <c r="AB467" s="679"/>
      <c r="AC467" s="643"/>
      <c r="AD467" s="644">
        <f t="shared" si="97"/>
        <v>-4892.0195833333346</v>
      </c>
      <c r="AE467" s="643"/>
      <c r="AF467" s="677">
        <f t="shared" si="89"/>
        <v>0</v>
      </c>
    </row>
    <row r="468" spans="1:32">
      <c r="A468" s="604">
        <v>456</v>
      </c>
      <c r="B468" s="316" t="s">
        <v>956</v>
      </c>
      <c r="C468" s="316" t="s">
        <v>595</v>
      </c>
      <c r="D468" s="316" t="s">
        <v>70</v>
      </c>
      <c r="E468" s="589" t="s">
        <v>1663</v>
      </c>
      <c r="F468" s="603">
        <v>-5803.23</v>
      </c>
      <c r="G468" s="603">
        <v>-11582.07</v>
      </c>
      <c r="H468" s="603">
        <v>-18648.330000000002</v>
      </c>
      <c r="I468" s="603">
        <v>-25096.81</v>
      </c>
      <c r="J468" s="603">
        <v>-9025.06</v>
      </c>
      <c r="K468" s="603">
        <v>-13022.16</v>
      </c>
      <c r="L468" s="603">
        <v>-14887</v>
      </c>
      <c r="M468" s="603">
        <v>-2948.76</v>
      </c>
      <c r="N468" s="603">
        <v>-3587.88</v>
      </c>
      <c r="O468" s="603">
        <v>-4258.08</v>
      </c>
      <c r="P468" s="603">
        <v>-847.91000000000201</v>
      </c>
      <c r="Q468" s="603">
        <v>-1289.18</v>
      </c>
      <c r="R468" s="603">
        <v>-5342.62</v>
      </c>
      <c r="S468" s="484">
        <f t="shared" si="95"/>
        <v>-9230.5137500000001</v>
      </c>
      <c r="T468" s="604"/>
      <c r="U468" s="642"/>
      <c r="V468" s="679">
        <f t="shared" si="96"/>
        <v>-9230.5137500000001</v>
      </c>
      <c r="W468" s="679"/>
      <c r="X468" s="702"/>
      <c r="Y468" s="679"/>
      <c r="Z468" s="679"/>
      <c r="AA468" s="642"/>
      <c r="AB468" s="679"/>
      <c r="AC468" s="643"/>
      <c r="AD468" s="644">
        <f t="shared" si="97"/>
        <v>-9230.5137500000001</v>
      </c>
      <c r="AE468" s="643"/>
      <c r="AF468" s="677">
        <f t="shared" si="89"/>
        <v>0</v>
      </c>
    </row>
    <row r="469" spans="1:32">
      <c r="A469" s="604">
        <v>457</v>
      </c>
      <c r="B469" s="316" t="s">
        <v>956</v>
      </c>
      <c r="C469" s="316" t="s">
        <v>595</v>
      </c>
      <c r="D469" s="604" t="s">
        <v>1156</v>
      </c>
      <c r="E469" s="589" t="s">
        <v>1664</v>
      </c>
      <c r="F469" s="603">
        <v>-985.4</v>
      </c>
      <c r="G469" s="603">
        <v>0</v>
      </c>
      <c r="H469" s="603">
        <v>0</v>
      </c>
      <c r="I469" s="603">
        <v>-5312.44</v>
      </c>
      <c r="J469" s="603">
        <v>0</v>
      </c>
      <c r="K469" s="603">
        <v>0</v>
      </c>
      <c r="L469" s="603">
        <v>-25079.21</v>
      </c>
      <c r="M469" s="603">
        <v>0</v>
      </c>
      <c r="N469" s="603">
        <v>0</v>
      </c>
      <c r="O469" s="603">
        <v>-27807.85</v>
      </c>
      <c r="P469" s="603">
        <v>-31732.3</v>
      </c>
      <c r="Q469" s="603">
        <v>-41733.56</v>
      </c>
      <c r="R469" s="603">
        <v>0</v>
      </c>
      <c r="S469" s="484">
        <f t="shared" si="95"/>
        <v>-11013.171666666667</v>
      </c>
      <c r="T469" s="604"/>
      <c r="U469" s="642"/>
      <c r="V469" s="679">
        <f t="shared" si="96"/>
        <v>-11013.171666666667</v>
      </c>
      <c r="W469" s="679"/>
      <c r="X469" s="702"/>
      <c r="Y469" s="679"/>
      <c r="Z469" s="679"/>
      <c r="AA469" s="642"/>
      <c r="AB469" s="679"/>
      <c r="AC469" s="643"/>
      <c r="AD469" s="644">
        <f t="shared" si="97"/>
        <v>-11013.171666666667</v>
      </c>
      <c r="AE469" s="643"/>
      <c r="AF469" s="677">
        <f t="shared" si="89"/>
        <v>0</v>
      </c>
    </row>
    <row r="470" spans="1:32">
      <c r="A470" s="604">
        <v>458</v>
      </c>
      <c r="B470" s="316" t="s">
        <v>956</v>
      </c>
      <c r="C470" s="316" t="s">
        <v>595</v>
      </c>
      <c r="D470" s="316" t="s">
        <v>1402</v>
      </c>
      <c r="E470" s="589" t="s">
        <v>1665</v>
      </c>
      <c r="F470" s="603">
        <v>0</v>
      </c>
      <c r="G470" s="603">
        <v>0</v>
      </c>
      <c r="H470" s="603">
        <v>0</v>
      </c>
      <c r="I470" s="603">
        <v>-1781.97</v>
      </c>
      <c r="J470" s="603">
        <v>852.74</v>
      </c>
      <c r="K470" s="603">
        <v>852.74</v>
      </c>
      <c r="L470" s="603">
        <v>-1709.42</v>
      </c>
      <c r="M470" s="603">
        <v>852.74</v>
      </c>
      <c r="N470" s="603">
        <v>13.11</v>
      </c>
      <c r="O470" s="603">
        <v>-895.76</v>
      </c>
      <c r="P470" s="603">
        <v>-306.87</v>
      </c>
      <c r="Q470" s="603">
        <v>-548.22</v>
      </c>
      <c r="R470" s="603">
        <v>-766.71</v>
      </c>
      <c r="S470" s="484">
        <f t="shared" si="95"/>
        <v>-254.52208333333331</v>
      </c>
      <c r="T470" s="604"/>
      <c r="U470" s="642"/>
      <c r="V470" s="679">
        <f t="shared" si="96"/>
        <v>-254.52208333333331</v>
      </c>
      <c r="W470" s="679"/>
      <c r="X470" s="702"/>
      <c r="Y470" s="679"/>
      <c r="Z470" s="679"/>
      <c r="AA470" s="642"/>
      <c r="AB470" s="679"/>
      <c r="AC470" s="643"/>
      <c r="AD470" s="644">
        <f t="shared" si="97"/>
        <v>-254.52208333333331</v>
      </c>
      <c r="AE470" s="643"/>
      <c r="AF470" s="677">
        <f t="shared" si="89"/>
        <v>0</v>
      </c>
    </row>
    <row r="471" spans="1:32">
      <c r="A471" s="604">
        <v>459</v>
      </c>
      <c r="B471" s="316" t="s">
        <v>956</v>
      </c>
      <c r="C471" s="316" t="s">
        <v>595</v>
      </c>
      <c r="D471" s="316" t="s">
        <v>93</v>
      </c>
      <c r="E471" s="589" t="s">
        <v>1666</v>
      </c>
      <c r="F471" s="603">
        <v>-9109.7999999999993</v>
      </c>
      <c r="G471" s="603">
        <v>-17034.45</v>
      </c>
      <c r="H471" s="603">
        <v>-28797.9</v>
      </c>
      <c r="I471" s="603">
        <v>-37576.379999999997</v>
      </c>
      <c r="J471" s="603">
        <v>-11906.16</v>
      </c>
      <c r="K471" s="603">
        <v>51711.99</v>
      </c>
      <c r="L471" s="603">
        <v>47225.06</v>
      </c>
      <c r="M471" s="603">
        <v>43899.66</v>
      </c>
      <c r="N471" s="603">
        <v>-8675.73</v>
      </c>
      <c r="O471" s="603">
        <v>-10195.17</v>
      </c>
      <c r="P471" s="603">
        <v>-1543.67</v>
      </c>
      <c r="Q471" s="603">
        <v>-2272.86</v>
      </c>
      <c r="R471" s="603">
        <v>-10011.82</v>
      </c>
      <c r="S471" s="484">
        <f t="shared" si="95"/>
        <v>1272.798333333332</v>
      </c>
      <c r="T471" s="604"/>
      <c r="U471" s="642"/>
      <c r="V471" s="679">
        <f t="shared" si="96"/>
        <v>1272.798333333332</v>
      </c>
      <c r="W471" s="679"/>
      <c r="X471" s="702"/>
      <c r="Y471" s="679"/>
      <c r="Z471" s="679"/>
      <c r="AA471" s="642"/>
      <c r="AB471" s="679"/>
      <c r="AC471" s="643"/>
      <c r="AD471" s="644">
        <f t="shared" si="97"/>
        <v>1272.798333333332</v>
      </c>
      <c r="AE471" s="643"/>
      <c r="AF471" s="677">
        <f t="shared" si="89"/>
        <v>0</v>
      </c>
    </row>
    <row r="472" spans="1:32">
      <c r="A472" s="604">
        <v>460</v>
      </c>
      <c r="B472" s="316" t="s">
        <v>956</v>
      </c>
      <c r="C472" s="316" t="s">
        <v>595</v>
      </c>
      <c r="D472" s="316" t="s">
        <v>1403</v>
      </c>
      <c r="E472" s="589" t="s">
        <v>1667</v>
      </c>
      <c r="F472" s="603">
        <v>-71423.69</v>
      </c>
      <c r="G472" s="603">
        <v>0</v>
      </c>
      <c r="H472" s="603">
        <v>0</v>
      </c>
      <c r="I472" s="603">
        <v>-78265.179999999993</v>
      </c>
      <c r="J472" s="603">
        <v>0</v>
      </c>
      <c r="K472" s="603">
        <v>0</v>
      </c>
      <c r="L472" s="603">
        <v>-146828.9</v>
      </c>
      <c r="M472" s="603">
        <v>-3548.45999999999</v>
      </c>
      <c r="N472" s="603">
        <v>8.1854523159563493E-12</v>
      </c>
      <c r="O472" s="603">
        <v>-82589.990000000005</v>
      </c>
      <c r="P472" s="603">
        <v>-108008.53</v>
      </c>
      <c r="Q472" s="603">
        <v>-55569.09</v>
      </c>
      <c r="R472" s="603">
        <v>-79962.61</v>
      </c>
      <c r="S472" s="484">
        <f t="shared" si="95"/>
        <v>-45875.274999999994</v>
      </c>
      <c r="T472" s="604"/>
      <c r="U472" s="642"/>
      <c r="V472" s="679">
        <f t="shared" si="96"/>
        <v>-45875.274999999994</v>
      </c>
      <c r="W472" s="679"/>
      <c r="X472" s="702"/>
      <c r="Y472" s="679"/>
      <c r="Z472" s="679"/>
      <c r="AA472" s="642"/>
      <c r="AB472" s="679"/>
      <c r="AC472" s="643"/>
      <c r="AD472" s="644">
        <f t="shared" si="97"/>
        <v>-45875.274999999994</v>
      </c>
      <c r="AE472" s="643"/>
      <c r="AF472" s="677">
        <f t="shared" si="89"/>
        <v>0</v>
      </c>
    </row>
    <row r="473" spans="1:32">
      <c r="A473" s="604">
        <v>461</v>
      </c>
      <c r="B473" s="316" t="s">
        <v>956</v>
      </c>
      <c r="C473" s="316" t="s">
        <v>595</v>
      </c>
      <c r="D473" s="316" t="s">
        <v>1899</v>
      </c>
      <c r="E473" s="589" t="s">
        <v>1667</v>
      </c>
      <c r="F473" s="603">
        <v>0</v>
      </c>
      <c r="G473" s="603">
        <v>-6089.54</v>
      </c>
      <c r="H473" s="603">
        <v>-16011.4</v>
      </c>
      <c r="I473" s="603">
        <v>-25667.31</v>
      </c>
      <c r="J473" s="603">
        <v>-33140.21</v>
      </c>
      <c r="K473" s="603">
        <v>-13082.53</v>
      </c>
      <c r="L473" s="603">
        <v>-20607.52</v>
      </c>
      <c r="M473" s="603">
        <v>-28197.32</v>
      </c>
      <c r="N473" s="603">
        <v>-19606.07</v>
      </c>
      <c r="O473" s="603">
        <v>-26881.07</v>
      </c>
      <c r="P473" s="603">
        <v>-34787.53</v>
      </c>
      <c r="Q473" s="603">
        <v>-16447.91</v>
      </c>
      <c r="R473" s="603">
        <v>-23699.43</v>
      </c>
      <c r="S473" s="484">
        <f t="shared" si="95"/>
        <v>-21030.677083333332</v>
      </c>
      <c r="T473" s="604"/>
      <c r="U473" s="642"/>
      <c r="V473" s="679">
        <f>+S473</f>
        <v>-21030.677083333332</v>
      </c>
      <c r="W473" s="679"/>
      <c r="X473" s="702"/>
      <c r="Y473" s="679"/>
      <c r="Z473" s="679"/>
      <c r="AA473" s="642"/>
      <c r="AB473" s="679"/>
      <c r="AC473" s="643"/>
      <c r="AD473" s="644">
        <f t="shared" si="97"/>
        <v>-21030.677083333332</v>
      </c>
      <c r="AE473" s="643"/>
      <c r="AF473" s="677">
        <f t="shared" si="89"/>
        <v>0</v>
      </c>
    </row>
    <row r="474" spans="1:32">
      <c r="A474" s="604">
        <v>462</v>
      </c>
      <c r="B474" s="316" t="s">
        <v>956</v>
      </c>
      <c r="C474" s="316" t="s">
        <v>596</v>
      </c>
      <c r="D474" s="316"/>
      <c r="E474" s="589" t="s">
        <v>1668</v>
      </c>
      <c r="F474" s="603">
        <v>-4512.1000000000004</v>
      </c>
      <c r="G474" s="603">
        <v>-8005.13</v>
      </c>
      <c r="H474" s="603">
        <v>-2175.64</v>
      </c>
      <c r="I474" s="603">
        <v>-16022.16</v>
      </c>
      <c r="J474" s="603">
        <v>-1720.98</v>
      </c>
      <c r="K474" s="603">
        <v>-17838.740000000002</v>
      </c>
      <c r="L474" s="603">
        <v>-550.78000000000202</v>
      </c>
      <c r="M474" s="603">
        <v>-2048</v>
      </c>
      <c r="N474" s="603">
        <v>-8330.27</v>
      </c>
      <c r="O474" s="603">
        <v>-7944.76</v>
      </c>
      <c r="P474" s="603">
        <v>-6135.49</v>
      </c>
      <c r="Q474" s="603">
        <v>-6993.22</v>
      </c>
      <c r="R474" s="603">
        <v>-11696.45</v>
      </c>
      <c r="S474" s="484">
        <f t="shared" si="95"/>
        <v>-7155.7870833333327</v>
      </c>
      <c r="T474" s="604"/>
      <c r="U474" s="642"/>
      <c r="V474" s="679">
        <f t="shared" si="96"/>
        <v>-7155.7870833333327</v>
      </c>
      <c r="W474" s="679"/>
      <c r="X474" s="702"/>
      <c r="Y474" s="679"/>
      <c r="Z474" s="679"/>
      <c r="AA474" s="642"/>
      <c r="AB474" s="679"/>
      <c r="AC474" s="643"/>
      <c r="AD474" s="644">
        <f t="shared" si="97"/>
        <v>-7155.7870833333327</v>
      </c>
      <c r="AE474" s="643"/>
      <c r="AF474" s="677">
        <f t="shared" si="89"/>
        <v>0</v>
      </c>
    </row>
    <row r="475" spans="1:32">
      <c r="A475" s="604">
        <v>463</v>
      </c>
      <c r="B475" s="316" t="s">
        <v>959</v>
      </c>
      <c r="C475" s="316" t="s">
        <v>596</v>
      </c>
      <c r="D475" s="316" t="s">
        <v>515</v>
      </c>
      <c r="E475" s="589" t="s">
        <v>1699</v>
      </c>
      <c r="F475" s="603">
        <v>-26.14</v>
      </c>
      <c r="G475" s="603">
        <v>0</v>
      </c>
      <c r="H475" s="603">
        <v>-20.87</v>
      </c>
      <c r="I475" s="603">
        <v>0</v>
      </c>
      <c r="J475" s="603">
        <v>0</v>
      </c>
      <c r="K475" s="603">
        <v>-72.22</v>
      </c>
      <c r="L475" s="603">
        <v>-21.68</v>
      </c>
      <c r="M475" s="603">
        <v>-21</v>
      </c>
      <c r="N475" s="603">
        <v>-46.58</v>
      </c>
      <c r="O475" s="603">
        <v>-8.9999999999996305E-2</v>
      </c>
      <c r="P475" s="603">
        <v>-5.25</v>
      </c>
      <c r="Q475" s="603">
        <v>3.5527136788005001E-15</v>
      </c>
      <c r="R475" s="603">
        <v>-13.91</v>
      </c>
      <c r="S475" s="484">
        <f t="shared" si="95"/>
        <v>-17.309583333333336</v>
      </c>
      <c r="T475" s="604"/>
      <c r="U475" s="642"/>
      <c r="V475" s="679">
        <f t="shared" si="96"/>
        <v>-17.309583333333336</v>
      </c>
      <c r="W475" s="679"/>
      <c r="X475" s="702"/>
      <c r="Y475" s="679"/>
      <c r="Z475" s="679"/>
      <c r="AA475" s="642"/>
      <c r="AB475" s="679"/>
      <c r="AC475" s="643"/>
      <c r="AD475" s="644">
        <f t="shared" si="97"/>
        <v>-17.309583333333336</v>
      </c>
      <c r="AE475" s="643"/>
      <c r="AF475" s="677">
        <f t="shared" si="89"/>
        <v>0</v>
      </c>
    </row>
    <row r="476" spans="1:32">
      <c r="A476" s="604">
        <v>464</v>
      </c>
      <c r="B476" s="316" t="s">
        <v>984</v>
      </c>
      <c r="C476" s="316" t="s">
        <v>597</v>
      </c>
      <c r="D476" s="316" t="s">
        <v>948</v>
      </c>
      <c r="E476" s="589" t="s">
        <v>1700</v>
      </c>
      <c r="F476" s="603">
        <v>0</v>
      </c>
      <c r="G476" s="603">
        <v>0</v>
      </c>
      <c r="H476" s="603">
        <v>0</v>
      </c>
      <c r="I476" s="603">
        <v>0</v>
      </c>
      <c r="J476" s="603">
        <v>0</v>
      </c>
      <c r="K476" s="603">
        <v>0</v>
      </c>
      <c r="L476" s="603">
        <v>0</v>
      </c>
      <c r="M476" s="603">
        <v>-157394</v>
      </c>
      <c r="N476" s="603">
        <v>-314788</v>
      </c>
      <c r="O476" s="603">
        <v>-472182</v>
      </c>
      <c r="P476" s="603">
        <v>-629576</v>
      </c>
      <c r="Q476" s="603">
        <v>0</v>
      </c>
      <c r="R476" s="603">
        <v>0</v>
      </c>
      <c r="S476" s="484">
        <f t="shared" si="95"/>
        <v>-131161.66666666666</v>
      </c>
      <c r="T476" s="604"/>
      <c r="U476" s="642"/>
      <c r="V476" s="679">
        <f t="shared" si="96"/>
        <v>-131161.66666666666</v>
      </c>
      <c r="W476" s="679"/>
      <c r="X476" s="702"/>
      <c r="Y476" s="679"/>
      <c r="Z476" s="679"/>
      <c r="AA476" s="642"/>
      <c r="AB476" s="679"/>
      <c r="AC476" s="643"/>
      <c r="AD476" s="644">
        <f t="shared" si="97"/>
        <v>-131161.66666666666</v>
      </c>
      <c r="AE476" s="643"/>
      <c r="AF476" s="677">
        <f t="shared" si="89"/>
        <v>0</v>
      </c>
    </row>
    <row r="477" spans="1:32">
      <c r="A477" s="604">
        <v>465</v>
      </c>
      <c r="B477" s="316" t="s">
        <v>984</v>
      </c>
      <c r="C477" s="316" t="s">
        <v>597</v>
      </c>
      <c r="D477" s="316" t="s">
        <v>470</v>
      </c>
      <c r="E477" s="589" t="s">
        <v>1690</v>
      </c>
      <c r="F477" s="603">
        <v>-709456.17</v>
      </c>
      <c r="G477" s="603">
        <v>-544458.74</v>
      </c>
      <c r="H477" s="603">
        <v>-781478.16</v>
      </c>
      <c r="I477" s="603">
        <v>-1007790.95</v>
      </c>
      <c r="J477" s="603">
        <v>-383831.59</v>
      </c>
      <c r="K477" s="603">
        <v>-405417.44</v>
      </c>
      <c r="L477" s="603">
        <v>-452361.79</v>
      </c>
      <c r="M477" s="603">
        <v>-148123.29</v>
      </c>
      <c r="N477" s="603">
        <v>-199462.39</v>
      </c>
      <c r="O477" s="603">
        <v>-279629.99</v>
      </c>
      <c r="P477" s="603">
        <v>-293035.52000000002</v>
      </c>
      <c r="Q477" s="603">
        <v>-564104.62</v>
      </c>
      <c r="R477" s="603">
        <v>-920291.67</v>
      </c>
      <c r="S477" s="484">
        <f t="shared" si="95"/>
        <v>-489547.36666666664</v>
      </c>
      <c r="T477" s="604"/>
      <c r="U477" s="642"/>
      <c r="V477" s="679">
        <f t="shared" si="96"/>
        <v>-489547.36666666664</v>
      </c>
      <c r="W477" s="679"/>
      <c r="X477" s="702"/>
      <c r="Y477" s="679"/>
      <c r="Z477" s="679"/>
      <c r="AA477" s="642"/>
      <c r="AB477" s="679"/>
      <c r="AC477" s="643"/>
      <c r="AD477" s="644">
        <f t="shared" si="97"/>
        <v>-489547.36666666664</v>
      </c>
      <c r="AE477" s="643"/>
      <c r="AF477" s="677">
        <f t="shared" si="89"/>
        <v>0</v>
      </c>
    </row>
    <row r="478" spans="1:32">
      <c r="A478" s="604">
        <v>466</v>
      </c>
      <c r="B478" s="316" t="s">
        <v>959</v>
      </c>
      <c r="C478" s="316" t="s">
        <v>597</v>
      </c>
      <c r="D478" s="316" t="s">
        <v>948</v>
      </c>
      <c r="E478" s="589" t="s">
        <v>1700</v>
      </c>
      <c r="F478" s="603">
        <v>-2609583</v>
      </c>
      <c r="G478" s="603">
        <v>-2837921</v>
      </c>
      <c r="H478" s="603">
        <v>-3066259</v>
      </c>
      <c r="I478" s="603">
        <v>-3294597</v>
      </c>
      <c r="J478" s="603">
        <v>-1999040.86</v>
      </c>
      <c r="K478" s="603">
        <v>-2181038.86</v>
      </c>
      <c r="L478" s="603">
        <v>-2400108.86</v>
      </c>
      <c r="M478" s="603">
        <v>-2619178.86</v>
      </c>
      <c r="N478" s="603">
        <v>-1861990</v>
      </c>
      <c r="O478" s="603">
        <v>-2094739</v>
      </c>
      <c r="P478" s="603">
        <v>-2327488</v>
      </c>
      <c r="Q478" s="603">
        <v>-2560237</v>
      </c>
      <c r="R478" s="603">
        <v>-2792986</v>
      </c>
      <c r="S478" s="484">
        <f t="shared" si="95"/>
        <v>-2495323.5783333331</v>
      </c>
      <c r="T478" s="604"/>
      <c r="U478" s="642"/>
      <c r="V478" s="679">
        <f t="shared" si="96"/>
        <v>-2495323.5783333331</v>
      </c>
      <c r="W478" s="679"/>
      <c r="X478" s="702"/>
      <c r="Y478" s="679"/>
      <c r="Z478" s="679"/>
      <c r="AA478" s="642"/>
      <c r="AB478" s="679"/>
      <c r="AC478" s="643"/>
      <c r="AD478" s="644">
        <f t="shared" si="97"/>
        <v>-2495323.5783333331</v>
      </c>
      <c r="AE478" s="643"/>
      <c r="AF478" s="677">
        <f t="shared" si="89"/>
        <v>0</v>
      </c>
    </row>
    <row r="479" spans="1:32">
      <c r="A479" s="604">
        <v>467</v>
      </c>
      <c r="B479" s="316" t="s">
        <v>959</v>
      </c>
      <c r="C479" s="316" t="s">
        <v>597</v>
      </c>
      <c r="D479" s="316" t="s">
        <v>470</v>
      </c>
      <c r="E479" s="589" t="s">
        <v>1690</v>
      </c>
      <c r="F479" s="603">
        <v>-21934.62</v>
      </c>
      <c r="G479" s="603">
        <v>-27430.560000000001</v>
      </c>
      <c r="H479" s="603">
        <v>-27532.13</v>
      </c>
      <c r="I479" s="603">
        <v>-31135.78</v>
      </c>
      <c r="J479" s="603">
        <v>-21019.8</v>
      </c>
      <c r="K479" s="603">
        <v>-16692.04</v>
      </c>
      <c r="L479" s="603">
        <v>-9390.43</v>
      </c>
      <c r="M479" s="603">
        <v>-8255.4699999999993</v>
      </c>
      <c r="N479" s="603">
        <v>-7374.55</v>
      </c>
      <c r="O479" s="603">
        <v>-7184.47</v>
      </c>
      <c r="P479" s="603">
        <v>-9990.31</v>
      </c>
      <c r="Q479" s="603">
        <v>-18401.5</v>
      </c>
      <c r="R479" s="603">
        <v>-27823.65</v>
      </c>
      <c r="S479" s="484">
        <f t="shared" si="95"/>
        <v>-17440.514583333334</v>
      </c>
      <c r="T479" s="604"/>
      <c r="U479" s="642"/>
      <c r="V479" s="679">
        <f t="shared" si="96"/>
        <v>-17440.514583333334</v>
      </c>
      <c r="W479" s="679"/>
      <c r="X479" s="702"/>
      <c r="Y479" s="679"/>
      <c r="Z479" s="679"/>
      <c r="AA479" s="642"/>
      <c r="AB479" s="679"/>
      <c r="AC479" s="643"/>
      <c r="AD479" s="644">
        <f t="shared" si="97"/>
        <v>-17440.514583333334</v>
      </c>
      <c r="AE479" s="643"/>
      <c r="AF479" s="677">
        <f t="shared" si="89"/>
        <v>0</v>
      </c>
    </row>
    <row r="480" spans="1:32">
      <c r="A480" s="604">
        <v>468</v>
      </c>
      <c r="B480" s="316" t="s">
        <v>959</v>
      </c>
      <c r="C480" s="316" t="s">
        <v>597</v>
      </c>
      <c r="D480" s="316" t="s">
        <v>472</v>
      </c>
      <c r="E480" s="589" t="s">
        <v>1701</v>
      </c>
      <c r="F480" s="603">
        <v>-1426163.81</v>
      </c>
      <c r="G480" s="603">
        <v>-1358985.08</v>
      </c>
      <c r="H480" s="603">
        <v>-1649868.15</v>
      </c>
      <c r="I480" s="603">
        <v>-2005953.53</v>
      </c>
      <c r="J480" s="603">
        <v>-998560.67</v>
      </c>
      <c r="K480" s="603">
        <v>-806779.99</v>
      </c>
      <c r="L480" s="603">
        <v>-710886.74</v>
      </c>
      <c r="M480" s="603">
        <v>-425571.72</v>
      </c>
      <c r="N480" s="603">
        <v>-472240.06</v>
      </c>
      <c r="O480" s="603">
        <v>-511907.33</v>
      </c>
      <c r="P480" s="603">
        <v>-639920.81000000006</v>
      </c>
      <c r="Q480" s="603">
        <v>-1159905.6000000001</v>
      </c>
      <c r="R480" s="603">
        <v>-1879892.94</v>
      </c>
      <c r="S480" s="484">
        <f t="shared" si="95"/>
        <v>-1032800.67125</v>
      </c>
      <c r="T480" s="604"/>
      <c r="U480" s="642"/>
      <c r="V480" s="679">
        <f t="shared" si="96"/>
        <v>-1032800.67125</v>
      </c>
      <c r="W480" s="679"/>
      <c r="X480" s="702"/>
      <c r="Y480" s="679"/>
      <c r="Z480" s="679"/>
      <c r="AA480" s="642"/>
      <c r="AB480" s="679"/>
      <c r="AC480" s="643"/>
      <c r="AD480" s="644">
        <f t="shared" si="97"/>
        <v>-1032800.67125</v>
      </c>
      <c r="AE480" s="643"/>
      <c r="AF480" s="677">
        <f t="shared" si="89"/>
        <v>0</v>
      </c>
    </row>
    <row r="481" spans="1:32">
      <c r="A481" s="604">
        <v>469</v>
      </c>
      <c r="B481" s="316" t="s">
        <v>959</v>
      </c>
      <c r="C481" s="316" t="s">
        <v>597</v>
      </c>
      <c r="D481" s="316" t="s">
        <v>444</v>
      </c>
      <c r="E481" s="589" t="s">
        <v>1702</v>
      </c>
      <c r="F481" s="603">
        <v>-9882.26</v>
      </c>
      <c r="G481" s="603">
        <v>-9787.02</v>
      </c>
      <c r="H481" s="603">
        <v>-11182.37</v>
      </c>
      <c r="I481" s="603">
        <v>-12538.43</v>
      </c>
      <c r="J481" s="603">
        <v>-5768.13</v>
      </c>
      <c r="K481" s="603">
        <v>-3224</v>
      </c>
      <c r="L481" s="603">
        <v>-2199.13</v>
      </c>
      <c r="M481" s="603">
        <v>-1917.07</v>
      </c>
      <c r="N481" s="603">
        <v>-3151.52</v>
      </c>
      <c r="O481" s="603">
        <v>-2793.12</v>
      </c>
      <c r="P481" s="603">
        <v>-5690.58</v>
      </c>
      <c r="Q481" s="603">
        <v>-8672.2199999999993</v>
      </c>
      <c r="R481" s="603">
        <v>-11504.29</v>
      </c>
      <c r="S481" s="484">
        <f t="shared" si="95"/>
        <v>-6468.0720833333326</v>
      </c>
      <c r="T481" s="604"/>
      <c r="U481" s="642"/>
      <c r="V481" s="679">
        <f t="shared" si="96"/>
        <v>-6468.0720833333326</v>
      </c>
      <c r="W481" s="679"/>
      <c r="X481" s="702"/>
      <c r="Y481" s="679"/>
      <c r="Z481" s="679"/>
      <c r="AA481" s="642"/>
      <c r="AB481" s="679"/>
      <c r="AC481" s="649"/>
      <c r="AD481" s="644">
        <f>+S481</f>
        <v>-6468.0720833333326</v>
      </c>
      <c r="AE481" s="643"/>
      <c r="AF481" s="677">
        <f t="shared" si="89"/>
        <v>0</v>
      </c>
    </row>
    <row r="482" spans="1:32">
      <c r="A482" s="604">
        <v>470</v>
      </c>
      <c r="B482" s="316" t="s">
        <v>959</v>
      </c>
      <c r="C482" s="316" t="s">
        <v>597</v>
      </c>
      <c r="D482" s="316" t="s">
        <v>475</v>
      </c>
      <c r="E482" s="589" t="s">
        <v>1703</v>
      </c>
      <c r="F482" s="603">
        <v>-1344.79</v>
      </c>
      <c r="G482" s="603">
        <v>-643.51</v>
      </c>
      <c r="H482" s="603">
        <v>-1365.44</v>
      </c>
      <c r="I482" s="603">
        <v>-2110.3000000000002</v>
      </c>
      <c r="J482" s="603">
        <v>-428.78</v>
      </c>
      <c r="K482" s="603">
        <v>-863.85</v>
      </c>
      <c r="L482" s="603">
        <v>-1162.3800000000001</v>
      </c>
      <c r="M482" s="603">
        <v>-283.02999999999997</v>
      </c>
      <c r="N482" s="603">
        <v>-539.02</v>
      </c>
      <c r="O482" s="603">
        <v>-772.18</v>
      </c>
      <c r="P482" s="603">
        <v>-370.96</v>
      </c>
      <c r="Q482" s="603">
        <v>-935.52</v>
      </c>
      <c r="R482" s="603">
        <v>-1630.39</v>
      </c>
      <c r="S482" s="484">
        <f t="shared" si="95"/>
        <v>-913.54666666666662</v>
      </c>
      <c r="T482" s="604"/>
      <c r="U482" s="642"/>
      <c r="V482" s="679">
        <f t="shared" si="96"/>
        <v>-913.54666666666662</v>
      </c>
      <c r="W482" s="679"/>
      <c r="X482" s="702"/>
      <c r="Y482" s="679"/>
      <c r="Z482" s="679"/>
      <c r="AA482" s="642"/>
      <c r="AB482" s="679"/>
      <c r="AC482" s="643"/>
      <c r="AD482" s="644">
        <f>+S482</f>
        <v>-913.54666666666662</v>
      </c>
      <c r="AE482" s="643"/>
      <c r="AF482" s="677">
        <f t="shared" si="89"/>
        <v>0</v>
      </c>
    </row>
    <row r="483" spans="1:32">
      <c r="A483" s="604">
        <v>471</v>
      </c>
      <c r="B483" s="316" t="s">
        <v>959</v>
      </c>
      <c r="C483" s="316" t="s">
        <v>597</v>
      </c>
      <c r="D483" s="316" t="s">
        <v>1198</v>
      </c>
      <c r="E483" s="589" t="s">
        <v>1704</v>
      </c>
      <c r="F483" s="603">
        <v>-460550.9</v>
      </c>
      <c r="G483" s="603">
        <v>-519326.43</v>
      </c>
      <c r="H483" s="603">
        <v>-581865.69999999995</v>
      </c>
      <c r="I483" s="603">
        <v>-649970.06000000006</v>
      </c>
      <c r="J483" s="603">
        <v>-243797.94</v>
      </c>
      <c r="K483" s="603">
        <v>-262177.25</v>
      </c>
      <c r="L483" s="603">
        <v>-282839.92</v>
      </c>
      <c r="M483" s="603">
        <v>-301393.96999999997</v>
      </c>
      <c r="N483" s="603">
        <v>-319341.24</v>
      </c>
      <c r="O483" s="603">
        <v>-337096.42</v>
      </c>
      <c r="P483" s="603">
        <v>-365854.16</v>
      </c>
      <c r="Q483" s="603">
        <v>-411437.86</v>
      </c>
      <c r="R483" s="603">
        <v>-479297.52</v>
      </c>
      <c r="S483" s="484">
        <f t="shared" si="95"/>
        <v>-395418.76333333337</v>
      </c>
      <c r="T483" s="604"/>
      <c r="U483" s="642"/>
      <c r="V483" s="679">
        <f t="shared" si="96"/>
        <v>-395418.76333333337</v>
      </c>
      <c r="W483" s="679"/>
      <c r="X483" s="702"/>
      <c r="Y483" s="679"/>
      <c r="Z483" s="679"/>
      <c r="AA483" s="642"/>
      <c r="AB483" s="679"/>
      <c r="AC483" s="643"/>
      <c r="AD483" s="644">
        <f>+S483</f>
        <v>-395418.76333333337</v>
      </c>
      <c r="AE483" s="643"/>
      <c r="AF483" s="677">
        <f t="shared" si="89"/>
        <v>0</v>
      </c>
    </row>
    <row r="484" spans="1:32">
      <c r="A484" s="604">
        <v>472</v>
      </c>
      <c r="B484" s="316" t="s">
        <v>959</v>
      </c>
      <c r="C484" s="316" t="s">
        <v>597</v>
      </c>
      <c r="D484" s="316" t="s">
        <v>1199</v>
      </c>
      <c r="E484" s="589" t="s">
        <v>1705</v>
      </c>
      <c r="F484" s="603">
        <v>-1722879.56</v>
      </c>
      <c r="G484" s="603">
        <v>-1846427.53</v>
      </c>
      <c r="H484" s="603">
        <v>-2077328.43</v>
      </c>
      <c r="I484" s="603">
        <v>-1910216.81</v>
      </c>
      <c r="J484" s="603">
        <v>-1204070.96</v>
      </c>
      <c r="K484" s="603">
        <v>-823833.01</v>
      </c>
      <c r="L484" s="603">
        <v>-592575.56000000006</v>
      </c>
      <c r="M484" s="603">
        <v>-555151.97</v>
      </c>
      <c r="N484" s="603">
        <v>-493032.53</v>
      </c>
      <c r="O484" s="603">
        <v>-585370.29</v>
      </c>
      <c r="P484" s="603">
        <v>-1066739.44</v>
      </c>
      <c r="Q484" s="603">
        <v>-1718966.4</v>
      </c>
      <c r="R484" s="603">
        <v>-2281478.2999999998</v>
      </c>
      <c r="S484" s="484">
        <f t="shared" si="95"/>
        <v>-1239657.655</v>
      </c>
      <c r="T484" s="604"/>
      <c r="U484" s="642"/>
      <c r="V484" s="679">
        <f t="shared" si="96"/>
        <v>-1239657.655</v>
      </c>
      <c r="W484" s="679"/>
      <c r="X484" s="702"/>
      <c r="Y484" s="679"/>
      <c r="Z484" s="679"/>
      <c r="AA484" s="642"/>
      <c r="AB484" s="679"/>
      <c r="AC484" s="643"/>
      <c r="AD484" s="644">
        <f>+V484</f>
        <v>-1239657.655</v>
      </c>
      <c r="AE484" s="643"/>
      <c r="AF484" s="677">
        <f t="shared" si="89"/>
        <v>0</v>
      </c>
    </row>
    <row r="485" spans="1:32">
      <c r="A485" s="604">
        <v>473</v>
      </c>
      <c r="B485" s="316" t="s">
        <v>956</v>
      </c>
      <c r="C485" s="316" t="s">
        <v>598</v>
      </c>
      <c r="D485" s="604" t="s">
        <v>1112</v>
      </c>
      <c r="E485" s="589" t="s">
        <v>599</v>
      </c>
      <c r="F485" s="603">
        <v>-2960000</v>
      </c>
      <c r="G485" s="603">
        <v>0</v>
      </c>
      <c r="H485" s="603">
        <v>-2960000</v>
      </c>
      <c r="I485" s="603">
        <v>-2960000</v>
      </c>
      <c r="J485" s="603">
        <v>0</v>
      </c>
      <c r="K485" s="603">
        <v>-2480000</v>
      </c>
      <c r="L485" s="603">
        <v>-2480000</v>
      </c>
      <c r="M485" s="603">
        <v>0</v>
      </c>
      <c r="N485" s="603">
        <v>-2480000</v>
      </c>
      <c r="O485" s="603">
        <v>-2480000</v>
      </c>
      <c r="P485" s="603">
        <v>0</v>
      </c>
      <c r="Q485" s="603">
        <v>-2480000</v>
      </c>
      <c r="R485" s="603">
        <v>-2480000</v>
      </c>
      <c r="S485" s="484">
        <f t="shared" si="95"/>
        <v>-1753333.3333333333</v>
      </c>
      <c r="T485" s="604"/>
      <c r="U485" s="642"/>
      <c r="V485" s="650"/>
      <c r="W485" s="679">
        <f>+S485</f>
        <v>-1753333.3333333333</v>
      </c>
      <c r="X485" s="702"/>
      <c r="Y485" s="679"/>
      <c r="Z485" s="679"/>
      <c r="AA485" s="642"/>
      <c r="AB485" s="679"/>
      <c r="AC485" s="644">
        <f>+W485</f>
        <v>-1753333.3333333333</v>
      </c>
      <c r="AD485" s="649"/>
      <c r="AE485" s="643"/>
      <c r="AF485" s="677">
        <f t="shared" si="89"/>
        <v>0</v>
      </c>
    </row>
    <row r="486" spans="1:32">
      <c r="A486" s="604">
        <v>474</v>
      </c>
      <c r="B486" s="316" t="s">
        <v>984</v>
      </c>
      <c r="C486" s="316" t="s">
        <v>600</v>
      </c>
      <c r="D486" s="604" t="s">
        <v>1186</v>
      </c>
      <c r="E486" s="589" t="s">
        <v>601</v>
      </c>
      <c r="F486" s="603">
        <v>-214551.55</v>
      </c>
      <c r="G486" s="603">
        <v>-218550.05</v>
      </c>
      <c r="H486" s="603">
        <v>-218801.9</v>
      </c>
      <c r="I486" s="603">
        <v>-215999.99</v>
      </c>
      <c r="J486" s="603">
        <v>-198295.26</v>
      </c>
      <c r="K486" s="603">
        <v>-182418.51</v>
      </c>
      <c r="L486" s="603">
        <v>-179669.64</v>
      </c>
      <c r="M486" s="603">
        <v>-168647.67999999999</v>
      </c>
      <c r="N486" s="603">
        <v>-153082.81</v>
      </c>
      <c r="O486" s="603">
        <v>-144606.22</v>
      </c>
      <c r="P486" s="603">
        <v>-129804.87</v>
      </c>
      <c r="Q486" s="603">
        <v>-123427.45</v>
      </c>
      <c r="R486" s="603">
        <v>-118440.31</v>
      </c>
      <c r="S486" s="484">
        <f t="shared" si="95"/>
        <v>-174983.35916666666</v>
      </c>
      <c r="T486" s="604"/>
      <c r="U486" s="642"/>
      <c r="V486" s="650"/>
      <c r="W486" s="679"/>
      <c r="X486" s="679">
        <f>+S486</f>
        <v>-174983.35916666666</v>
      </c>
      <c r="Y486" s="679"/>
      <c r="Z486" s="679"/>
      <c r="AA486" s="642"/>
      <c r="AB486" s="644">
        <f>+X486</f>
        <v>-174983.35916666666</v>
      </c>
      <c r="AC486" s="643"/>
      <c r="AD486" s="649"/>
      <c r="AE486" s="643"/>
      <c r="AF486" s="677">
        <f t="shared" si="89"/>
        <v>0</v>
      </c>
    </row>
    <row r="487" spans="1:32">
      <c r="A487" s="604">
        <v>475</v>
      </c>
      <c r="B487" s="316" t="s">
        <v>959</v>
      </c>
      <c r="C487" s="316" t="s">
        <v>600</v>
      </c>
      <c r="D487" s="316" t="s">
        <v>1186</v>
      </c>
      <c r="E487" s="589" t="s">
        <v>601</v>
      </c>
      <c r="F487" s="603">
        <v>-678553.58</v>
      </c>
      <c r="G487" s="603">
        <v>-698877.64</v>
      </c>
      <c r="H487" s="603">
        <v>-702196.65</v>
      </c>
      <c r="I487" s="603">
        <v>-680853.69</v>
      </c>
      <c r="J487" s="603">
        <v>-649266.05000000005</v>
      </c>
      <c r="K487" s="603">
        <v>-625554.4</v>
      </c>
      <c r="L487" s="603">
        <v>-613318.13</v>
      </c>
      <c r="M487" s="603">
        <v>-627299.59</v>
      </c>
      <c r="N487" s="603">
        <v>-610978.82999999996</v>
      </c>
      <c r="O487" s="603">
        <v>-619300.19999999995</v>
      </c>
      <c r="P487" s="603">
        <v>-623094.34</v>
      </c>
      <c r="Q487" s="603">
        <v>-647407.01</v>
      </c>
      <c r="R487" s="603">
        <v>-664878.92000000004</v>
      </c>
      <c r="S487" s="484">
        <f t="shared" si="95"/>
        <v>-647488.56500000006</v>
      </c>
      <c r="T487" s="604"/>
      <c r="U487" s="642"/>
      <c r="V487" s="650"/>
      <c r="W487" s="679"/>
      <c r="X487" s="679">
        <f>+S487</f>
        <v>-647488.56500000006</v>
      </c>
      <c r="Y487" s="679"/>
      <c r="Z487" s="679"/>
      <c r="AA487" s="642"/>
      <c r="AB487" s="644">
        <f>+X487</f>
        <v>-647488.56500000006</v>
      </c>
      <c r="AC487" s="643"/>
      <c r="AD487" s="649"/>
      <c r="AE487" s="643"/>
      <c r="AF487" s="677">
        <f t="shared" si="89"/>
        <v>0</v>
      </c>
    </row>
    <row r="488" spans="1:32">
      <c r="A488" s="604">
        <v>476</v>
      </c>
      <c r="B488" s="316" t="s">
        <v>956</v>
      </c>
      <c r="C488" s="316" t="s">
        <v>602</v>
      </c>
      <c r="D488" s="316" t="s">
        <v>460</v>
      </c>
      <c r="E488" s="589" t="s">
        <v>1669</v>
      </c>
      <c r="F488" s="603">
        <v>-374000</v>
      </c>
      <c r="G488" s="603">
        <v>-498666.67</v>
      </c>
      <c r="H488" s="603">
        <v>-623333.34</v>
      </c>
      <c r="I488" s="603">
        <v>-748000</v>
      </c>
      <c r="J488" s="603">
        <v>-124666.67</v>
      </c>
      <c r="K488" s="603">
        <v>-249333.34</v>
      </c>
      <c r="L488" s="603">
        <v>-374000</v>
      </c>
      <c r="M488" s="603">
        <v>-498666.67</v>
      </c>
      <c r="N488" s="603">
        <v>-623333.34</v>
      </c>
      <c r="O488" s="603">
        <v>-748000</v>
      </c>
      <c r="P488" s="603">
        <v>-124666.67</v>
      </c>
      <c r="Q488" s="603">
        <v>-249333.34</v>
      </c>
      <c r="R488" s="603">
        <v>-374000</v>
      </c>
      <c r="S488" s="484">
        <f t="shared" si="95"/>
        <v>-436333.33666666661</v>
      </c>
      <c r="T488" s="604"/>
      <c r="U488" s="642"/>
      <c r="V488" s="679">
        <f t="shared" ref="V488:V531" si="98">+S488</f>
        <v>-436333.33666666661</v>
      </c>
      <c r="W488" s="679"/>
      <c r="X488" s="702"/>
      <c r="Y488" s="679"/>
      <c r="Z488" s="679"/>
      <c r="AA488" s="642"/>
      <c r="AB488" s="679"/>
      <c r="AC488" s="643"/>
      <c r="AD488" s="644">
        <f t="shared" ref="AD488:AD545" si="99">+V488</f>
        <v>-436333.33666666661</v>
      </c>
      <c r="AE488" s="643"/>
      <c r="AF488" s="677">
        <f t="shared" si="89"/>
        <v>0</v>
      </c>
    </row>
    <row r="489" spans="1:32">
      <c r="A489" s="604">
        <v>477</v>
      </c>
      <c r="B489" s="316" t="s">
        <v>956</v>
      </c>
      <c r="C489" s="316" t="s">
        <v>602</v>
      </c>
      <c r="D489" s="316" t="s">
        <v>462</v>
      </c>
      <c r="E489" s="589" t="s">
        <v>1670</v>
      </c>
      <c r="F489" s="603">
        <v>-266175</v>
      </c>
      <c r="G489" s="603">
        <v>-354900</v>
      </c>
      <c r="H489" s="603">
        <v>-443625</v>
      </c>
      <c r="I489" s="603">
        <v>-532350</v>
      </c>
      <c r="J489" s="603">
        <v>-88725</v>
      </c>
      <c r="K489" s="603">
        <v>-177450</v>
      </c>
      <c r="L489" s="603">
        <v>-266175</v>
      </c>
      <c r="M489" s="603">
        <v>-354900</v>
      </c>
      <c r="N489" s="603">
        <v>-443625</v>
      </c>
      <c r="O489" s="603">
        <v>-532350</v>
      </c>
      <c r="P489" s="603">
        <v>-88725</v>
      </c>
      <c r="Q489" s="603">
        <v>-177450</v>
      </c>
      <c r="R489" s="603">
        <v>-266175</v>
      </c>
      <c r="S489" s="484">
        <f t="shared" si="95"/>
        <v>-310537.5</v>
      </c>
      <c r="T489" s="604"/>
      <c r="U489" s="642"/>
      <c r="V489" s="679">
        <f t="shared" si="98"/>
        <v>-310537.5</v>
      </c>
      <c r="W489" s="679"/>
      <c r="X489" s="702"/>
      <c r="Y489" s="679"/>
      <c r="Z489" s="679"/>
      <c r="AA489" s="642"/>
      <c r="AB489" s="679"/>
      <c r="AC489" s="643"/>
      <c r="AD489" s="644">
        <f t="shared" si="99"/>
        <v>-310537.5</v>
      </c>
      <c r="AE489" s="643"/>
      <c r="AF489" s="677">
        <f t="shared" si="89"/>
        <v>0</v>
      </c>
    </row>
    <row r="490" spans="1:32">
      <c r="A490" s="604">
        <v>478</v>
      </c>
      <c r="B490" s="316" t="s">
        <v>956</v>
      </c>
      <c r="C490" s="316" t="s">
        <v>602</v>
      </c>
      <c r="D490" s="316" t="s">
        <v>464</v>
      </c>
      <c r="E490" s="589" t="s">
        <v>1671</v>
      </c>
      <c r="F490" s="603">
        <v>-213158.76</v>
      </c>
      <c r="G490" s="603">
        <v>-319738.13</v>
      </c>
      <c r="H490" s="603">
        <v>-106491.88</v>
      </c>
      <c r="I490" s="603">
        <v>-212983.76</v>
      </c>
      <c r="J490" s="603">
        <v>-319475.63</v>
      </c>
      <c r="K490" s="603">
        <v>-106089.38</v>
      </c>
      <c r="L490" s="603">
        <v>-212178.76</v>
      </c>
      <c r="M490" s="603">
        <v>-318268.13</v>
      </c>
      <c r="N490" s="603">
        <v>-106045.63</v>
      </c>
      <c r="O490" s="603">
        <v>-212091.26</v>
      </c>
      <c r="P490" s="603">
        <v>-318136.88</v>
      </c>
      <c r="Q490" s="603">
        <v>-105936.25</v>
      </c>
      <c r="R490" s="603">
        <v>-211872.5</v>
      </c>
      <c r="S490" s="484">
        <f t="shared" si="95"/>
        <v>-212495.94333333333</v>
      </c>
      <c r="T490" s="604"/>
      <c r="U490" s="642"/>
      <c r="V490" s="679">
        <f t="shared" si="98"/>
        <v>-212495.94333333333</v>
      </c>
      <c r="W490" s="679"/>
      <c r="X490" s="702"/>
      <c r="Y490" s="679"/>
      <c r="Z490" s="679"/>
      <c r="AA490" s="642"/>
      <c r="AB490" s="679"/>
      <c r="AC490" s="643"/>
      <c r="AD490" s="644">
        <f t="shared" si="99"/>
        <v>-212495.94333333333</v>
      </c>
      <c r="AE490" s="643"/>
      <c r="AF490" s="677">
        <f t="shared" si="89"/>
        <v>0</v>
      </c>
    </row>
    <row r="491" spans="1:32">
      <c r="A491" s="604">
        <v>479</v>
      </c>
      <c r="B491" s="316" t="s">
        <v>956</v>
      </c>
      <c r="C491" s="316" t="s">
        <v>602</v>
      </c>
      <c r="D491" s="316" t="s">
        <v>466</v>
      </c>
      <c r="E491" s="589" t="s">
        <v>1672</v>
      </c>
      <c r="F491" s="603">
        <v>-260500</v>
      </c>
      <c r="G491" s="603">
        <v>-325625</v>
      </c>
      <c r="H491" s="603">
        <v>-390750</v>
      </c>
      <c r="I491" s="603">
        <v>-65125</v>
      </c>
      <c r="J491" s="603">
        <v>-130250</v>
      </c>
      <c r="K491" s="603">
        <v>-195375</v>
      </c>
      <c r="L491" s="603">
        <v>-260500</v>
      </c>
      <c r="M491" s="603">
        <v>-325625</v>
      </c>
      <c r="N491" s="603">
        <v>-390750</v>
      </c>
      <c r="O491" s="603">
        <v>-65125</v>
      </c>
      <c r="P491" s="603">
        <v>-130250</v>
      </c>
      <c r="Q491" s="603">
        <v>-195375</v>
      </c>
      <c r="R491" s="603">
        <v>-260500</v>
      </c>
      <c r="S491" s="484">
        <f t="shared" si="95"/>
        <v>-227937.5</v>
      </c>
      <c r="T491" s="604"/>
      <c r="U491" s="642"/>
      <c r="V491" s="679">
        <f t="shared" si="98"/>
        <v>-227937.5</v>
      </c>
      <c r="W491" s="679"/>
      <c r="X491" s="702"/>
      <c r="Y491" s="679"/>
      <c r="Z491" s="679"/>
      <c r="AA491" s="642"/>
      <c r="AB491" s="679"/>
      <c r="AC491" s="643"/>
      <c r="AD491" s="644">
        <f t="shared" si="99"/>
        <v>-227937.5</v>
      </c>
      <c r="AE491" s="643"/>
      <c r="AF491" s="677">
        <f t="shared" si="89"/>
        <v>0</v>
      </c>
    </row>
    <row r="492" spans="1:32">
      <c r="A492" s="604">
        <v>480</v>
      </c>
      <c r="B492" s="316" t="s">
        <v>956</v>
      </c>
      <c r="C492" s="316" t="s">
        <v>602</v>
      </c>
      <c r="D492" s="316" t="s">
        <v>468</v>
      </c>
      <c r="E492" s="589" t="s">
        <v>1673</v>
      </c>
      <c r="F492" s="603">
        <v>-772000</v>
      </c>
      <c r="G492" s="603">
        <v>-965000</v>
      </c>
      <c r="H492" s="603">
        <v>-1158000</v>
      </c>
      <c r="I492" s="603">
        <v>-193000</v>
      </c>
      <c r="J492" s="603">
        <v>-386000</v>
      </c>
      <c r="K492" s="603">
        <v>-579000</v>
      </c>
      <c r="L492" s="603">
        <v>-772000</v>
      </c>
      <c r="M492" s="603">
        <v>-965000</v>
      </c>
      <c r="N492" s="603">
        <v>-1158000</v>
      </c>
      <c r="O492" s="603">
        <v>-193000</v>
      </c>
      <c r="P492" s="603">
        <v>-386000</v>
      </c>
      <c r="Q492" s="603">
        <v>-579000</v>
      </c>
      <c r="R492" s="603">
        <v>-772000</v>
      </c>
      <c r="S492" s="484">
        <f t="shared" si="95"/>
        <v>-675500</v>
      </c>
      <c r="T492" s="604"/>
      <c r="U492" s="642"/>
      <c r="V492" s="679">
        <f t="shared" si="98"/>
        <v>-675500</v>
      </c>
      <c r="W492" s="679"/>
      <c r="X492" s="702"/>
      <c r="Y492" s="679"/>
      <c r="Z492" s="679"/>
      <c r="AA492" s="642"/>
      <c r="AB492" s="679"/>
      <c r="AC492" s="643"/>
      <c r="AD492" s="644">
        <f t="shared" si="99"/>
        <v>-675500</v>
      </c>
      <c r="AE492" s="643"/>
      <c r="AF492" s="677">
        <f t="shared" si="89"/>
        <v>0</v>
      </c>
    </row>
    <row r="493" spans="1:32">
      <c r="A493" s="604">
        <v>481</v>
      </c>
      <c r="B493" s="316" t="s">
        <v>956</v>
      </c>
      <c r="C493" s="316" t="s">
        <v>602</v>
      </c>
      <c r="D493" s="316" t="s">
        <v>470</v>
      </c>
      <c r="E493" s="589" t="s">
        <v>1674</v>
      </c>
      <c r="F493" s="603">
        <v>-342500</v>
      </c>
      <c r="G493" s="603">
        <v>-428125</v>
      </c>
      <c r="H493" s="603">
        <v>0</v>
      </c>
      <c r="I493" s="603">
        <v>-85625</v>
      </c>
      <c r="J493" s="603">
        <v>-171250</v>
      </c>
      <c r="K493" s="603">
        <v>-256875</v>
      </c>
      <c r="L493" s="603">
        <v>-342500</v>
      </c>
      <c r="M493" s="603">
        <v>-428125</v>
      </c>
      <c r="N493" s="603">
        <v>0</v>
      </c>
      <c r="O493" s="603">
        <v>-85625</v>
      </c>
      <c r="P493" s="603">
        <v>-171250</v>
      </c>
      <c r="Q493" s="603">
        <v>-256875</v>
      </c>
      <c r="R493" s="603">
        <v>-342500</v>
      </c>
      <c r="S493" s="484">
        <f t="shared" si="95"/>
        <v>-214062.5</v>
      </c>
      <c r="T493" s="604"/>
      <c r="U493" s="642"/>
      <c r="V493" s="679">
        <f t="shared" si="98"/>
        <v>-214062.5</v>
      </c>
      <c r="W493" s="679"/>
      <c r="X493" s="702"/>
      <c r="Y493" s="679"/>
      <c r="Z493" s="679"/>
      <c r="AA493" s="642"/>
      <c r="AB493" s="679"/>
      <c r="AC493" s="643"/>
      <c r="AD493" s="644">
        <f t="shared" si="99"/>
        <v>-214062.5</v>
      </c>
      <c r="AE493" s="643"/>
      <c r="AF493" s="677">
        <f t="shared" si="89"/>
        <v>0</v>
      </c>
    </row>
    <row r="494" spans="1:32">
      <c r="A494" s="604">
        <v>482</v>
      </c>
      <c r="B494" s="316" t="s">
        <v>956</v>
      </c>
      <c r="C494" s="316" t="s">
        <v>602</v>
      </c>
      <c r="D494" s="316" t="s">
        <v>472</v>
      </c>
      <c r="E494" s="589" t="s">
        <v>1675</v>
      </c>
      <c r="F494" s="603">
        <v>-363333.33</v>
      </c>
      <c r="G494" s="603">
        <v>-454166.66</v>
      </c>
      <c r="H494" s="603">
        <v>-5.8207660913467401E-11</v>
      </c>
      <c r="I494" s="603">
        <v>-90833.330000000104</v>
      </c>
      <c r="J494" s="603">
        <v>-181666.66</v>
      </c>
      <c r="K494" s="603">
        <v>-272500</v>
      </c>
      <c r="L494" s="603">
        <v>-363333.33</v>
      </c>
      <c r="M494" s="603">
        <v>-454166.66</v>
      </c>
      <c r="N494" s="603">
        <v>-1.16415321826935E-10</v>
      </c>
      <c r="O494" s="603">
        <v>-90833.330000000104</v>
      </c>
      <c r="P494" s="603">
        <v>-181666.66</v>
      </c>
      <c r="Q494" s="603">
        <v>-272500</v>
      </c>
      <c r="R494" s="603">
        <v>-363333.33</v>
      </c>
      <c r="S494" s="484">
        <f t="shared" si="95"/>
        <v>-227083.33</v>
      </c>
      <c r="T494" s="604"/>
      <c r="U494" s="642"/>
      <c r="V494" s="679">
        <f t="shared" si="98"/>
        <v>-227083.33</v>
      </c>
      <c r="W494" s="679"/>
      <c r="X494" s="702"/>
      <c r="Y494" s="679"/>
      <c r="Z494" s="679"/>
      <c r="AA494" s="642"/>
      <c r="AB494" s="679"/>
      <c r="AC494" s="643"/>
      <c r="AD494" s="644">
        <f t="shared" si="99"/>
        <v>-227083.33</v>
      </c>
      <c r="AE494" s="643"/>
      <c r="AF494" s="677">
        <f t="shared" si="89"/>
        <v>0</v>
      </c>
    </row>
    <row r="495" spans="1:32">
      <c r="A495" s="604">
        <v>483</v>
      </c>
      <c r="B495" s="316" t="s">
        <v>956</v>
      </c>
      <c r="C495" s="316" t="s">
        <v>602</v>
      </c>
      <c r="D495" s="316" t="s">
        <v>475</v>
      </c>
      <c r="E495" s="589" t="s">
        <v>1676</v>
      </c>
      <c r="F495" s="603">
        <v>-42604.17</v>
      </c>
      <c r="G495" s="603">
        <v>-85208.34</v>
      </c>
      <c r="H495" s="603">
        <v>-127812.5</v>
      </c>
      <c r="I495" s="603">
        <v>-170416.67</v>
      </c>
      <c r="J495" s="603">
        <v>-213020.84</v>
      </c>
      <c r="K495" s="603">
        <v>2.91038304567337E-11</v>
      </c>
      <c r="L495" s="603">
        <v>-42604.17</v>
      </c>
      <c r="M495" s="603">
        <v>-85208.34</v>
      </c>
      <c r="N495" s="603">
        <v>-127812.5</v>
      </c>
      <c r="O495" s="603">
        <v>-170416.67</v>
      </c>
      <c r="P495" s="603">
        <v>-213020.84</v>
      </c>
      <c r="Q495" s="603">
        <v>2.91038304567337E-11</v>
      </c>
      <c r="R495" s="603">
        <v>-42604.17</v>
      </c>
      <c r="S495" s="484">
        <f t="shared" si="95"/>
        <v>-106510.42</v>
      </c>
      <c r="T495" s="604"/>
      <c r="U495" s="642"/>
      <c r="V495" s="679">
        <f t="shared" si="98"/>
        <v>-106510.42</v>
      </c>
      <c r="W495" s="679"/>
      <c r="X495" s="702"/>
      <c r="Y495" s="679"/>
      <c r="Z495" s="679"/>
      <c r="AA495" s="642"/>
      <c r="AB495" s="679"/>
      <c r="AC495" s="643"/>
      <c r="AD495" s="644">
        <f t="shared" si="99"/>
        <v>-106510.42</v>
      </c>
      <c r="AE495" s="643"/>
      <c r="AF495" s="677">
        <f t="shared" si="89"/>
        <v>0</v>
      </c>
    </row>
    <row r="496" spans="1:32">
      <c r="A496" s="604">
        <v>484</v>
      </c>
      <c r="B496" s="316" t="s">
        <v>956</v>
      </c>
      <c r="C496" s="316" t="s">
        <v>602</v>
      </c>
      <c r="D496" s="316" t="s">
        <v>476</v>
      </c>
      <c r="E496" s="589" t="s">
        <v>1677</v>
      </c>
      <c r="F496" s="603">
        <v>-44166.67</v>
      </c>
      <c r="G496" s="603">
        <v>-88333.34</v>
      </c>
      <c r="H496" s="603">
        <v>-132500</v>
      </c>
      <c r="I496" s="603">
        <v>-176666.67</v>
      </c>
      <c r="J496" s="603">
        <v>-220833.34</v>
      </c>
      <c r="K496" s="603">
        <v>2.91038304567337E-11</v>
      </c>
      <c r="L496" s="603">
        <v>-44166.67</v>
      </c>
      <c r="M496" s="603">
        <v>-88333.34</v>
      </c>
      <c r="N496" s="603">
        <v>-132500</v>
      </c>
      <c r="O496" s="603">
        <v>-176666.67</v>
      </c>
      <c r="P496" s="603">
        <v>-220833.34</v>
      </c>
      <c r="Q496" s="603">
        <v>2.91038304567337E-11</v>
      </c>
      <c r="R496" s="603">
        <v>-44166.67</v>
      </c>
      <c r="S496" s="484">
        <f t="shared" si="95"/>
        <v>-110416.67</v>
      </c>
      <c r="T496" s="604"/>
      <c r="U496" s="642"/>
      <c r="V496" s="679">
        <f t="shared" si="98"/>
        <v>-110416.67</v>
      </c>
      <c r="W496" s="679"/>
      <c r="X496" s="702"/>
      <c r="Y496" s="679"/>
      <c r="Z496" s="679"/>
      <c r="AA496" s="642"/>
      <c r="AB496" s="679"/>
      <c r="AC496" s="643"/>
      <c r="AD496" s="644">
        <f t="shared" si="99"/>
        <v>-110416.67</v>
      </c>
      <c r="AE496" s="643"/>
      <c r="AF496" s="677">
        <f t="shared" si="89"/>
        <v>0</v>
      </c>
    </row>
    <row r="497" spans="1:32">
      <c r="A497" s="604">
        <v>485</v>
      </c>
      <c r="B497" s="316" t="s">
        <v>956</v>
      </c>
      <c r="C497" s="316" t="s">
        <v>602</v>
      </c>
      <c r="D497" s="316" t="s">
        <v>477</v>
      </c>
      <c r="E497" s="589" t="s">
        <v>1678</v>
      </c>
      <c r="F497" s="603">
        <v>-213020.83</v>
      </c>
      <c r="G497" s="603">
        <v>0</v>
      </c>
      <c r="H497" s="603">
        <v>-42604.17</v>
      </c>
      <c r="I497" s="603">
        <v>-85208.34</v>
      </c>
      <c r="J497" s="603">
        <v>-127812.5</v>
      </c>
      <c r="K497" s="603">
        <v>-170416.67</v>
      </c>
      <c r="L497" s="603">
        <v>-213020.84</v>
      </c>
      <c r="M497" s="603">
        <v>2.91038304567337E-11</v>
      </c>
      <c r="N497" s="603">
        <v>-42604.17</v>
      </c>
      <c r="O497" s="603">
        <v>-85208.34</v>
      </c>
      <c r="P497" s="603">
        <v>-127812.5</v>
      </c>
      <c r="Q497" s="603">
        <v>-170416.67</v>
      </c>
      <c r="R497" s="603">
        <v>-213020.84</v>
      </c>
      <c r="S497" s="484">
        <f t="shared" si="95"/>
        <v>-106510.41958333332</v>
      </c>
      <c r="T497" s="604"/>
      <c r="U497" s="642"/>
      <c r="V497" s="679">
        <f t="shared" si="98"/>
        <v>-106510.41958333332</v>
      </c>
      <c r="W497" s="679"/>
      <c r="X497" s="702"/>
      <c r="Y497" s="679"/>
      <c r="Z497" s="679"/>
      <c r="AA497" s="642"/>
      <c r="AB497" s="679"/>
      <c r="AC497" s="643"/>
      <c r="AD497" s="644">
        <f t="shared" si="99"/>
        <v>-106510.41958333332</v>
      </c>
      <c r="AE497" s="643"/>
      <c r="AF497" s="677">
        <f t="shared" si="89"/>
        <v>0</v>
      </c>
    </row>
    <row r="498" spans="1:32">
      <c r="A498" s="604">
        <v>486</v>
      </c>
      <c r="B498" s="316" t="s">
        <v>956</v>
      </c>
      <c r="C498" s="316" t="s">
        <v>602</v>
      </c>
      <c r="D498" s="316" t="s">
        <v>478</v>
      </c>
      <c r="E498" s="589" t="s">
        <v>1679</v>
      </c>
      <c r="F498" s="603">
        <v>-220833.33</v>
      </c>
      <c r="G498" s="603">
        <v>0</v>
      </c>
      <c r="H498" s="603">
        <v>-44166.67</v>
      </c>
      <c r="I498" s="603">
        <v>-88333.34</v>
      </c>
      <c r="J498" s="603">
        <v>-132500</v>
      </c>
      <c r="K498" s="603">
        <v>-176666.67</v>
      </c>
      <c r="L498" s="603">
        <v>-220833.34</v>
      </c>
      <c r="M498" s="603">
        <v>2.91038304567337E-11</v>
      </c>
      <c r="N498" s="603">
        <v>-44166.67</v>
      </c>
      <c r="O498" s="603">
        <v>-88333.34</v>
      </c>
      <c r="P498" s="603">
        <v>-132500</v>
      </c>
      <c r="Q498" s="603">
        <v>-176666.67</v>
      </c>
      <c r="R498" s="603">
        <v>-220833.34</v>
      </c>
      <c r="S498" s="484">
        <f t="shared" si="95"/>
        <v>-110416.66958333332</v>
      </c>
      <c r="T498" s="604"/>
      <c r="U498" s="642"/>
      <c r="V498" s="679">
        <f t="shared" si="98"/>
        <v>-110416.66958333332</v>
      </c>
      <c r="W498" s="679"/>
      <c r="X498" s="702"/>
      <c r="Y498" s="679"/>
      <c r="Z498" s="679"/>
      <c r="AA498" s="642"/>
      <c r="AB498" s="679"/>
      <c r="AC498" s="643"/>
      <c r="AD498" s="644">
        <f t="shared" si="99"/>
        <v>-110416.66958333332</v>
      </c>
      <c r="AE498" s="643"/>
      <c r="AF498" s="677">
        <f t="shared" si="89"/>
        <v>0</v>
      </c>
    </row>
    <row r="499" spans="1:32">
      <c r="A499" s="604">
        <v>487</v>
      </c>
      <c r="B499" s="316" t="s">
        <v>956</v>
      </c>
      <c r="C499" s="316" t="s">
        <v>602</v>
      </c>
      <c r="D499" s="316" t="s">
        <v>1859</v>
      </c>
      <c r="E499" s="589" t="s">
        <v>1900</v>
      </c>
      <c r="F499" s="603">
        <v>0</v>
      </c>
      <c r="G499" s="603">
        <v>0</v>
      </c>
      <c r="H499" s="603">
        <v>0</v>
      </c>
      <c r="I499" s="603">
        <v>0</v>
      </c>
      <c r="J499" s="603">
        <v>0</v>
      </c>
      <c r="K499" s="603">
        <v>0</v>
      </c>
      <c r="L499" s="603">
        <v>-75416.67</v>
      </c>
      <c r="M499" s="603">
        <v>-150833.34</v>
      </c>
      <c r="N499" s="603">
        <v>-226250</v>
      </c>
      <c r="O499" s="603">
        <v>-301666.67</v>
      </c>
      <c r="P499" s="603">
        <v>-377083.34</v>
      </c>
      <c r="Q499" s="603">
        <v>-452500</v>
      </c>
      <c r="R499" s="603">
        <v>-75416.67</v>
      </c>
      <c r="S499" s="484">
        <f t="shared" si="95"/>
        <v>-135121.52958333332</v>
      </c>
      <c r="T499" s="604"/>
      <c r="U499" s="642"/>
      <c r="V499" s="679">
        <f>+S499</f>
        <v>-135121.52958333332</v>
      </c>
      <c r="W499" s="679"/>
      <c r="X499" s="702"/>
      <c r="Y499" s="679"/>
      <c r="Z499" s="679"/>
      <c r="AA499" s="642"/>
      <c r="AB499" s="679"/>
      <c r="AC499" s="643"/>
      <c r="AD499" s="644">
        <f t="shared" si="99"/>
        <v>-135121.52958333332</v>
      </c>
      <c r="AE499" s="643"/>
      <c r="AF499" s="677">
        <f t="shared" si="89"/>
        <v>0</v>
      </c>
    </row>
    <row r="500" spans="1:32">
      <c r="A500" s="604">
        <v>488</v>
      </c>
      <c r="B500" s="316" t="s">
        <v>956</v>
      </c>
      <c r="C500" s="316" t="s">
        <v>602</v>
      </c>
      <c r="D500" s="316" t="s">
        <v>1861</v>
      </c>
      <c r="E500" s="589" t="s">
        <v>1901</v>
      </c>
      <c r="F500" s="603">
        <v>0</v>
      </c>
      <c r="G500" s="603">
        <v>0</v>
      </c>
      <c r="H500" s="603">
        <v>0</v>
      </c>
      <c r="I500" s="603">
        <v>0</v>
      </c>
      <c r="J500" s="603">
        <v>0</v>
      </c>
      <c r="K500" s="603">
        <v>0</v>
      </c>
      <c r="L500" s="603">
        <v>-63666.67</v>
      </c>
      <c r="M500" s="603">
        <v>-127333.34</v>
      </c>
      <c r="N500" s="603">
        <v>-191000</v>
      </c>
      <c r="O500" s="603">
        <v>-254666.67</v>
      </c>
      <c r="P500" s="603">
        <v>-318333.34000000003</v>
      </c>
      <c r="Q500" s="603">
        <v>-382000</v>
      </c>
      <c r="R500" s="603">
        <v>-63666.67</v>
      </c>
      <c r="S500" s="484">
        <f t="shared" si="95"/>
        <v>-114069.44624999999</v>
      </c>
      <c r="T500" s="604"/>
      <c r="U500" s="642"/>
      <c r="V500" s="679">
        <f>+S500</f>
        <v>-114069.44624999999</v>
      </c>
      <c r="W500" s="679"/>
      <c r="X500" s="702"/>
      <c r="Y500" s="679"/>
      <c r="Z500" s="679"/>
      <c r="AA500" s="642"/>
      <c r="AB500" s="679"/>
      <c r="AC500" s="643"/>
      <c r="AD500" s="644">
        <f t="shared" si="99"/>
        <v>-114069.44624999999</v>
      </c>
      <c r="AE500" s="643"/>
      <c r="AF500" s="677">
        <f t="shared" si="89"/>
        <v>0</v>
      </c>
    </row>
    <row r="501" spans="1:32">
      <c r="A501" s="604">
        <v>489</v>
      </c>
      <c r="B501" s="316" t="s">
        <v>956</v>
      </c>
      <c r="C501" s="316" t="s">
        <v>602</v>
      </c>
      <c r="D501" s="316" t="s">
        <v>1863</v>
      </c>
      <c r="E501" s="589" t="s">
        <v>1902</v>
      </c>
      <c r="F501" s="603">
        <v>0</v>
      </c>
      <c r="G501" s="603">
        <v>0</v>
      </c>
      <c r="H501" s="603">
        <v>0</v>
      </c>
      <c r="I501" s="603">
        <v>0</v>
      </c>
      <c r="J501" s="603">
        <v>0</v>
      </c>
      <c r="K501" s="603">
        <v>0</v>
      </c>
      <c r="L501" s="603">
        <v>-106500</v>
      </c>
      <c r="M501" s="603">
        <v>-213000</v>
      </c>
      <c r="N501" s="603">
        <v>-319500</v>
      </c>
      <c r="O501" s="603">
        <v>-426000</v>
      </c>
      <c r="P501" s="603">
        <v>-532500</v>
      </c>
      <c r="Q501" s="603">
        <v>-639000</v>
      </c>
      <c r="R501" s="603">
        <v>-106500</v>
      </c>
      <c r="S501" s="484">
        <f t="shared" si="95"/>
        <v>-190812.5</v>
      </c>
      <c r="T501" s="604"/>
      <c r="U501" s="642"/>
      <c r="V501" s="679">
        <f>+S501</f>
        <v>-190812.5</v>
      </c>
      <c r="W501" s="679"/>
      <c r="X501" s="702"/>
      <c r="Y501" s="679"/>
      <c r="Z501" s="679"/>
      <c r="AA501" s="642"/>
      <c r="AB501" s="679"/>
      <c r="AC501" s="643"/>
      <c r="AD501" s="644">
        <f t="shared" si="99"/>
        <v>-190812.5</v>
      </c>
      <c r="AE501" s="643"/>
      <c r="AF501" s="677">
        <f t="shared" si="89"/>
        <v>0</v>
      </c>
    </row>
    <row r="502" spans="1:32">
      <c r="A502" s="604">
        <v>490</v>
      </c>
      <c r="B502" s="316" t="s">
        <v>956</v>
      </c>
      <c r="C502" s="316" t="s">
        <v>1903</v>
      </c>
      <c r="D502" s="316" t="s">
        <v>369</v>
      </c>
      <c r="E502" s="589" t="s">
        <v>1904</v>
      </c>
      <c r="F502" s="603">
        <v>0</v>
      </c>
      <c r="G502" s="603">
        <v>-34533.33</v>
      </c>
      <c r="H502" s="603">
        <v>-103337.65</v>
      </c>
      <c r="I502" s="603">
        <v>-31325.55</v>
      </c>
      <c r="J502" s="603">
        <v>-127122.09</v>
      </c>
      <c r="K502" s="603">
        <v>-55447.77</v>
      </c>
      <c r="L502" s="603">
        <v>-18947.86</v>
      </c>
      <c r="M502" s="603">
        <v>-21537.69</v>
      </c>
      <c r="N502" s="603">
        <v>-23703.39</v>
      </c>
      <c r="O502" s="603">
        <v>-19801.3</v>
      </c>
      <c r="P502" s="603">
        <v>-20648.900000000001</v>
      </c>
      <c r="Q502" s="603">
        <v>-12266.68</v>
      </c>
      <c r="R502" s="603">
        <v>-9.9999999874853494E-3</v>
      </c>
      <c r="S502" s="484">
        <f t="shared" si="95"/>
        <v>-39056.017916666671</v>
      </c>
      <c r="T502" s="604"/>
      <c r="U502" s="642"/>
      <c r="V502" s="679">
        <f>+S502</f>
        <v>-39056.017916666671</v>
      </c>
      <c r="W502" s="679"/>
      <c r="X502" s="702"/>
      <c r="Y502" s="679"/>
      <c r="Z502" s="679"/>
      <c r="AA502" s="642"/>
      <c r="AB502" s="679"/>
      <c r="AC502" s="643"/>
      <c r="AD502" s="644">
        <f>+S502</f>
        <v>-39056.017916666671</v>
      </c>
      <c r="AE502" s="643"/>
      <c r="AF502" s="677">
        <f t="shared" si="89"/>
        <v>0</v>
      </c>
    </row>
    <row r="503" spans="1:32">
      <c r="A503" s="604">
        <v>491</v>
      </c>
      <c r="B503" s="316" t="s">
        <v>956</v>
      </c>
      <c r="C503" s="316" t="s">
        <v>602</v>
      </c>
      <c r="D503" s="316" t="s">
        <v>1113</v>
      </c>
      <c r="E503" s="589" t="s">
        <v>1404</v>
      </c>
      <c r="F503" s="603">
        <v>-3.6379788070917101E-12</v>
      </c>
      <c r="G503" s="603">
        <v>-8072.92</v>
      </c>
      <c r="H503" s="603">
        <v>-15364.59</v>
      </c>
      <c r="I503" s="603">
        <v>-520.84</v>
      </c>
      <c r="J503" s="603">
        <v>-8333.34</v>
      </c>
      <c r="K503" s="603">
        <v>-16406.259999999998</v>
      </c>
      <c r="L503" s="603">
        <v>-520.85000000000196</v>
      </c>
      <c r="M503" s="603">
        <v>-11284.74</v>
      </c>
      <c r="N503" s="603">
        <v>-22048.63</v>
      </c>
      <c r="O503" s="603">
        <v>0</v>
      </c>
      <c r="P503" s="603">
        <v>-10763.89</v>
      </c>
      <c r="Q503" s="603">
        <v>-21180.560000000001</v>
      </c>
      <c r="R503" s="603">
        <v>3.6379788070917101E-12</v>
      </c>
      <c r="S503" s="484">
        <f t="shared" si="95"/>
        <v>-9541.3850000000002</v>
      </c>
      <c r="T503" s="604"/>
      <c r="U503" s="642"/>
      <c r="V503" s="679">
        <f t="shared" si="98"/>
        <v>-9541.3850000000002</v>
      </c>
      <c r="W503" s="679"/>
      <c r="X503" s="702"/>
      <c r="Y503" s="679"/>
      <c r="Z503" s="679"/>
      <c r="AA503" s="642"/>
      <c r="AB503" s="679"/>
      <c r="AC503" s="643"/>
      <c r="AD503" s="644">
        <f t="shared" si="99"/>
        <v>-9541.3850000000002</v>
      </c>
      <c r="AE503" s="643"/>
      <c r="AF503" s="677">
        <f t="shared" si="89"/>
        <v>0</v>
      </c>
    </row>
    <row r="504" spans="1:32">
      <c r="A504" s="604">
        <v>492</v>
      </c>
      <c r="B504" s="316" t="s">
        <v>956</v>
      </c>
      <c r="C504" s="316" t="s">
        <v>602</v>
      </c>
      <c r="D504" s="316" t="s">
        <v>1187</v>
      </c>
      <c r="E504" s="589" t="s">
        <v>1405</v>
      </c>
      <c r="F504" s="603">
        <v>-43049.35</v>
      </c>
      <c r="G504" s="603">
        <v>-164373.76000000001</v>
      </c>
      <c r="H504" s="603">
        <v>-258762.12</v>
      </c>
      <c r="I504" s="603">
        <v>-59583.81</v>
      </c>
      <c r="J504" s="603">
        <v>-101923.77</v>
      </c>
      <c r="K504" s="603">
        <v>-278228.28000000003</v>
      </c>
      <c r="L504" s="603">
        <v>-5006.5</v>
      </c>
      <c r="M504" s="603">
        <v>-49420.89</v>
      </c>
      <c r="N504" s="603">
        <v>-125360.98</v>
      </c>
      <c r="O504" s="603">
        <v>-6581.11</v>
      </c>
      <c r="P504" s="603">
        <v>-22372.26</v>
      </c>
      <c r="Q504" s="603">
        <v>-73841.429999999993</v>
      </c>
      <c r="R504" s="603">
        <v>-16790.72</v>
      </c>
      <c r="S504" s="484">
        <f t="shared" si="95"/>
        <v>-97947.912083333315</v>
      </c>
      <c r="T504" s="604"/>
      <c r="U504" s="642"/>
      <c r="V504" s="679">
        <f t="shared" si="98"/>
        <v>-97947.912083333315</v>
      </c>
      <c r="W504" s="679"/>
      <c r="X504" s="702"/>
      <c r="Y504" s="679"/>
      <c r="Z504" s="679"/>
      <c r="AA504" s="642"/>
      <c r="AB504" s="679"/>
      <c r="AC504" s="643"/>
      <c r="AD504" s="644">
        <f t="shared" si="99"/>
        <v>-97947.912083333315</v>
      </c>
      <c r="AE504" s="643"/>
      <c r="AF504" s="677">
        <f t="shared" si="89"/>
        <v>0</v>
      </c>
    </row>
    <row r="505" spans="1:32">
      <c r="A505" s="604">
        <v>493</v>
      </c>
      <c r="B505" s="316" t="s">
        <v>956</v>
      </c>
      <c r="C505" s="316" t="s">
        <v>603</v>
      </c>
      <c r="D505" s="316" t="s">
        <v>515</v>
      </c>
      <c r="E505" s="589" t="s">
        <v>1683</v>
      </c>
      <c r="F505" s="603">
        <v>-1772825.1</v>
      </c>
      <c r="G505" s="603">
        <v>-2115086.0499999998</v>
      </c>
      <c r="H505" s="603">
        <v>-2114803.94</v>
      </c>
      <c r="I505" s="603">
        <v>-1186420.8400000001</v>
      </c>
      <c r="J505" s="603">
        <v>-1422780.04</v>
      </c>
      <c r="K505" s="603">
        <v>-1743994.17</v>
      </c>
      <c r="L505" s="603">
        <v>-1795389.35</v>
      </c>
      <c r="M505" s="603">
        <v>-2076333.56</v>
      </c>
      <c r="N505" s="603">
        <v>-1157908.2</v>
      </c>
      <c r="O505" s="603">
        <v>-1273699.3500000001</v>
      </c>
      <c r="P505" s="603">
        <v>-1610170.17</v>
      </c>
      <c r="Q505" s="603">
        <v>-1699953.15</v>
      </c>
      <c r="R505" s="603">
        <v>-1925850.86</v>
      </c>
      <c r="S505" s="484">
        <f t="shared" si="95"/>
        <v>-1670489.7333333332</v>
      </c>
      <c r="T505" s="604"/>
      <c r="U505" s="642"/>
      <c r="V505" s="679">
        <f t="shared" si="98"/>
        <v>-1670489.7333333332</v>
      </c>
      <c r="W505" s="679"/>
      <c r="X505" s="702"/>
      <c r="Y505" s="679"/>
      <c r="Z505" s="679"/>
      <c r="AA505" s="642"/>
      <c r="AB505" s="679"/>
      <c r="AC505" s="643"/>
      <c r="AD505" s="644">
        <f t="shared" si="99"/>
        <v>-1670489.7333333332</v>
      </c>
      <c r="AE505" s="643"/>
      <c r="AF505" s="677">
        <f t="shared" si="89"/>
        <v>0</v>
      </c>
    </row>
    <row r="506" spans="1:32">
      <c r="A506" s="604">
        <v>494</v>
      </c>
      <c r="B506" s="316" t="s">
        <v>956</v>
      </c>
      <c r="C506" s="316" t="s">
        <v>603</v>
      </c>
      <c r="D506" s="316" t="s">
        <v>550</v>
      </c>
      <c r="E506" s="589" t="s">
        <v>1684</v>
      </c>
      <c r="F506" s="603">
        <v>-982534</v>
      </c>
      <c r="G506" s="603">
        <v>-1089641.1399999999</v>
      </c>
      <c r="H506" s="603">
        <v>-222918.25</v>
      </c>
      <c r="I506" s="603">
        <v>-319418.82</v>
      </c>
      <c r="J506" s="603">
        <v>-418641.64</v>
      </c>
      <c r="K506" s="603">
        <v>-587312.63</v>
      </c>
      <c r="L506" s="603">
        <v>-716302.53</v>
      </c>
      <c r="M506" s="603">
        <v>-855958.61</v>
      </c>
      <c r="N506" s="603">
        <v>-985702.15</v>
      </c>
      <c r="O506" s="603">
        <v>-1110814.1299999999</v>
      </c>
      <c r="P506" s="603">
        <v>-1351211.96</v>
      </c>
      <c r="Q506" s="603">
        <v>-1798248.89</v>
      </c>
      <c r="R506" s="603">
        <v>-1697134.42</v>
      </c>
      <c r="S506" s="484">
        <f t="shared" si="95"/>
        <v>-899667.08000000007</v>
      </c>
      <c r="T506" s="604"/>
      <c r="U506" s="642"/>
      <c r="V506" s="679">
        <f t="shared" si="98"/>
        <v>-899667.08000000007</v>
      </c>
      <c r="W506" s="679"/>
      <c r="X506" s="702"/>
      <c r="Y506" s="679"/>
      <c r="Z506" s="679"/>
      <c r="AA506" s="642"/>
      <c r="AB506" s="679"/>
      <c r="AC506" s="643"/>
      <c r="AD506" s="644">
        <f t="shared" si="99"/>
        <v>-899667.08000000007</v>
      </c>
      <c r="AE506" s="643"/>
      <c r="AF506" s="677">
        <f t="shared" si="89"/>
        <v>0</v>
      </c>
    </row>
    <row r="507" spans="1:32">
      <c r="A507" s="604">
        <v>495</v>
      </c>
      <c r="B507" s="316" t="s">
        <v>956</v>
      </c>
      <c r="C507" s="316" t="s">
        <v>604</v>
      </c>
      <c r="D507" s="316" t="s">
        <v>1157</v>
      </c>
      <c r="E507" s="589" t="s">
        <v>1680</v>
      </c>
      <c r="F507" s="603">
        <v>-6948083.4400000004</v>
      </c>
      <c r="G507" s="603">
        <v>-99160</v>
      </c>
      <c r="H507" s="603">
        <v>-99160</v>
      </c>
      <c r="I507" s="603">
        <v>0</v>
      </c>
      <c r="J507" s="603">
        <v>0</v>
      </c>
      <c r="K507" s="603">
        <v>0</v>
      </c>
      <c r="L507" s="603">
        <v>-156910</v>
      </c>
      <c r="M507" s="603">
        <v>-130758.33</v>
      </c>
      <c r="N507" s="603">
        <v>-104606.66</v>
      </c>
      <c r="O507" s="603">
        <v>-121320</v>
      </c>
      <c r="P507" s="603">
        <v>-121320</v>
      </c>
      <c r="Q507" s="603">
        <v>0</v>
      </c>
      <c r="R507" s="603">
        <v>-219560</v>
      </c>
      <c r="S507" s="484">
        <f t="shared" si="95"/>
        <v>-368088.05916666664</v>
      </c>
      <c r="T507" s="604"/>
      <c r="U507" s="642"/>
      <c r="V507" s="679">
        <f t="shared" si="98"/>
        <v>-368088.05916666664</v>
      </c>
      <c r="W507" s="679"/>
      <c r="X507" s="702"/>
      <c r="Y507" s="679"/>
      <c r="Z507" s="679"/>
      <c r="AA507" s="642"/>
      <c r="AB507" s="679"/>
      <c r="AC507" s="643"/>
      <c r="AD507" s="644">
        <f t="shared" si="99"/>
        <v>-368088.05916666664</v>
      </c>
      <c r="AE507" s="643"/>
      <c r="AF507" s="677">
        <f t="shared" si="89"/>
        <v>0</v>
      </c>
    </row>
    <row r="508" spans="1:32">
      <c r="A508" s="604">
        <v>496</v>
      </c>
      <c r="B508" s="316" t="s">
        <v>1844</v>
      </c>
      <c r="C508" s="316" t="s">
        <v>604</v>
      </c>
      <c r="D508" s="316" t="s">
        <v>1113</v>
      </c>
      <c r="E508" s="589" t="s">
        <v>1680</v>
      </c>
      <c r="F508" s="603">
        <v>0</v>
      </c>
      <c r="G508" s="603">
        <v>-713994.61</v>
      </c>
      <c r="H508" s="603">
        <v>0</v>
      </c>
      <c r="I508" s="603">
        <v>0</v>
      </c>
      <c r="J508" s="603">
        <v>0</v>
      </c>
      <c r="K508" s="603">
        <v>0</v>
      </c>
      <c r="L508" s="603">
        <v>0</v>
      </c>
      <c r="M508" s="603">
        <v>0</v>
      </c>
      <c r="N508" s="603">
        <v>-72840.87</v>
      </c>
      <c r="O508" s="603">
        <v>0</v>
      </c>
      <c r="P508" s="603">
        <v>-125578.49</v>
      </c>
      <c r="Q508" s="603">
        <v>-525780</v>
      </c>
      <c r="R508" s="603">
        <v>0</v>
      </c>
      <c r="S508" s="484">
        <f t="shared" si="95"/>
        <v>-119849.4975</v>
      </c>
      <c r="T508" s="604"/>
      <c r="U508" s="642"/>
      <c r="V508" s="679">
        <f>+S508</f>
        <v>-119849.4975</v>
      </c>
      <c r="W508" s="679"/>
      <c r="X508" s="702"/>
      <c r="Y508" s="679"/>
      <c r="Z508" s="679"/>
      <c r="AA508" s="642"/>
      <c r="AB508" s="679"/>
      <c r="AC508" s="643"/>
      <c r="AD508" s="644">
        <f t="shared" si="99"/>
        <v>-119849.4975</v>
      </c>
      <c r="AE508" s="643"/>
      <c r="AF508" s="677">
        <f t="shared" si="89"/>
        <v>0</v>
      </c>
    </row>
    <row r="509" spans="1:32">
      <c r="A509" s="604">
        <v>497</v>
      </c>
      <c r="B509" s="316" t="s">
        <v>1844</v>
      </c>
      <c r="C509" s="316" t="s">
        <v>604</v>
      </c>
      <c r="D509" s="316" t="s">
        <v>1851</v>
      </c>
      <c r="E509" s="589" t="s">
        <v>1680</v>
      </c>
      <c r="F509" s="603">
        <v>0</v>
      </c>
      <c r="G509" s="603">
        <v>-1894417.12</v>
      </c>
      <c r="H509" s="603">
        <v>-997396.76</v>
      </c>
      <c r="I509" s="603">
        <v>-2760740.36</v>
      </c>
      <c r="J509" s="603">
        <v>-3565589.79</v>
      </c>
      <c r="K509" s="603">
        <v>-3293283.16</v>
      </c>
      <c r="L509" s="603">
        <v>-3491847.81</v>
      </c>
      <c r="M509" s="603">
        <v>-3678346.64</v>
      </c>
      <c r="N509" s="603">
        <v>-3668579.89</v>
      </c>
      <c r="O509" s="603">
        <v>-3989647.66</v>
      </c>
      <c r="P509" s="603">
        <v>-4882069.3600000003</v>
      </c>
      <c r="Q509" s="603">
        <v>-5803500.46</v>
      </c>
      <c r="R509" s="603">
        <v>-4864687.42</v>
      </c>
      <c r="S509" s="484">
        <f t="shared" si="95"/>
        <v>-3371480.2266666666</v>
      </c>
      <c r="T509" s="604"/>
      <c r="U509" s="642"/>
      <c r="V509" s="679">
        <f>+S509</f>
        <v>-3371480.2266666666</v>
      </c>
      <c r="W509" s="679"/>
      <c r="X509" s="702"/>
      <c r="Y509" s="679"/>
      <c r="Z509" s="679"/>
      <c r="AA509" s="642"/>
      <c r="AB509" s="679"/>
      <c r="AC509" s="643"/>
      <c r="AD509" s="644">
        <f t="shared" si="99"/>
        <v>-3371480.2266666666</v>
      </c>
      <c r="AE509" s="643"/>
      <c r="AF509" s="677"/>
    </row>
    <row r="510" spans="1:32">
      <c r="A510" s="604">
        <v>498</v>
      </c>
      <c r="B510" s="316" t="s">
        <v>1844</v>
      </c>
      <c r="C510" s="316" t="s">
        <v>604</v>
      </c>
      <c r="D510" s="316" t="s">
        <v>1853</v>
      </c>
      <c r="E510" s="589" t="s">
        <v>1680</v>
      </c>
      <c r="F510" s="603">
        <v>0</v>
      </c>
      <c r="G510" s="603">
        <v>-8157943.2599999998</v>
      </c>
      <c r="H510" s="603">
        <v>-3636088.48</v>
      </c>
      <c r="I510" s="603">
        <v>-8684567.4199999999</v>
      </c>
      <c r="J510" s="603">
        <v>-7979296.3799999999</v>
      </c>
      <c r="K510" s="603">
        <v>-8166425.1600000001</v>
      </c>
      <c r="L510" s="603">
        <v>-8625732.5</v>
      </c>
      <c r="M510" s="603">
        <v>-9476818.3599999994</v>
      </c>
      <c r="N510" s="603">
        <v>-9878731.6199999992</v>
      </c>
      <c r="O510" s="603">
        <v>-10734957.460000001</v>
      </c>
      <c r="P510" s="603">
        <v>-11316705.210000001</v>
      </c>
      <c r="Q510" s="603">
        <v>-11092668.49</v>
      </c>
      <c r="R510" s="603">
        <v>-9808230.1500000004</v>
      </c>
      <c r="S510" s="484">
        <f t="shared" si="95"/>
        <v>-8554504.117916666</v>
      </c>
      <c r="T510" s="604"/>
      <c r="U510" s="642"/>
      <c r="V510" s="679">
        <f>+S510</f>
        <v>-8554504.117916666</v>
      </c>
      <c r="W510" s="679"/>
      <c r="X510" s="702"/>
      <c r="Y510" s="679"/>
      <c r="Z510" s="679"/>
      <c r="AA510" s="642"/>
      <c r="AB510" s="679"/>
      <c r="AC510" s="643"/>
      <c r="AD510" s="644">
        <f t="shared" si="99"/>
        <v>-8554504.117916666</v>
      </c>
      <c r="AE510" s="643"/>
      <c r="AF510" s="677"/>
    </row>
    <row r="511" spans="1:32">
      <c r="A511" s="604">
        <v>499</v>
      </c>
      <c r="B511" s="316" t="s">
        <v>956</v>
      </c>
      <c r="C511" s="316" t="s">
        <v>604</v>
      </c>
      <c r="D511" s="316" t="s">
        <v>1200</v>
      </c>
      <c r="E511" s="589" t="s">
        <v>1681</v>
      </c>
      <c r="F511" s="603">
        <v>-69203.53</v>
      </c>
      <c r="G511" s="603">
        <v>-28362.46</v>
      </c>
      <c r="H511" s="603">
        <v>-56724.92</v>
      </c>
      <c r="I511" s="603">
        <v>-79779.47</v>
      </c>
      <c r="J511" s="603">
        <v>-34180.089999999997</v>
      </c>
      <c r="K511" s="603">
        <v>-57234.64</v>
      </c>
      <c r="L511" s="603">
        <v>-80289.19</v>
      </c>
      <c r="M511" s="603">
        <v>-34689.81</v>
      </c>
      <c r="N511" s="603">
        <v>-57744.36</v>
      </c>
      <c r="O511" s="603">
        <v>-80798.91</v>
      </c>
      <c r="P511" s="603">
        <v>-35199.53</v>
      </c>
      <c r="Q511" s="603">
        <v>-58254.080000000002</v>
      </c>
      <c r="R511" s="603">
        <v>0</v>
      </c>
      <c r="S511" s="484">
        <f t="shared" si="95"/>
        <v>-53154.935416666667</v>
      </c>
      <c r="T511" s="604"/>
      <c r="U511" s="642"/>
      <c r="V511" s="679">
        <f t="shared" si="98"/>
        <v>-53154.935416666667</v>
      </c>
      <c r="W511" s="679"/>
      <c r="X511" s="702"/>
      <c r="Y511" s="679"/>
      <c r="Z511" s="679"/>
      <c r="AA511" s="642"/>
      <c r="AB511" s="679"/>
      <c r="AC511" s="643"/>
      <c r="AD511" s="644">
        <f t="shared" si="99"/>
        <v>-53154.935416666667</v>
      </c>
      <c r="AE511" s="643"/>
      <c r="AF511" s="677">
        <f t="shared" si="89"/>
        <v>0</v>
      </c>
    </row>
    <row r="512" spans="1:32">
      <c r="A512" s="604">
        <v>500</v>
      </c>
      <c r="B512" s="316" t="s">
        <v>956</v>
      </c>
      <c r="C512" s="316" t="s">
        <v>604</v>
      </c>
      <c r="D512" s="316" t="s">
        <v>1201</v>
      </c>
      <c r="E512" s="589" t="s">
        <v>1682</v>
      </c>
      <c r="F512" s="603">
        <v>-577471</v>
      </c>
      <c r="G512" s="603">
        <v>-577471</v>
      </c>
      <c r="H512" s="603">
        <v>-577471</v>
      </c>
      <c r="I512" s="603">
        <v>-577471</v>
      </c>
      <c r="J512" s="603">
        <v>-577471</v>
      </c>
      <c r="K512" s="603">
        <v>-577471</v>
      </c>
      <c r="L512" s="603">
        <v>-577471</v>
      </c>
      <c r="M512" s="603">
        <v>-577471</v>
      </c>
      <c r="N512" s="603">
        <v>-577471</v>
      </c>
      <c r="O512" s="603">
        <v>-577471</v>
      </c>
      <c r="P512" s="603">
        <v>-577471</v>
      </c>
      <c r="Q512" s="603">
        <v>-577471</v>
      </c>
      <c r="R512" s="603">
        <v>-554325</v>
      </c>
      <c r="S512" s="484">
        <f t="shared" si="95"/>
        <v>-576506.58333333337</v>
      </c>
      <c r="T512" s="604"/>
      <c r="U512" s="642"/>
      <c r="V512" s="679">
        <f t="shared" si="98"/>
        <v>-576506.58333333337</v>
      </c>
      <c r="W512" s="679"/>
      <c r="X512" s="702"/>
      <c r="Y512" s="679"/>
      <c r="Z512" s="679"/>
      <c r="AA512" s="642"/>
      <c r="AB512" s="679"/>
      <c r="AC512" s="643"/>
      <c r="AD512" s="644">
        <f t="shared" si="99"/>
        <v>-576506.58333333337</v>
      </c>
      <c r="AE512" s="643"/>
      <c r="AF512" s="677">
        <f t="shared" si="89"/>
        <v>0</v>
      </c>
    </row>
    <row r="513" spans="1:32">
      <c r="A513" s="604">
        <v>502</v>
      </c>
      <c r="B513" s="316" t="s">
        <v>956</v>
      </c>
      <c r="C513" s="316" t="s">
        <v>605</v>
      </c>
      <c r="D513" s="316" t="s">
        <v>515</v>
      </c>
      <c r="E513" s="589" t="s">
        <v>606</v>
      </c>
      <c r="F513" s="603">
        <v>-2189962.41</v>
      </c>
      <c r="G513" s="603">
        <v>-2198277.29</v>
      </c>
      <c r="H513" s="603">
        <v>-2204143.64</v>
      </c>
      <c r="I513" s="603">
        <v>-2095013.38</v>
      </c>
      <c r="J513" s="603">
        <v>-2101426.5499999998</v>
      </c>
      <c r="K513" s="603">
        <v>-2108128.67</v>
      </c>
      <c r="L513" s="603">
        <v>-2020123.2</v>
      </c>
      <c r="M513" s="603">
        <v>-1998084.12</v>
      </c>
      <c r="N513" s="603">
        <v>-2003884.61</v>
      </c>
      <c r="O513" s="603">
        <v>-2008086.09</v>
      </c>
      <c r="P513" s="603">
        <v>-1996777.14</v>
      </c>
      <c r="Q513" s="603">
        <v>-1994703.23</v>
      </c>
      <c r="R513" s="603">
        <v>-2137261.0299999998</v>
      </c>
      <c r="S513" s="484">
        <f t="shared" si="95"/>
        <v>-2074354.9699999997</v>
      </c>
      <c r="T513" s="604"/>
      <c r="U513" s="642"/>
      <c r="V513" s="679">
        <f t="shared" si="98"/>
        <v>-2074354.9699999997</v>
      </c>
      <c r="W513" s="679"/>
      <c r="X513" s="702"/>
      <c r="Y513" s="679"/>
      <c r="Z513" s="679"/>
      <c r="AA513" s="642"/>
      <c r="AB513" s="679"/>
      <c r="AC513" s="643"/>
      <c r="AD513" s="644">
        <f t="shared" si="99"/>
        <v>-2074354.9699999997</v>
      </c>
      <c r="AE513" s="643"/>
      <c r="AF513" s="677">
        <f t="shared" si="89"/>
        <v>0</v>
      </c>
    </row>
    <row r="514" spans="1:32">
      <c r="A514" s="604">
        <v>503</v>
      </c>
      <c r="B514" s="316" t="s">
        <v>956</v>
      </c>
      <c r="C514" s="316" t="s">
        <v>1406</v>
      </c>
      <c r="D514" s="316" t="s">
        <v>369</v>
      </c>
      <c r="E514" s="589" t="s">
        <v>438</v>
      </c>
      <c r="F514" s="603">
        <v>-727822.38</v>
      </c>
      <c r="G514" s="603">
        <v>-306376.63</v>
      </c>
      <c r="H514" s="603">
        <v>-2912373.68</v>
      </c>
      <c r="I514" s="603">
        <v>4.65661287307739E-10</v>
      </c>
      <c r="J514" s="603">
        <v>-38913.8299999995</v>
      </c>
      <c r="K514" s="603">
        <v>-316739.25</v>
      </c>
      <c r="L514" s="603">
        <v>-21728.059999999499</v>
      </c>
      <c r="M514" s="603">
        <v>-317082.17</v>
      </c>
      <c r="N514" s="603">
        <v>-397858.57999999903</v>
      </c>
      <c r="O514" s="603">
        <v>-392578.57999999903</v>
      </c>
      <c r="P514" s="603">
        <v>-521056.76999999903</v>
      </c>
      <c r="Q514" s="603">
        <v>-556557.049999999</v>
      </c>
      <c r="R514" s="603">
        <v>5.8207660913467397E-10</v>
      </c>
      <c r="S514" s="484">
        <f t="shared" si="95"/>
        <v>-512097.98249999946</v>
      </c>
      <c r="T514" s="604"/>
      <c r="U514" s="642"/>
      <c r="V514" s="679">
        <f t="shared" si="98"/>
        <v>-512097.98249999946</v>
      </c>
      <c r="W514" s="679"/>
      <c r="X514" s="702"/>
      <c r="Y514" s="679"/>
      <c r="Z514" s="679"/>
      <c r="AA514" s="642"/>
      <c r="AB514" s="679"/>
      <c r="AC514" s="643"/>
      <c r="AD514" s="644">
        <f t="shared" si="99"/>
        <v>-512097.98249999946</v>
      </c>
      <c r="AE514" s="643"/>
      <c r="AF514" s="677">
        <f t="shared" ref="AF514:AF579" si="100">+U514+V514-AD514</f>
        <v>0</v>
      </c>
    </row>
    <row r="515" spans="1:32">
      <c r="A515" s="604">
        <v>504</v>
      </c>
      <c r="B515" s="316" t="s">
        <v>956</v>
      </c>
      <c r="C515" s="316" t="s">
        <v>607</v>
      </c>
      <c r="D515" s="316" t="s">
        <v>1202</v>
      </c>
      <c r="E515" s="589" t="s">
        <v>1688</v>
      </c>
      <c r="F515" s="603">
        <v>-106849.59</v>
      </c>
      <c r="G515" s="603">
        <v>-117137.12</v>
      </c>
      <c r="H515" s="603">
        <v>-125259.76</v>
      </c>
      <c r="I515" s="603">
        <v>-131876.07</v>
      </c>
      <c r="J515" s="603">
        <v>-126017.66</v>
      </c>
      <c r="K515" s="603">
        <v>-120338.22</v>
      </c>
      <c r="L515" s="603">
        <v>-116433.17</v>
      </c>
      <c r="M515" s="603">
        <v>-113259.31</v>
      </c>
      <c r="N515" s="603">
        <v>-111859.15</v>
      </c>
      <c r="O515" s="603">
        <v>-112447.41</v>
      </c>
      <c r="P515" s="603">
        <v>-110389.27</v>
      </c>
      <c r="Q515" s="603">
        <v>-106869.38</v>
      </c>
      <c r="R515" s="603">
        <v>-115735.99</v>
      </c>
      <c r="S515" s="484">
        <f t="shared" si="95"/>
        <v>-116931.60916666668</v>
      </c>
      <c r="T515" s="604"/>
      <c r="U515" s="642"/>
      <c r="V515" s="679">
        <f t="shared" si="98"/>
        <v>-116931.60916666668</v>
      </c>
      <c r="W515" s="679"/>
      <c r="X515" s="702"/>
      <c r="Y515" s="679"/>
      <c r="Z515" s="679"/>
      <c r="AA515" s="642"/>
      <c r="AB515" s="679"/>
      <c r="AC515" s="643"/>
      <c r="AD515" s="644">
        <f t="shared" si="99"/>
        <v>-116931.60916666668</v>
      </c>
      <c r="AE515" s="643"/>
      <c r="AF515" s="677">
        <f t="shared" si="100"/>
        <v>0</v>
      </c>
    </row>
    <row r="516" spans="1:32">
      <c r="A516" s="604">
        <v>505</v>
      </c>
      <c r="B516" s="316" t="s">
        <v>984</v>
      </c>
      <c r="C516" s="316" t="s">
        <v>607</v>
      </c>
      <c r="D516" s="604" t="s">
        <v>1112</v>
      </c>
      <c r="E516" s="589" t="s">
        <v>1691</v>
      </c>
      <c r="F516" s="603">
        <v>-346866.55</v>
      </c>
      <c r="G516" s="603">
        <v>-504643.62</v>
      </c>
      <c r="H516" s="603">
        <v>-510785.33</v>
      </c>
      <c r="I516" s="603">
        <v>-408184.18</v>
      </c>
      <c r="J516" s="603">
        <v>-281055.83</v>
      </c>
      <c r="K516" s="603">
        <v>-131075.26999999999</v>
      </c>
      <c r="L516" s="603">
        <v>-135004.74</v>
      </c>
      <c r="M516" s="603">
        <v>-108731.64</v>
      </c>
      <c r="N516" s="603">
        <v>-80171.510000000097</v>
      </c>
      <c r="O516" s="603">
        <v>-142810.07</v>
      </c>
      <c r="P516" s="603">
        <v>-339741.63</v>
      </c>
      <c r="Q516" s="603">
        <v>-435241.12</v>
      </c>
      <c r="R516" s="603">
        <v>-532108.17000000004</v>
      </c>
      <c r="S516" s="484">
        <f t="shared" si="95"/>
        <v>-293077.69166666665</v>
      </c>
      <c r="T516" s="604"/>
      <c r="U516" s="642"/>
      <c r="V516" s="679">
        <f t="shared" si="98"/>
        <v>-293077.69166666665</v>
      </c>
      <c r="W516" s="679"/>
      <c r="X516" s="702"/>
      <c r="Y516" s="679"/>
      <c r="Z516" s="679"/>
      <c r="AA516" s="642"/>
      <c r="AB516" s="679"/>
      <c r="AC516" s="643"/>
      <c r="AD516" s="644">
        <f t="shared" si="99"/>
        <v>-293077.69166666665</v>
      </c>
      <c r="AE516" s="643"/>
      <c r="AF516" s="677">
        <f t="shared" si="100"/>
        <v>0</v>
      </c>
    </row>
    <row r="517" spans="1:32">
      <c r="A517" s="604">
        <v>506</v>
      </c>
      <c r="B517" s="316" t="s">
        <v>984</v>
      </c>
      <c r="C517" s="316" t="s">
        <v>607</v>
      </c>
      <c r="D517" s="604" t="s">
        <v>450</v>
      </c>
      <c r="E517" s="589" t="s">
        <v>1692</v>
      </c>
      <c r="F517" s="603">
        <v>-720197.02</v>
      </c>
      <c r="G517" s="603">
        <v>-763791.89</v>
      </c>
      <c r="H517" s="603">
        <v>-805999.39</v>
      </c>
      <c r="I517" s="603">
        <v>-838498.08</v>
      </c>
      <c r="J517" s="603">
        <v>-858868.55</v>
      </c>
      <c r="K517" s="603">
        <v>-870038.44</v>
      </c>
      <c r="L517" s="603">
        <v>-877963.83</v>
      </c>
      <c r="M517" s="603">
        <v>-887229.66</v>
      </c>
      <c r="N517" s="603">
        <v>-894061.67</v>
      </c>
      <c r="O517" s="603">
        <v>-906081.57</v>
      </c>
      <c r="P517" s="603">
        <v>-935033.47</v>
      </c>
      <c r="Q517" s="603">
        <v>-972123.58</v>
      </c>
      <c r="R517" s="603">
        <v>-1017468.45</v>
      </c>
      <c r="S517" s="484">
        <f t="shared" si="95"/>
        <v>-873210.23875000002</v>
      </c>
      <c r="T517" s="604"/>
      <c r="U517" s="642"/>
      <c r="V517" s="679">
        <f t="shared" si="98"/>
        <v>-873210.23875000002</v>
      </c>
      <c r="W517" s="679"/>
      <c r="X517" s="702"/>
      <c r="Y517" s="679"/>
      <c r="Z517" s="679"/>
      <c r="AA517" s="642"/>
      <c r="AB517" s="679"/>
      <c r="AC517" s="643"/>
      <c r="AD517" s="644">
        <f t="shared" si="99"/>
        <v>-873210.23875000002</v>
      </c>
      <c r="AE517" s="643"/>
      <c r="AF517" s="677">
        <f t="shared" si="100"/>
        <v>0</v>
      </c>
    </row>
    <row r="518" spans="1:32">
      <c r="A518" s="604">
        <v>507</v>
      </c>
      <c r="B518" s="316" t="s">
        <v>984</v>
      </c>
      <c r="C518" s="316" t="s">
        <v>607</v>
      </c>
      <c r="D518" s="604" t="s">
        <v>437</v>
      </c>
      <c r="E518" s="589" t="s">
        <v>1693</v>
      </c>
      <c r="F518" s="603">
        <v>-48875.44</v>
      </c>
      <c r="G518" s="603">
        <v>-41584.04</v>
      </c>
      <c r="H518" s="603">
        <v>-36640.800000000003</v>
      </c>
      <c r="I518" s="603">
        <v>-34802.36</v>
      </c>
      <c r="J518" s="603">
        <v>-26206.15</v>
      </c>
      <c r="K518" s="603">
        <v>-22542.58</v>
      </c>
      <c r="L518" s="603">
        <v>-20209.169999999998</v>
      </c>
      <c r="M518" s="603">
        <v>-15481.77</v>
      </c>
      <c r="N518" s="603">
        <v>-9985.19</v>
      </c>
      <c r="O518" s="603">
        <v>-7048.96</v>
      </c>
      <c r="P518" s="603">
        <v>-5439.41</v>
      </c>
      <c r="Q518" s="603">
        <v>-3751.38</v>
      </c>
      <c r="R518" s="603">
        <v>-2164.79</v>
      </c>
      <c r="S518" s="484">
        <f t="shared" si="95"/>
        <v>-20767.660416666662</v>
      </c>
      <c r="T518" s="604"/>
      <c r="U518" s="642"/>
      <c r="V518" s="679">
        <f t="shared" si="98"/>
        <v>-20767.660416666662</v>
      </c>
      <c r="W518" s="679"/>
      <c r="X518" s="702"/>
      <c r="Y518" s="679"/>
      <c r="Z518" s="679"/>
      <c r="AA518" s="642"/>
      <c r="AB518" s="679"/>
      <c r="AC518" s="643"/>
      <c r="AD518" s="644">
        <f t="shared" si="99"/>
        <v>-20767.660416666662</v>
      </c>
      <c r="AE518" s="643"/>
      <c r="AF518" s="677">
        <f t="shared" si="100"/>
        <v>0</v>
      </c>
    </row>
    <row r="519" spans="1:32">
      <c r="A519" s="604">
        <v>508</v>
      </c>
      <c r="B519" s="316" t="s">
        <v>984</v>
      </c>
      <c r="C519" s="316" t="s">
        <v>607</v>
      </c>
      <c r="D519" s="604" t="s">
        <v>481</v>
      </c>
      <c r="E519" s="589" t="s">
        <v>1694</v>
      </c>
      <c r="F519" s="603">
        <v>473546.58</v>
      </c>
      <c r="G519" s="603">
        <v>473546.58</v>
      </c>
      <c r="H519" s="603">
        <v>473546.58</v>
      </c>
      <c r="I519" s="603">
        <v>477618.35</v>
      </c>
      <c r="J519" s="603">
        <v>484868.35</v>
      </c>
      <c r="K519" s="603">
        <v>484868.35</v>
      </c>
      <c r="L519" s="603">
        <v>490971.99</v>
      </c>
      <c r="M519" s="603">
        <v>490971.99</v>
      </c>
      <c r="N519" s="603">
        <v>490971.99</v>
      </c>
      <c r="O519" s="603">
        <v>490971.99</v>
      </c>
      <c r="P519" s="603">
        <v>490971.99</v>
      </c>
      <c r="Q519" s="603">
        <v>490971.99</v>
      </c>
      <c r="R519" s="603">
        <v>490971.99</v>
      </c>
      <c r="S519" s="484">
        <f t="shared" si="95"/>
        <v>485211.61958333344</v>
      </c>
      <c r="T519" s="604"/>
      <c r="U519" s="642"/>
      <c r="V519" s="679">
        <f t="shared" si="98"/>
        <v>485211.61958333344</v>
      </c>
      <c r="W519" s="679"/>
      <c r="X519" s="702"/>
      <c r="Y519" s="679"/>
      <c r="Z519" s="679"/>
      <c r="AA519" s="642"/>
      <c r="AB519" s="679"/>
      <c r="AC519" s="643"/>
      <c r="AD519" s="644">
        <f t="shared" si="99"/>
        <v>485211.61958333344</v>
      </c>
      <c r="AE519" s="643"/>
      <c r="AF519" s="677">
        <f t="shared" si="100"/>
        <v>0</v>
      </c>
    </row>
    <row r="520" spans="1:32">
      <c r="A520" s="604">
        <v>509</v>
      </c>
      <c r="B520" s="316" t="s">
        <v>959</v>
      </c>
      <c r="C520" s="316" t="s">
        <v>607</v>
      </c>
      <c r="D520" s="604" t="s">
        <v>437</v>
      </c>
      <c r="E520" s="589" t="s">
        <v>1693</v>
      </c>
      <c r="F520" s="603">
        <v>-525935.19999999995</v>
      </c>
      <c r="G520" s="603">
        <v>-535814.96</v>
      </c>
      <c r="H520" s="603">
        <v>-589535.4</v>
      </c>
      <c r="I520" s="603">
        <v>-596096.14</v>
      </c>
      <c r="J520" s="603">
        <v>-543837.22</v>
      </c>
      <c r="K520" s="603">
        <v>-520139.56</v>
      </c>
      <c r="L520" s="603">
        <v>-517620.87</v>
      </c>
      <c r="M520" s="603">
        <v>-514170.53</v>
      </c>
      <c r="N520" s="603">
        <v>-561139.03</v>
      </c>
      <c r="O520" s="603">
        <v>-589802.21</v>
      </c>
      <c r="P520" s="603">
        <v>-588925.17000000004</v>
      </c>
      <c r="Q520" s="603">
        <v>-581862.54</v>
      </c>
      <c r="R520" s="603">
        <v>-617037.13</v>
      </c>
      <c r="S520" s="484">
        <f t="shared" si="95"/>
        <v>-559202.48291666666</v>
      </c>
      <c r="T520" s="604"/>
      <c r="U520" s="642"/>
      <c r="V520" s="679">
        <f t="shared" si="98"/>
        <v>-559202.48291666666</v>
      </c>
      <c r="W520" s="679"/>
      <c r="X520" s="702"/>
      <c r="Y520" s="679"/>
      <c r="Z520" s="679"/>
      <c r="AA520" s="642"/>
      <c r="AB520" s="679"/>
      <c r="AC520" s="643"/>
      <c r="AD520" s="644">
        <f t="shared" si="99"/>
        <v>-559202.48291666666</v>
      </c>
      <c r="AE520" s="643"/>
      <c r="AF520" s="677">
        <f t="shared" si="100"/>
        <v>0</v>
      </c>
    </row>
    <row r="521" spans="1:32">
      <c r="A521" s="604">
        <v>510</v>
      </c>
      <c r="B521" s="316" t="s">
        <v>956</v>
      </c>
      <c r="C521" s="316" t="s">
        <v>607</v>
      </c>
      <c r="D521" s="604" t="s">
        <v>1203</v>
      </c>
      <c r="E521" s="589" t="s">
        <v>1685</v>
      </c>
      <c r="F521" s="603">
        <v>-57073.15</v>
      </c>
      <c r="G521" s="603">
        <v>-50323.48</v>
      </c>
      <c r="H521" s="603">
        <v>-50387.77</v>
      </c>
      <c r="I521" s="603">
        <v>-52451.839999999997</v>
      </c>
      <c r="J521" s="603">
        <v>-58475.21</v>
      </c>
      <c r="K521" s="603">
        <v>-39554.39</v>
      </c>
      <c r="L521" s="603">
        <v>-40185.800000000003</v>
      </c>
      <c r="M521" s="603">
        <v>-76952.320000000007</v>
      </c>
      <c r="N521" s="603">
        <v>-54697.34</v>
      </c>
      <c r="O521" s="603">
        <v>-56604.83</v>
      </c>
      <c r="P521" s="603">
        <v>-63644.05</v>
      </c>
      <c r="Q521" s="603">
        <v>195.16999999999101</v>
      </c>
      <c r="R521" s="603">
        <v>-20872.259999999998</v>
      </c>
      <c r="S521" s="484">
        <f t="shared" si="95"/>
        <v>-48504.547083333331</v>
      </c>
      <c r="T521" s="604"/>
      <c r="U521" s="642"/>
      <c r="V521" s="679">
        <f t="shared" si="98"/>
        <v>-48504.547083333331</v>
      </c>
      <c r="W521" s="679"/>
      <c r="X521" s="702"/>
      <c r="Y521" s="679"/>
      <c r="Z521" s="679"/>
      <c r="AA521" s="642"/>
      <c r="AB521" s="679"/>
      <c r="AC521" s="643"/>
      <c r="AD521" s="644">
        <f t="shared" si="99"/>
        <v>-48504.547083333331</v>
      </c>
      <c r="AE521" s="643"/>
      <c r="AF521" s="677">
        <f t="shared" si="100"/>
        <v>0</v>
      </c>
    </row>
    <row r="522" spans="1:32">
      <c r="A522" s="604">
        <v>511</v>
      </c>
      <c r="B522" s="316" t="s">
        <v>956</v>
      </c>
      <c r="C522" s="316" t="s">
        <v>607</v>
      </c>
      <c r="D522" s="604" t="s">
        <v>1204</v>
      </c>
      <c r="E522" s="589" t="s">
        <v>1686</v>
      </c>
      <c r="F522" s="603">
        <v>-1208196.57</v>
      </c>
      <c r="G522" s="603">
        <v>-1375811</v>
      </c>
      <c r="H522" s="603">
        <v>-432011.05</v>
      </c>
      <c r="I522" s="603">
        <v>-585900.9</v>
      </c>
      <c r="J522" s="603">
        <v>-747596.28</v>
      </c>
      <c r="K522" s="603">
        <v>-914694.95</v>
      </c>
      <c r="L522" s="603">
        <v>-1063745.57</v>
      </c>
      <c r="M522" s="603">
        <v>-1232722.99</v>
      </c>
      <c r="N522" s="603">
        <v>-592221.98</v>
      </c>
      <c r="O522" s="603">
        <v>-744924.25</v>
      </c>
      <c r="P522" s="603">
        <v>-936452.18</v>
      </c>
      <c r="Q522" s="603">
        <v>-1087294.27</v>
      </c>
      <c r="R522" s="603">
        <v>-1244918.45</v>
      </c>
      <c r="S522" s="484">
        <f t="shared" si="95"/>
        <v>-911661.07750000001</v>
      </c>
      <c r="T522" s="604"/>
      <c r="U522" s="642"/>
      <c r="V522" s="679">
        <f t="shared" si="98"/>
        <v>-911661.07750000001</v>
      </c>
      <c r="W522" s="679"/>
      <c r="X522" s="702"/>
      <c r="Y522" s="679"/>
      <c r="Z522" s="679"/>
      <c r="AA522" s="642"/>
      <c r="AB522" s="679"/>
      <c r="AC522" s="643"/>
      <c r="AD522" s="644">
        <f t="shared" si="99"/>
        <v>-911661.07750000001</v>
      </c>
      <c r="AE522" s="643"/>
      <c r="AF522" s="677">
        <f t="shared" si="100"/>
        <v>0</v>
      </c>
    </row>
    <row r="523" spans="1:32">
      <c r="A523" s="604">
        <v>512</v>
      </c>
      <c r="B523" s="316" t="s">
        <v>956</v>
      </c>
      <c r="C523" s="316" t="s">
        <v>607</v>
      </c>
      <c r="D523" s="604" t="s">
        <v>1407</v>
      </c>
      <c r="E523" s="589" t="s">
        <v>1687</v>
      </c>
      <c r="F523" s="603">
        <v>628.39</v>
      </c>
      <c r="G523" s="603">
        <v>628.39</v>
      </c>
      <c r="H523" s="603">
        <v>628.39</v>
      </c>
      <c r="I523" s="603">
        <v>628.39</v>
      </c>
      <c r="J523" s="603">
        <v>628.39</v>
      </c>
      <c r="K523" s="603">
        <v>628.39</v>
      </c>
      <c r="L523" s="603">
        <v>628.39</v>
      </c>
      <c r="M523" s="603">
        <v>628.39</v>
      </c>
      <c r="N523" s="603">
        <v>628.39</v>
      </c>
      <c r="O523" s="603">
        <v>628.39</v>
      </c>
      <c r="P523" s="603">
        <v>628.39</v>
      </c>
      <c r="Q523" s="603">
        <v>628.39</v>
      </c>
      <c r="R523" s="603">
        <v>628.39</v>
      </c>
      <c r="S523" s="484">
        <f t="shared" si="95"/>
        <v>628.3900000000001</v>
      </c>
      <c r="T523" s="604"/>
      <c r="U523" s="642"/>
      <c r="V523" s="679">
        <f t="shared" si="98"/>
        <v>628.3900000000001</v>
      </c>
      <c r="W523" s="679"/>
      <c r="X523" s="702"/>
      <c r="Y523" s="679"/>
      <c r="Z523" s="679"/>
      <c r="AA523" s="642"/>
      <c r="AB523" s="679"/>
      <c r="AC523" s="643"/>
      <c r="AD523" s="644">
        <f t="shared" si="99"/>
        <v>628.3900000000001</v>
      </c>
      <c r="AE523" s="643"/>
      <c r="AF523" s="677">
        <f t="shared" si="100"/>
        <v>0</v>
      </c>
    </row>
    <row r="524" spans="1:32">
      <c r="A524" s="604">
        <v>513</v>
      </c>
      <c r="B524" s="316" t="s">
        <v>984</v>
      </c>
      <c r="C524" s="316" t="s">
        <v>597</v>
      </c>
      <c r="D524" s="604" t="s">
        <v>1198</v>
      </c>
      <c r="E524" s="589" t="s">
        <v>1704</v>
      </c>
      <c r="F524" s="603">
        <v>0</v>
      </c>
      <c r="G524" s="603">
        <v>-16075.52</v>
      </c>
      <c r="H524" s="603">
        <v>-32151.040000000001</v>
      </c>
      <c r="I524" s="603">
        <v>0</v>
      </c>
      <c r="J524" s="603">
        <v>0</v>
      </c>
      <c r="K524" s="603">
        <v>0</v>
      </c>
      <c r="L524" s="603">
        <v>0</v>
      </c>
      <c r="M524" s="603">
        <v>0</v>
      </c>
      <c r="N524" s="603">
        <v>0</v>
      </c>
      <c r="O524" s="603">
        <v>0</v>
      </c>
      <c r="P524" s="603">
        <v>0</v>
      </c>
      <c r="Q524" s="603">
        <v>0</v>
      </c>
      <c r="R524" s="603">
        <v>0</v>
      </c>
      <c r="S524" s="484">
        <f t="shared" si="95"/>
        <v>-4018.8799999999997</v>
      </c>
      <c r="T524" s="604"/>
      <c r="U524" s="642"/>
      <c r="V524" s="679">
        <f>+S524</f>
        <v>-4018.8799999999997</v>
      </c>
      <c r="W524" s="679"/>
      <c r="X524" s="702"/>
      <c r="Y524" s="679"/>
      <c r="Z524" s="679"/>
      <c r="AA524" s="642"/>
      <c r="AB524" s="679"/>
      <c r="AC524" s="643"/>
      <c r="AD524" s="644">
        <f t="shared" si="99"/>
        <v>-4018.8799999999997</v>
      </c>
      <c r="AE524" s="643"/>
      <c r="AF524" s="677">
        <f t="shared" si="100"/>
        <v>0</v>
      </c>
    </row>
    <row r="525" spans="1:32">
      <c r="A525" s="604">
        <v>514</v>
      </c>
      <c r="B525" s="316" t="s">
        <v>984</v>
      </c>
      <c r="C525" s="316" t="s">
        <v>597</v>
      </c>
      <c r="D525" s="604" t="s">
        <v>1891</v>
      </c>
      <c r="E525" s="589" t="s">
        <v>1905</v>
      </c>
      <c r="F525" s="603">
        <v>0</v>
      </c>
      <c r="G525" s="603">
        <v>0</v>
      </c>
      <c r="H525" s="603">
        <v>0</v>
      </c>
      <c r="I525" s="603">
        <v>0</v>
      </c>
      <c r="J525" s="603">
        <v>0</v>
      </c>
      <c r="K525" s="603">
        <v>0</v>
      </c>
      <c r="L525" s="603">
        <v>-6897.58</v>
      </c>
      <c r="M525" s="603">
        <v>-13795.16</v>
      </c>
      <c r="N525" s="603">
        <v>-19872.939999999999</v>
      </c>
      <c r="O525" s="603">
        <v>0</v>
      </c>
      <c r="P525" s="603">
        <v>0</v>
      </c>
      <c r="Q525" s="603">
        <v>0</v>
      </c>
      <c r="R525" s="603">
        <v>0</v>
      </c>
      <c r="S525" s="484">
        <f t="shared" si="95"/>
        <v>-3380.4733333333329</v>
      </c>
      <c r="T525" s="604"/>
      <c r="U525" s="642"/>
      <c r="V525" s="679">
        <f>+S525</f>
        <v>-3380.4733333333329</v>
      </c>
      <c r="W525" s="679"/>
      <c r="X525" s="702"/>
      <c r="Y525" s="679"/>
      <c r="Z525" s="679"/>
      <c r="AA525" s="642"/>
      <c r="AB525" s="679"/>
      <c r="AC525" s="643"/>
      <c r="AD525" s="644">
        <f t="shared" si="99"/>
        <v>-3380.4733333333329</v>
      </c>
      <c r="AE525" s="643"/>
      <c r="AF525" s="677"/>
    </row>
    <row r="526" spans="1:32">
      <c r="A526" s="604">
        <v>515</v>
      </c>
      <c r="B526" s="316" t="s">
        <v>1844</v>
      </c>
      <c r="C526" s="316" t="s">
        <v>612</v>
      </c>
      <c r="D526" s="604" t="s">
        <v>1851</v>
      </c>
      <c r="E526" s="589" t="s">
        <v>1909</v>
      </c>
      <c r="F526" s="603">
        <v>0</v>
      </c>
      <c r="G526" s="603">
        <v>0</v>
      </c>
      <c r="H526" s="603">
        <v>-2342139.6</v>
      </c>
      <c r="I526" s="603">
        <v>-3399048.29</v>
      </c>
      <c r="J526" s="603">
        <v>-4027988.3</v>
      </c>
      <c r="K526" s="603">
        <v>-4380204.8499999996</v>
      </c>
      <c r="L526" s="603">
        <v>-4728970.04</v>
      </c>
      <c r="M526" s="603">
        <v>-5196910.95</v>
      </c>
      <c r="N526" s="603">
        <v>-6194887.6500000004</v>
      </c>
      <c r="O526" s="603">
        <v>-4675781.1500000004</v>
      </c>
      <c r="P526" s="603">
        <v>-5056612.16</v>
      </c>
      <c r="Q526" s="603">
        <v>-4649236.16</v>
      </c>
      <c r="R526" s="603">
        <v>-5008566.5</v>
      </c>
      <c r="S526" s="484">
        <f t="shared" si="95"/>
        <v>-3929671.8666666658</v>
      </c>
      <c r="T526" s="604"/>
      <c r="U526" s="642"/>
      <c r="V526" s="679">
        <f t="shared" si="98"/>
        <v>-3929671.8666666658</v>
      </c>
      <c r="W526" s="679"/>
      <c r="X526" s="702"/>
      <c r="Y526" s="679"/>
      <c r="Z526" s="679"/>
      <c r="AA526" s="642"/>
      <c r="AB526" s="679"/>
      <c r="AC526" s="643"/>
      <c r="AD526" s="644">
        <f t="shared" si="99"/>
        <v>-3929671.8666666658</v>
      </c>
      <c r="AE526" s="643"/>
      <c r="AF526" s="677">
        <f t="shared" si="100"/>
        <v>0</v>
      </c>
    </row>
    <row r="527" spans="1:32">
      <c r="A527" s="604">
        <v>516</v>
      </c>
      <c r="B527" s="316" t="s">
        <v>1844</v>
      </c>
      <c r="C527" s="316" t="s">
        <v>612</v>
      </c>
      <c r="D527" s="604" t="s">
        <v>1853</v>
      </c>
      <c r="E527" s="589" t="s">
        <v>1909</v>
      </c>
      <c r="F527" s="603">
        <v>0</v>
      </c>
      <c r="G527" s="603">
        <v>-47946602.299999997</v>
      </c>
      <c r="H527" s="603">
        <v>-67505586.75</v>
      </c>
      <c r="I527" s="603">
        <v>-88051807.390000001</v>
      </c>
      <c r="J527" s="603">
        <v>-87171112.069999993</v>
      </c>
      <c r="K527" s="603">
        <v>-88013372.25</v>
      </c>
      <c r="L527" s="603">
        <v>-89814171.189999998</v>
      </c>
      <c r="M527" s="603">
        <v>-91693584.269999996</v>
      </c>
      <c r="N527" s="603">
        <v>-94471180.239999995</v>
      </c>
      <c r="O527" s="603">
        <v>-88325640.670000002</v>
      </c>
      <c r="P527" s="603">
        <v>-87907480.109999999</v>
      </c>
      <c r="Q527" s="603">
        <v>-84508849.859999999</v>
      </c>
      <c r="R527" s="603">
        <v>-84195663.5</v>
      </c>
      <c r="S527" s="484">
        <f t="shared" si="95"/>
        <v>-79792268.237499997</v>
      </c>
      <c r="T527" s="604"/>
      <c r="U527" s="642"/>
      <c r="V527" s="679">
        <f t="shared" si="98"/>
        <v>-79792268.237499997</v>
      </c>
      <c r="W527" s="679"/>
      <c r="X527" s="702"/>
      <c r="Y527" s="679"/>
      <c r="Z527" s="679"/>
      <c r="AA527" s="642"/>
      <c r="AB527" s="679"/>
      <c r="AC527" s="643"/>
      <c r="AD527" s="644">
        <f t="shared" si="99"/>
        <v>-79792268.237499997</v>
      </c>
      <c r="AE527" s="643"/>
      <c r="AF527" s="677">
        <f t="shared" si="100"/>
        <v>0</v>
      </c>
    </row>
    <row r="528" spans="1:32">
      <c r="A528" s="604">
        <v>517</v>
      </c>
      <c r="B528" s="316" t="s">
        <v>1844</v>
      </c>
      <c r="C528" s="316" t="s">
        <v>1910</v>
      </c>
      <c r="D528" s="316" t="s">
        <v>1891</v>
      </c>
      <c r="E528" s="589" t="s">
        <v>1911</v>
      </c>
      <c r="F528" s="603">
        <v>0</v>
      </c>
      <c r="G528" s="603">
        <v>0</v>
      </c>
      <c r="H528" s="603">
        <v>-83666</v>
      </c>
      <c r="I528" s="603">
        <v>-83993.95</v>
      </c>
      <c r="J528" s="603">
        <v>-84322.71</v>
      </c>
      <c r="K528" s="603">
        <v>-84652.28</v>
      </c>
      <c r="L528" s="603">
        <v>-82827.460000000006</v>
      </c>
      <c r="M528" s="603">
        <v>-80997.8</v>
      </c>
      <c r="N528" s="603">
        <v>-79160.53</v>
      </c>
      <c r="O528" s="603">
        <v>-77318.61</v>
      </c>
      <c r="P528" s="603">
        <v>-74998.490000000005</v>
      </c>
      <c r="Q528" s="603">
        <v>-72672.2</v>
      </c>
      <c r="R528" s="603">
        <v>-70339.81</v>
      </c>
      <c r="S528" s="484">
        <f t="shared" si="95"/>
        <v>-69981.661250000005</v>
      </c>
      <c r="T528" s="604"/>
      <c r="U528" s="642"/>
      <c r="V528" s="679">
        <f t="shared" si="98"/>
        <v>-69981.661250000005</v>
      </c>
      <c r="W528" s="679"/>
      <c r="X528" s="702"/>
      <c r="Y528" s="679"/>
      <c r="Z528" s="679"/>
      <c r="AA528" s="642"/>
      <c r="AB528" s="679"/>
      <c r="AC528" s="643"/>
      <c r="AD528" s="644">
        <f t="shared" si="99"/>
        <v>-69981.661250000005</v>
      </c>
      <c r="AE528" s="643"/>
      <c r="AF528" s="677">
        <f t="shared" si="100"/>
        <v>0</v>
      </c>
    </row>
    <row r="529" spans="1:32">
      <c r="A529" s="604">
        <v>518</v>
      </c>
      <c r="B529" s="316" t="s">
        <v>956</v>
      </c>
      <c r="C529" s="316" t="s">
        <v>615</v>
      </c>
      <c r="D529" s="316" t="s">
        <v>515</v>
      </c>
      <c r="E529" s="589" t="s">
        <v>451</v>
      </c>
      <c r="F529" s="603">
        <v>0</v>
      </c>
      <c r="G529" s="603">
        <v>0</v>
      </c>
      <c r="H529" s="603">
        <v>0</v>
      </c>
      <c r="I529" s="603">
        <v>0</v>
      </c>
      <c r="J529" s="603">
        <v>0</v>
      </c>
      <c r="K529" s="603">
        <v>0</v>
      </c>
      <c r="L529" s="603">
        <v>0</v>
      </c>
      <c r="M529" s="603">
        <v>0</v>
      </c>
      <c r="N529" s="603">
        <v>0</v>
      </c>
      <c r="O529" s="603">
        <v>0</v>
      </c>
      <c r="P529" s="603">
        <v>0</v>
      </c>
      <c r="Q529" s="603">
        <v>-830</v>
      </c>
      <c r="R529" s="603">
        <v>0</v>
      </c>
      <c r="S529" s="484">
        <f t="shared" si="95"/>
        <v>-69.166666666666671</v>
      </c>
      <c r="T529" s="604"/>
      <c r="U529" s="642"/>
      <c r="V529" s="679">
        <f t="shared" si="98"/>
        <v>-69.166666666666671</v>
      </c>
      <c r="W529" s="679"/>
      <c r="X529" s="702"/>
      <c r="Y529" s="679"/>
      <c r="Z529" s="679"/>
      <c r="AA529" s="642"/>
      <c r="AB529" s="679"/>
      <c r="AC529" s="643"/>
      <c r="AD529" s="644">
        <f t="shared" si="99"/>
        <v>-69.166666666666671</v>
      </c>
      <c r="AE529" s="643"/>
      <c r="AF529" s="677">
        <f t="shared" si="100"/>
        <v>0</v>
      </c>
    </row>
    <row r="530" spans="1:32">
      <c r="A530" s="604">
        <v>519</v>
      </c>
      <c r="B530" s="316" t="s">
        <v>984</v>
      </c>
      <c r="C530" s="316" t="s">
        <v>611</v>
      </c>
      <c r="D530" s="316" t="s">
        <v>369</v>
      </c>
      <c r="E530" s="589" t="s">
        <v>1689</v>
      </c>
      <c r="F530" s="603">
        <v>-1558019.97</v>
      </c>
      <c r="G530" s="603">
        <v>-1807036.27</v>
      </c>
      <c r="H530" s="603">
        <v>-2008969.8</v>
      </c>
      <c r="I530" s="603">
        <v>-2179655.12</v>
      </c>
      <c r="J530" s="603">
        <v>-1427485.33</v>
      </c>
      <c r="K530" s="603">
        <v>-1427485.33</v>
      </c>
      <c r="L530" s="603">
        <v>-1427485.33</v>
      </c>
      <c r="M530" s="603">
        <v>-1427485.33</v>
      </c>
      <c r="N530" s="603">
        <v>-1427485.33</v>
      </c>
      <c r="O530" s="603">
        <v>-1400000</v>
      </c>
      <c r="P530" s="603">
        <v>-1400000</v>
      </c>
      <c r="Q530" s="603">
        <v>0</v>
      </c>
      <c r="R530" s="603">
        <v>0</v>
      </c>
      <c r="S530" s="484">
        <f t="shared" si="95"/>
        <v>-1392674.8187500001</v>
      </c>
      <c r="T530" s="604"/>
      <c r="U530" s="642"/>
      <c r="V530" s="679">
        <f t="shared" si="98"/>
        <v>-1392674.8187500001</v>
      </c>
      <c r="W530" s="679"/>
      <c r="X530" s="702"/>
      <c r="Y530" s="679"/>
      <c r="Z530" s="679"/>
      <c r="AA530" s="642"/>
      <c r="AB530" s="679"/>
      <c r="AC530" s="643"/>
      <c r="AD530" s="644">
        <f t="shared" si="99"/>
        <v>-1392674.8187500001</v>
      </c>
      <c r="AE530" s="643"/>
      <c r="AF530" s="677">
        <f t="shared" si="100"/>
        <v>0</v>
      </c>
    </row>
    <row r="531" spans="1:32">
      <c r="A531" s="604">
        <v>520</v>
      </c>
      <c r="B531" s="316" t="s">
        <v>959</v>
      </c>
      <c r="C531" s="316" t="s">
        <v>611</v>
      </c>
      <c r="D531" s="316" t="s">
        <v>369</v>
      </c>
      <c r="E531" s="589" t="s">
        <v>1689</v>
      </c>
      <c r="F531" s="603">
        <v>0</v>
      </c>
      <c r="G531" s="603">
        <v>0</v>
      </c>
      <c r="H531" s="603">
        <v>0</v>
      </c>
      <c r="I531" s="603">
        <v>0</v>
      </c>
      <c r="J531" s="603">
        <v>0</v>
      </c>
      <c r="K531" s="603">
        <v>0</v>
      </c>
      <c r="L531" s="603">
        <v>0</v>
      </c>
      <c r="M531" s="603">
        <v>0</v>
      </c>
      <c r="N531" s="603">
        <v>0</v>
      </c>
      <c r="O531" s="603">
        <v>0</v>
      </c>
      <c r="P531" s="603">
        <v>0</v>
      </c>
      <c r="Q531" s="603">
        <v>0</v>
      </c>
      <c r="R531" s="603">
        <v>0</v>
      </c>
      <c r="S531" s="484">
        <f t="shared" si="95"/>
        <v>0</v>
      </c>
      <c r="T531" s="604"/>
      <c r="U531" s="642"/>
      <c r="V531" s="679">
        <f t="shared" si="98"/>
        <v>0</v>
      </c>
      <c r="W531" s="679"/>
      <c r="X531" s="702"/>
      <c r="Y531" s="679"/>
      <c r="Z531" s="679"/>
      <c r="AA531" s="642"/>
      <c r="AB531" s="679"/>
      <c r="AC531" s="643"/>
      <c r="AD531" s="644">
        <f t="shared" si="99"/>
        <v>0</v>
      </c>
      <c r="AE531" s="643"/>
      <c r="AF531" s="677">
        <f t="shared" si="100"/>
        <v>0</v>
      </c>
    </row>
    <row r="532" spans="1:32">
      <c r="A532" s="604">
        <v>521</v>
      </c>
      <c r="B532" s="316" t="s">
        <v>984</v>
      </c>
      <c r="C532" s="316" t="s">
        <v>612</v>
      </c>
      <c r="D532" s="604" t="s">
        <v>1205</v>
      </c>
      <c r="E532" s="589" t="s">
        <v>1695</v>
      </c>
      <c r="F532" s="603">
        <v>3704804.32</v>
      </c>
      <c r="G532" s="603">
        <v>3645229.88</v>
      </c>
      <c r="H532" s="603">
        <v>6655527.54</v>
      </c>
      <c r="I532" s="603">
        <v>7948816.1799999997</v>
      </c>
      <c r="J532" s="603">
        <v>8418704.3900000006</v>
      </c>
      <c r="K532" s="603">
        <v>8498491.9399999995</v>
      </c>
      <c r="L532" s="603">
        <v>8600713.7200000007</v>
      </c>
      <c r="M532" s="603">
        <v>8714543.7899999991</v>
      </c>
      <c r="N532" s="603">
        <v>8943481.4000000004</v>
      </c>
      <c r="O532" s="603">
        <v>9110444.2400000002</v>
      </c>
      <c r="P532" s="603">
        <v>9809801.8300000001</v>
      </c>
      <c r="Q532" s="603">
        <v>1631609.22</v>
      </c>
      <c r="R532" s="603">
        <v>3387386.16</v>
      </c>
      <c r="S532" s="484">
        <f t="shared" si="95"/>
        <v>7126954.9474999988</v>
      </c>
      <c r="T532" s="604"/>
      <c r="U532" s="642"/>
      <c r="V532" s="650"/>
      <c r="W532" s="679"/>
      <c r="X532" s="679">
        <f>+S532</f>
        <v>7126954.9474999988</v>
      </c>
      <c r="Y532" s="679"/>
      <c r="Z532" s="679"/>
      <c r="AA532" s="642"/>
      <c r="AB532" s="644">
        <f t="shared" ref="AB532:AB537" si="101">+X532</f>
        <v>7126954.9474999988</v>
      </c>
      <c r="AC532" s="643"/>
      <c r="AD532" s="649"/>
      <c r="AE532" s="643"/>
      <c r="AF532" s="677">
        <f t="shared" si="100"/>
        <v>0</v>
      </c>
    </row>
    <row r="533" spans="1:32">
      <c r="A533" s="604">
        <v>522</v>
      </c>
      <c r="B533" s="316" t="s">
        <v>984</v>
      </c>
      <c r="C533" s="316" t="s">
        <v>612</v>
      </c>
      <c r="D533" s="316" t="s">
        <v>1206</v>
      </c>
      <c r="E533" s="589" t="s">
        <v>1696</v>
      </c>
      <c r="F533" s="603">
        <v>-1108593.69</v>
      </c>
      <c r="G533" s="603">
        <v>-2156297.1</v>
      </c>
      <c r="H533" s="603">
        <v>-3288565.62</v>
      </c>
      <c r="I533" s="603">
        <v>-3918743.38</v>
      </c>
      <c r="J533" s="603">
        <v>-4023173.21</v>
      </c>
      <c r="K533" s="603">
        <v>-3859207.89</v>
      </c>
      <c r="L533" s="603">
        <v>-3724670.44</v>
      </c>
      <c r="M533" s="603">
        <v>-3457335.89</v>
      </c>
      <c r="N533" s="603">
        <v>-2746085.82</v>
      </c>
      <c r="O533" s="603">
        <v>-4553630.62</v>
      </c>
      <c r="P533" s="603">
        <v>-5199110.82</v>
      </c>
      <c r="Q533" s="603">
        <v>-1735827.07</v>
      </c>
      <c r="R533" s="603">
        <v>-2322389.21</v>
      </c>
      <c r="S533" s="484">
        <f t="shared" si="95"/>
        <v>-3364844.9425000008</v>
      </c>
      <c r="T533" s="604"/>
      <c r="U533" s="642"/>
      <c r="V533" s="679"/>
      <c r="W533" s="679"/>
      <c r="X533" s="702">
        <f>+S533</f>
        <v>-3364844.9425000008</v>
      </c>
      <c r="Y533" s="679"/>
      <c r="Z533" s="679"/>
      <c r="AA533" s="642"/>
      <c r="AB533" s="679">
        <f t="shared" si="101"/>
        <v>-3364844.9425000008</v>
      </c>
      <c r="AC533" s="643"/>
      <c r="AD533" s="644">
        <f t="shared" si="99"/>
        <v>0</v>
      </c>
      <c r="AE533" s="643"/>
      <c r="AF533" s="677">
        <f t="shared" si="100"/>
        <v>0</v>
      </c>
    </row>
    <row r="534" spans="1:32">
      <c r="A534" s="604">
        <v>523</v>
      </c>
      <c r="B534" s="316" t="s">
        <v>984</v>
      </c>
      <c r="C534" s="316" t="s">
        <v>612</v>
      </c>
      <c r="D534" s="316" t="s">
        <v>1207</v>
      </c>
      <c r="E534" s="589" t="s">
        <v>613</v>
      </c>
      <c r="F534" s="603">
        <v>-593186.79</v>
      </c>
      <c r="G534" s="603">
        <v>0</v>
      </c>
      <c r="H534" s="603">
        <v>0</v>
      </c>
      <c r="I534" s="603">
        <v>0</v>
      </c>
      <c r="J534" s="603">
        <v>0</v>
      </c>
      <c r="K534" s="603">
        <v>0</v>
      </c>
      <c r="L534" s="603">
        <v>0</v>
      </c>
      <c r="M534" s="603">
        <v>0</v>
      </c>
      <c r="N534" s="603">
        <v>0</v>
      </c>
      <c r="O534" s="603">
        <v>0</v>
      </c>
      <c r="P534" s="603">
        <v>0</v>
      </c>
      <c r="Q534" s="603">
        <v>0</v>
      </c>
      <c r="R534" s="603">
        <v>0</v>
      </c>
      <c r="S534" s="484">
        <f t="shared" si="95"/>
        <v>-24716.116250000003</v>
      </c>
      <c r="T534" s="604"/>
      <c r="U534" s="642"/>
      <c r="V534" s="679"/>
      <c r="W534" s="679"/>
      <c r="X534" s="702">
        <f t="shared" ref="X534:X543" si="102">+S534</f>
        <v>-24716.116250000003</v>
      </c>
      <c r="Y534" s="679"/>
      <c r="Z534" s="679"/>
      <c r="AA534" s="642"/>
      <c r="AB534" s="679">
        <f t="shared" si="101"/>
        <v>-24716.116250000003</v>
      </c>
      <c r="AC534" s="643"/>
      <c r="AD534" s="644">
        <f t="shared" si="99"/>
        <v>0</v>
      </c>
      <c r="AE534" s="643"/>
      <c r="AF534" s="677">
        <f t="shared" si="100"/>
        <v>0</v>
      </c>
    </row>
    <row r="535" spans="1:32">
      <c r="A535" s="604">
        <v>524</v>
      </c>
      <c r="B535" s="316" t="s">
        <v>984</v>
      </c>
      <c r="C535" s="316" t="s">
        <v>612</v>
      </c>
      <c r="D535" s="316" t="s">
        <v>1208</v>
      </c>
      <c r="E535" s="589" t="s">
        <v>1697</v>
      </c>
      <c r="F535" s="603">
        <v>-2335027.88</v>
      </c>
      <c r="G535" s="603">
        <v>-1849878.03</v>
      </c>
      <c r="H535" s="603">
        <v>-1392031.55</v>
      </c>
      <c r="I535" s="603">
        <v>-876283.67</v>
      </c>
      <c r="J535" s="603">
        <v>-525555.71</v>
      </c>
      <c r="K535" s="603">
        <v>-338236.72</v>
      </c>
      <c r="L535" s="603">
        <v>-208753.22</v>
      </c>
      <c r="M535" s="603">
        <v>-111957.73</v>
      </c>
      <c r="N535" s="603">
        <v>-29672.6899999997</v>
      </c>
      <c r="O535" s="603">
        <v>52499.2600000003</v>
      </c>
      <c r="P535" s="603">
        <v>253772.23</v>
      </c>
      <c r="Q535" s="603">
        <v>5234050.04</v>
      </c>
      <c r="R535" s="603">
        <v>4487237.01</v>
      </c>
      <c r="S535" s="484">
        <f t="shared" si="95"/>
        <v>107004.73125000014</v>
      </c>
      <c r="T535" s="604"/>
      <c r="U535" s="642"/>
      <c r="V535" s="679"/>
      <c r="W535" s="679"/>
      <c r="X535" s="702">
        <f t="shared" si="102"/>
        <v>107004.73125000014</v>
      </c>
      <c r="Y535" s="679"/>
      <c r="Z535" s="679"/>
      <c r="AA535" s="642"/>
      <c r="AB535" s="679">
        <f t="shared" si="101"/>
        <v>107004.73125000014</v>
      </c>
      <c r="AC535" s="643"/>
      <c r="AD535" s="644">
        <f t="shared" si="99"/>
        <v>0</v>
      </c>
      <c r="AE535" s="643"/>
      <c r="AF535" s="677">
        <f t="shared" si="100"/>
        <v>0</v>
      </c>
    </row>
    <row r="536" spans="1:32">
      <c r="A536" s="604">
        <v>525</v>
      </c>
      <c r="B536" s="316" t="s">
        <v>984</v>
      </c>
      <c r="C536" s="316" t="s">
        <v>612</v>
      </c>
      <c r="D536" s="316" t="s">
        <v>1209</v>
      </c>
      <c r="E536" s="589" t="s">
        <v>1698</v>
      </c>
      <c r="F536" s="603">
        <v>332004.03999999998</v>
      </c>
      <c r="G536" s="603">
        <v>333767.61</v>
      </c>
      <c r="H536" s="603">
        <v>367209.23</v>
      </c>
      <c r="I536" s="603">
        <v>245259.16</v>
      </c>
      <c r="J536" s="603">
        <v>158012.82999999999</v>
      </c>
      <c r="K536" s="603">
        <v>79157.52</v>
      </c>
      <c r="L536" s="603">
        <v>61679.98</v>
      </c>
      <c r="M536" s="603">
        <v>51660.78</v>
      </c>
      <c r="N536" s="603">
        <v>27164.76</v>
      </c>
      <c r="O536" s="603">
        <v>66468.27</v>
      </c>
      <c r="P536" s="603">
        <v>192148.92</v>
      </c>
      <c r="Q536" s="603">
        <v>-480596.03</v>
      </c>
      <c r="R536" s="603">
        <v>-543667.46</v>
      </c>
      <c r="S536" s="484">
        <f t="shared" si="95"/>
        <v>83008.443333333344</v>
      </c>
      <c r="T536" s="604"/>
      <c r="U536" s="642"/>
      <c r="V536" s="679"/>
      <c r="W536" s="679"/>
      <c r="X536" s="702">
        <f t="shared" si="102"/>
        <v>83008.443333333344</v>
      </c>
      <c r="Y536" s="679"/>
      <c r="Z536" s="679"/>
      <c r="AA536" s="642"/>
      <c r="AB536" s="679">
        <f t="shared" si="101"/>
        <v>83008.443333333344</v>
      </c>
      <c r="AC536" s="643"/>
      <c r="AD536" s="644">
        <f t="shared" si="99"/>
        <v>0</v>
      </c>
      <c r="AE536" s="643"/>
      <c r="AF536" s="677">
        <f t="shared" si="100"/>
        <v>0</v>
      </c>
    </row>
    <row r="537" spans="1:32">
      <c r="A537" s="604">
        <v>526</v>
      </c>
      <c r="B537" s="316" t="s">
        <v>959</v>
      </c>
      <c r="C537" s="316" t="s">
        <v>612</v>
      </c>
      <c r="D537" s="316" t="s">
        <v>450</v>
      </c>
      <c r="E537" s="589" t="s">
        <v>1706</v>
      </c>
      <c r="F537" s="603">
        <v>-40887966.869999997</v>
      </c>
      <c r="G537" s="603">
        <v>0</v>
      </c>
      <c r="H537" s="603">
        <v>0</v>
      </c>
      <c r="I537" s="603">
        <v>0</v>
      </c>
      <c r="J537" s="603">
        <v>0</v>
      </c>
      <c r="K537" s="603">
        <v>0</v>
      </c>
      <c r="L537" s="603">
        <v>0</v>
      </c>
      <c r="M537" s="603">
        <v>0</v>
      </c>
      <c r="N537" s="603">
        <v>0</v>
      </c>
      <c r="O537" s="603">
        <v>0</v>
      </c>
      <c r="P537" s="603">
        <v>0</v>
      </c>
      <c r="Q537" s="603">
        <v>0</v>
      </c>
      <c r="R537" s="603">
        <v>0</v>
      </c>
      <c r="S537" s="484">
        <f t="shared" si="95"/>
        <v>-1703665.2862499999</v>
      </c>
      <c r="T537" s="604"/>
      <c r="U537" s="642"/>
      <c r="V537" s="679"/>
      <c r="W537" s="679"/>
      <c r="X537" s="702">
        <f t="shared" si="102"/>
        <v>-1703665.2862499999</v>
      </c>
      <c r="Y537" s="679"/>
      <c r="Z537" s="679"/>
      <c r="AA537" s="642"/>
      <c r="AB537" s="679">
        <f t="shared" si="101"/>
        <v>-1703665.2862499999</v>
      </c>
      <c r="AC537" s="643"/>
      <c r="AD537" s="644">
        <f t="shared" si="99"/>
        <v>0</v>
      </c>
      <c r="AE537" s="643"/>
      <c r="AF537" s="677">
        <f t="shared" si="100"/>
        <v>0</v>
      </c>
    </row>
    <row r="538" spans="1:32">
      <c r="A538" s="604">
        <v>527</v>
      </c>
      <c r="B538" s="316" t="s">
        <v>959</v>
      </c>
      <c r="C538" s="316" t="s">
        <v>612</v>
      </c>
      <c r="D538" s="316" t="s">
        <v>1210</v>
      </c>
      <c r="E538" s="589" t="s">
        <v>1695</v>
      </c>
      <c r="F538" s="603">
        <v>38253031.32</v>
      </c>
      <c r="G538" s="603">
        <v>48162013.890000001</v>
      </c>
      <c r="H538" s="603">
        <v>72468980.939999998</v>
      </c>
      <c r="I538" s="603">
        <v>95192961.480000004</v>
      </c>
      <c r="J538" s="603">
        <v>46106698.380000003</v>
      </c>
      <c r="K538" s="603">
        <v>45847438.399999999</v>
      </c>
      <c r="L538" s="603">
        <v>45944483.780000001</v>
      </c>
      <c r="M538" s="603">
        <v>46085248.100000001</v>
      </c>
      <c r="N538" s="603">
        <v>46772054.539999999</v>
      </c>
      <c r="O538" s="603">
        <v>46706432.990000002</v>
      </c>
      <c r="P538" s="603">
        <v>48679295.020000003</v>
      </c>
      <c r="Q538" s="603">
        <v>4384409.1900000004</v>
      </c>
      <c r="R538" s="603">
        <v>11456753.52</v>
      </c>
      <c r="S538" s="484">
        <f t="shared" si="95"/>
        <v>47600409.094166674</v>
      </c>
      <c r="T538" s="604"/>
      <c r="U538" s="642"/>
      <c r="V538" s="679"/>
      <c r="W538" s="679"/>
      <c r="X538" s="702">
        <f t="shared" si="102"/>
        <v>47600409.094166674</v>
      </c>
      <c r="Y538" s="679"/>
      <c r="Z538" s="679"/>
      <c r="AA538" s="642"/>
      <c r="AB538" s="679">
        <f t="shared" ref="AB538:AB543" si="103">+X538</f>
        <v>47600409.094166674</v>
      </c>
      <c r="AC538" s="643"/>
      <c r="AD538" s="644">
        <f t="shared" si="99"/>
        <v>0</v>
      </c>
      <c r="AE538" s="643"/>
      <c r="AF538" s="677">
        <f t="shared" si="100"/>
        <v>0</v>
      </c>
    </row>
    <row r="539" spans="1:32">
      <c r="A539" s="604">
        <v>528</v>
      </c>
      <c r="B539" s="316" t="s">
        <v>959</v>
      </c>
      <c r="C539" s="316" t="s">
        <v>612</v>
      </c>
      <c r="D539" s="316" t="s">
        <v>1211</v>
      </c>
      <c r="E539" s="589" t="s">
        <v>1696</v>
      </c>
      <c r="F539" s="603">
        <v>1569192.42</v>
      </c>
      <c r="G539" s="603">
        <v>-1020148.36</v>
      </c>
      <c r="H539" s="603">
        <v>-5442810.3399999999</v>
      </c>
      <c r="I539" s="603">
        <v>-7385013.0099999998</v>
      </c>
      <c r="J539" s="603">
        <v>-6549067.3300000001</v>
      </c>
      <c r="K539" s="603">
        <v>-4922617.32</v>
      </c>
      <c r="L539" s="603">
        <v>-2853429.87</v>
      </c>
      <c r="M539" s="603">
        <v>-724893.84</v>
      </c>
      <c r="N539" s="603">
        <v>1555000.36</v>
      </c>
      <c r="O539" s="603">
        <v>-3923421.62</v>
      </c>
      <c r="P539" s="603">
        <v>-4657972.0999999996</v>
      </c>
      <c r="Q539" s="603">
        <v>946819.65999999898</v>
      </c>
      <c r="R539" s="603">
        <v>-1901460.25</v>
      </c>
      <c r="S539" s="484">
        <f t="shared" si="95"/>
        <v>-2928640.6404166669</v>
      </c>
      <c r="T539" s="604"/>
      <c r="U539" s="642"/>
      <c r="V539" s="679"/>
      <c r="W539" s="679"/>
      <c r="X539" s="702">
        <f t="shared" si="102"/>
        <v>-2928640.6404166669</v>
      </c>
      <c r="Y539" s="679"/>
      <c r="Z539" s="679"/>
      <c r="AA539" s="642"/>
      <c r="AB539" s="679">
        <f t="shared" si="103"/>
        <v>-2928640.6404166669</v>
      </c>
      <c r="AC539" s="643"/>
      <c r="AD539" s="644">
        <f t="shared" si="99"/>
        <v>0</v>
      </c>
      <c r="AE539" s="643"/>
      <c r="AF539" s="677">
        <f t="shared" si="100"/>
        <v>0</v>
      </c>
    </row>
    <row r="540" spans="1:32">
      <c r="A540" s="604">
        <v>529</v>
      </c>
      <c r="B540" s="316" t="s">
        <v>959</v>
      </c>
      <c r="C540" s="316" t="s">
        <v>612</v>
      </c>
      <c r="D540" s="316" t="s">
        <v>1212</v>
      </c>
      <c r="E540" s="589" t="s">
        <v>1697</v>
      </c>
      <c r="F540" s="603">
        <v>1242631.18</v>
      </c>
      <c r="G540" s="603">
        <v>981333.26</v>
      </c>
      <c r="H540" s="603">
        <v>699888.78</v>
      </c>
      <c r="I540" s="603">
        <v>389285.93</v>
      </c>
      <c r="J540" s="603">
        <v>211478.86</v>
      </c>
      <c r="K540" s="603">
        <v>103965.13</v>
      </c>
      <c r="L540" s="603">
        <v>38144.839999999902</v>
      </c>
      <c r="M540" s="603">
        <v>-18293.3500000001</v>
      </c>
      <c r="N540" s="603">
        <v>-70006.930000000095</v>
      </c>
      <c r="O540" s="603">
        <v>-120543.07</v>
      </c>
      <c r="P540" s="603">
        <v>-233366.03</v>
      </c>
      <c r="Q540" s="603">
        <v>-8.7311491370201098E-11</v>
      </c>
      <c r="R540" s="603">
        <v>-8.7311491370201098E-11</v>
      </c>
      <c r="S540" s="484">
        <f t="shared" si="95"/>
        <v>216933.58416666664</v>
      </c>
      <c r="T540" s="604"/>
      <c r="U540" s="642"/>
      <c r="V540" s="679"/>
      <c r="W540" s="679"/>
      <c r="X540" s="702">
        <f t="shared" si="102"/>
        <v>216933.58416666664</v>
      </c>
      <c r="Y540" s="679"/>
      <c r="Z540" s="679"/>
      <c r="AA540" s="642"/>
      <c r="AB540" s="679">
        <f t="shared" si="103"/>
        <v>216933.58416666664</v>
      </c>
      <c r="AC540" s="643"/>
      <c r="AD540" s="644">
        <f t="shared" si="99"/>
        <v>0</v>
      </c>
      <c r="AE540" s="643"/>
      <c r="AF540" s="677">
        <f t="shared" si="100"/>
        <v>0</v>
      </c>
    </row>
    <row r="541" spans="1:32">
      <c r="A541" s="604">
        <v>530</v>
      </c>
      <c r="B541" s="316" t="s">
        <v>959</v>
      </c>
      <c r="C541" s="316" t="s">
        <v>612</v>
      </c>
      <c r="D541" s="316" t="s">
        <v>1906</v>
      </c>
      <c r="E541" s="589" t="s">
        <v>1907</v>
      </c>
      <c r="F541" s="603">
        <v>0</v>
      </c>
      <c r="G541" s="603">
        <v>0</v>
      </c>
      <c r="H541" s="603">
        <v>0</v>
      </c>
      <c r="I541" s="603">
        <v>0</v>
      </c>
      <c r="J541" s="603">
        <v>48238516.170000002</v>
      </c>
      <c r="K541" s="603">
        <v>47467721.75</v>
      </c>
      <c r="L541" s="603">
        <v>47028598.560000002</v>
      </c>
      <c r="M541" s="603">
        <v>46691603.600000001</v>
      </c>
      <c r="N541" s="603">
        <v>46402080.859999999</v>
      </c>
      <c r="O541" s="603">
        <v>46118062.170000002</v>
      </c>
      <c r="P541" s="603">
        <v>45226488.729999997</v>
      </c>
      <c r="Q541" s="603">
        <v>43685242.840000004</v>
      </c>
      <c r="R541" s="603">
        <v>41366186.759999998</v>
      </c>
      <c r="S541" s="484">
        <f t="shared" si="95"/>
        <v>32628450.671666671</v>
      </c>
      <c r="T541" s="604"/>
      <c r="U541" s="642"/>
      <c r="V541" s="679"/>
      <c r="W541" s="679"/>
      <c r="X541" s="702">
        <f>+S541</f>
        <v>32628450.671666671</v>
      </c>
      <c r="Y541" s="679"/>
      <c r="Z541" s="679"/>
      <c r="AA541" s="642"/>
      <c r="AB541" s="679">
        <f t="shared" si="103"/>
        <v>32628450.671666671</v>
      </c>
      <c r="AC541" s="643"/>
      <c r="AD541" s="644"/>
      <c r="AE541" s="643"/>
      <c r="AF541" s="677"/>
    </row>
    <row r="542" spans="1:32">
      <c r="A542" s="604">
        <v>531</v>
      </c>
      <c r="B542" s="316" t="s">
        <v>959</v>
      </c>
      <c r="C542" s="316" t="s">
        <v>612</v>
      </c>
      <c r="D542" s="316" t="s">
        <v>1908</v>
      </c>
      <c r="E542" s="589" t="s">
        <v>1907</v>
      </c>
      <c r="F542" s="603">
        <v>0</v>
      </c>
      <c r="G542" s="603">
        <v>0</v>
      </c>
      <c r="H542" s="603">
        <v>0</v>
      </c>
      <c r="I542" s="603">
        <v>0</v>
      </c>
      <c r="J542" s="603">
        <v>0</v>
      </c>
      <c r="K542" s="603">
        <v>0</v>
      </c>
      <c r="L542" s="603">
        <v>0</v>
      </c>
      <c r="M542" s="603">
        <v>0</v>
      </c>
      <c r="N542" s="603">
        <v>0</v>
      </c>
      <c r="O542" s="603">
        <v>0</v>
      </c>
      <c r="P542" s="603">
        <v>0</v>
      </c>
      <c r="Q542" s="603">
        <v>38342676.920000002</v>
      </c>
      <c r="R542" s="603">
        <v>36554943.310000002</v>
      </c>
      <c r="S542" s="484">
        <f t="shared" si="95"/>
        <v>4718345.7145833336</v>
      </c>
      <c r="T542" s="604"/>
      <c r="U542" s="642"/>
      <c r="V542" s="679"/>
      <c r="W542" s="679"/>
      <c r="X542" s="702">
        <f>+S542</f>
        <v>4718345.7145833336</v>
      </c>
      <c r="Y542" s="679"/>
      <c r="Z542" s="679"/>
      <c r="AA542" s="642"/>
      <c r="AB542" s="679">
        <f t="shared" si="103"/>
        <v>4718345.7145833336</v>
      </c>
      <c r="AC542" s="643"/>
      <c r="AD542" s="644"/>
      <c r="AE542" s="643"/>
      <c r="AF542" s="677"/>
    </row>
    <row r="543" spans="1:32">
      <c r="A543" s="604">
        <v>532</v>
      </c>
      <c r="B543" s="316" t="s">
        <v>959</v>
      </c>
      <c r="C543" s="316" t="s">
        <v>612</v>
      </c>
      <c r="D543" s="316" t="s">
        <v>1209</v>
      </c>
      <c r="E543" s="589" t="s">
        <v>1698</v>
      </c>
      <c r="F543" s="603">
        <v>-176888.05</v>
      </c>
      <c r="G543" s="603">
        <v>-176596.49</v>
      </c>
      <c r="H543" s="603">
        <v>-220472.63</v>
      </c>
      <c r="I543" s="603">
        <v>-145427.01</v>
      </c>
      <c r="J543" s="603">
        <v>-836514.01</v>
      </c>
      <c r="K543" s="603">
        <v>-483135.71</v>
      </c>
      <c r="L543" s="603">
        <v>-343626.12</v>
      </c>
      <c r="M543" s="603">
        <v>-340080.24</v>
      </c>
      <c r="N543" s="603">
        <v>-187948.59</v>
      </c>
      <c r="O543" s="603">
        <v>-454889.8</v>
      </c>
      <c r="P543" s="603">
        <v>-1106965.51</v>
      </c>
      <c r="Q543" s="603">
        <v>-2850298.75</v>
      </c>
      <c r="R543" s="603">
        <v>-3280759.84</v>
      </c>
      <c r="S543" s="484">
        <f t="shared" si="95"/>
        <v>-739564.90041666664</v>
      </c>
      <c r="T543" s="604"/>
      <c r="U543" s="642"/>
      <c r="V543" s="679"/>
      <c r="W543" s="679"/>
      <c r="X543" s="702">
        <f t="shared" si="102"/>
        <v>-739564.90041666664</v>
      </c>
      <c r="Y543" s="679"/>
      <c r="Z543" s="679"/>
      <c r="AA543" s="642"/>
      <c r="AB543" s="679">
        <f t="shared" si="103"/>
        <v>-739564.90041666664</v>
      </c>
      <c r="AC543" s="643"/>
      <c r="AD543" s="644">
        <f t="shared" si="99"/>
        <v>0</v>
      </c>
      <c r="AE543" s="645"/>
      <c r="AF543" s="677">
        <f t="shared" si="100"/>
        <v>0</v>
      </c>
    </row>
    <row r="544" spans="1:32">
      <c r="A544" s="604">
        <v>533</v>
      </c>
      <c r="B544" s="316" t="s">
        <v>984</v>
      </c>
      <c r="C544" s="316" t="s">
        <v>612</v>
      </c>
      <c r="D544" s="316" t="s">
        <v>1213</v>
      </c>
      <c r="E544" s="589" t="s">
        <v>614</v>
      </c>
      <c r="F544" s="603">
        <v>0</v>
      </c>
      <c r="G544" s="603">
        <v>0</v>
      </c>
      <c r="H544" s="603">
        <v>0</v>
      </c>
      <c r="I544" s="603">
        <v>0</v>
      </c>
      <c r="J544" s="603">
        <v>0</v>
      </c>
      <c r="K544" s="603">
        <v>0</v>
      </c>
      <c r="L544" s="603">
        <v>0</v>
      </c>
      <c r="M544" s="603">
        <v>0</v>
      </c>
      <c r="N544" s="603">
        <v>0</v>
      </c>
      <c r="O544" s="603">
        <v>0</v>
      </c>
      <c r="P544" s="603">
        <v>-224.3</v>
      </c>
      <c r="Q544" s="603">
        <v>0</v>
      </c>
      <c r="R544" s="603">
        <v>-29908.85</v>
      </c>
      <c r="S544" s="484">
        <f t="shared" si="95"/>
        <v>-1264.89375</v>
      </c>
      <c r="T544" s="604"/>
      <c r="U544" s="642"/>
      <c r="V544" s="679">
        <f>+S544</f>
        <v>-1264.89375</v>
      </c>
      <c r="W544" s="679"/>
      <c r="X544" s="702"/>
      <c r="Y544" s="679"/>
      <c r="Z544" s="679"/>
      <c r="AA544" s="642"/>
      <c r="AB544" s="679"/>
      <c r="AC544" s="643"/>
      <c r="AD544" s="644">
        <f t="shared" si="99"/>
        <v>-1264.89375</v>
      </c>
      <c r="AE544" s="651"/>
      <c r="AF544" s="677">
        <f t="shared" si="100"/>
        <v>0</v>
      </c>
    </row>
    <row r="545" spans="1:32">
      <c r="A545" s="604">
        <v>534</v>
      </c>
      <c r="B545" s="316" t="s">
        <v>959</v>
      </c>
      <c r="C545" s="316" t="s">
        <v>612</v>
      </c>
      <c r="D545" s="316" t="s">
        <v>1214</v>
      </c>
      <c r="E545" s="589" t="s">
        <v>614</v>
      </c>
      <c r="F545" s="603">
        <v>0</v>
      </c>
      <c r="G545" s="603">
        <v>0</v>
      </c>
      <c r="H545" s="603">
        <v>0</v>
      </c>
      <c r="I545" s="603">
        <v>0</v>
      </c>
      <c r="J545" s="603">
        <v>0</v>
      </c>
      <c r="K545" s="603">
        <v>0</v>
      </c>
      <c r="L545" s="603">
        <v>0</v>
      </c>
      <c r="M545" s="603">
        <v>0</v>
      </c>
      <c r="N545" s="603">
        <v>0</v>
      </c>
      <c r="O545" s="603">
        <v>0</v>
      </c>
      <c r="P545" s="603">
        <v>-745.7</v>
      </c>
      <c r="Q545" s="603">
        <v>0</v>
      </c>
      <c r="R545" s="603">
        <v>-108189.15</v>
      </c>
      <c r="S545" s="484">
        <f t="shared" si="95"/>
        <v>-4570.0229166666659</v>
      </c>
      <c r="T545" s="604"/>
      <c r="U545" s="642"/>
      <c r="V545" s="679">
        <f>+S545</f>
        <v>-4570.0229166666659</v>
      </c>
      <c r="W545" s="679"/>
      <c r="X545" s="702"/>
      <c r="Y545" s="679"/>
      <c r="Z545" s="679"/>
      <c r="AA545" s="642"/>
      <c r="AB545" s="679"/>
      <c r="AC545" s="643"/>
      <c r="AD545" s="644">
        <f t="shared" si="99"/>
        <v>-4570.0229166666659</v>
      </c>
      <c r="AE545" s="644"/>
      <c r="AF545" s="677">
        <f t="shared" si="100"/>
        <v>0</v>
      </c>
    </row>
    <row r="546" spans="1:32">
      <c r="A546" s="604">
        <v>536</v>
      </c>
      <c r="B546" s="604"/>
      <c r="C546" s="604"/>
      <c r="D546" s="604"/>
      <c r="E546" s="589" t="s">
        <v>616</v>
      </c>
      <c r="F546" s="295">
        <f t="shared" ref="F546:S546" si="104">SUM(F462:F545)</f>
        <v>-32063005.899999995</v>
      </c>
      <c r="G546" s="295">
        <f t="shared" si="104"/>
        <v>-34451350.739999995</v>
      </c>
      <c r="H546" s="295">
        <f t="shared" si="104"/>
        <v>-33219999.679999996</v>
      </c>
      <c r="I546" s="295">
        <f t="shared" si="104"/>
        <v>-36492609.619999997</v>
      </c>
      <c r="J546" s="295">
        <f t="shared" si="104"/>
        <v>-28684516.499999966</v>
      </c>
      <c r="K546" s="295">
        <f t="shared" si="104"/>
        <v>-31630282.010000013</v>
      </c>
      <c r="L546" s="295">
        <f t="shared" si="104"/>
        <v>-33481269.949999969</v>
      </c>
      <c r="M546" s="295">
        <f t="shared" si="104"/>
        <v>-33183083.010000002</v>
      </c>
      <c r="N546" s="295">
        <f t="shared" si="104"/>
        <v>-34166519.859999985</v>
      </c>
      <c r="O546" s="295">
        <f t="shared" si="104"/>
        <v>-35545662.090000004</v>
      </c>
      <c r="P546" s="295">
        <f t="shared" si="104"/>
        <v>-36503371.73999998</v>
      </c>
      <c r="Q546" s="295">
        <f t="shared" si="104"/>
        <v>-40736828.329999983</v>
      </c>
      <c r="R546" s="295">
        <f t="shared" si="104"/>
        <v>-39990550.930000007</v>
      </c>
      <c r="S546" s="295">
        <f t="shared" si="104"/>
        <v>-34510189.32874994</v>
      </c>
      <c r="T546" s="604"/>
      <c r="U546" s="642"/>
      <c r="V546" s="679"/>
      <c r="W546" s="679"/>
      <c r="X546" s="702"/>
      <c r="Y546" s="679"/>
      <c r="Z546" s="679"/>
      <c r="AA546" s="642"/>
      <c r="AB546" s="679"/>
      <c r="AC546" s="643"/>
      <c r="AD546" s="643"/>
      <c r="AE546" s="643"/>
      <c r="AF546" s="677">
        <f t="shared" si="100"/>
        <v>0</v>
      </c>
    </row>
    <row r="547" spans="1:32">
      <c r="A547" s="604">
        <v>537</v>
      </c>
      <c r="B547" s="604"/>
      <c r="C547" s="604"/>
      <c r="D547" s="604"/>
      <c r="E547" s="589"/>
      <c r="F547" s="603"/>
      <c r="G547" s="314"/>
      <c r="H547" s="305"/>
      <c r="I547" s="305"/>
      <c r="J547" s="306"/>
      <c r="K547" s="307"/>
      <c r="L547" s="308"/>
      <c r="M547" s="309"/>
      <c r="N547" s="310"/>
      <c r="O547" s="590"/>
      <c r="P547" s="311"/>
      <c r="Q547" s="315"/>
      <c r="R547" s="603"/>
      <c r="S547" s="294"/>
      <c r="T547" s="604"/>
      <c r="U547" s="642"/>
      <c r="V547" s="679"/>
      <c r="W547" s="679"/>
      <c r="X547" s="702"/>
      <c r="Y547" s="679"/>
      <c r="Z547" s="679"/>
      <c r="AA547" s="642"/>
      <c r="AB547" s="679"/>
      <c r="AC547" s="643"/>
      <c r="AD547" s="643"/>
      <c r="AE547" s="643"/>
      <c r="AF547" s="677">
        <f t="shared" si="100"/>
        <v>0</v>
      </c>
    </row>
    <row r="548" spans="1:32">
      <c r="A548" s="604">
        <v>538</v>
      </c>
      <c r="B548" s="316" t="s">
        <v>959</v>
      </c>
      <c r="C548" s="316" t="s">
        <v>608</v>
      </c>
      <c r="D548" s="316" t="s">
        <v>437</v>
      </c>
      <c r="E548" s="589" t="s">
        <v>1722</v>
      </c>
      <c r="F548" s="603">
        <v>-10840395.23</v>
      </c>
      <c r="G548" s="603">
        <v>-10826655.050000001</v>
      </c>
      <c r="H548" s="603">
        <v>-10758174.800000001</v>
      </c>
      <c r="I548" s="603">
        <v>-10644347.890000001</v>
      </c>
      <c r="J548" s="603">
        <v>-10485572.74</v>
      </c>
      <c r="K548" s="603">
        <v>-10425552.9</v>
      </c>
      <c r="L548" s="603">
        <v>-10371495.15</v>
      </c>
      <c r="M548" s="603">
        <v>-10311475.369999999</v>
      </c>
      <c r="N548" s="603">
        <v>-10226825.369999999</v>
      </c>
      <c r="O548" s="603">
        <v>-10149476.9</v>
      </c>
      <c r="P548" s="603">
        <v>-9941631.1199999992</v>
      </c>
      <c r="Q548" s="603">
        <v>-9869455.4700000007</v>
      </c>
      <c r="R548" s="603">
        <v>-9591418.1799999997</v>
      </c>
      <c r="S548" s="484">
        <f t="shared" si="95"/>
        <v>-10352214.122083334</v>
      </c>
      <c r="T548" s="604"/>
      <c r="U548" s="642"/>
      <c r="V548" s="679">
        <f>+S548</f>
        <v>-10352214.122083334</v>
      </c>
      <c r="W548" s="679"/>
      <c r="X548" s="702"/>
      <c r="Y548" s="679"/>
      <c r="Z548" s="679"/>
      <c r="AA548" s="642"/>
      <c r="AB548" s="679"/>
      <c r="AC548" s="643"/>
      <c r="AD548" s="644">
        <f>+V548</f>
        <v>-10352214.122083334</v>
      </c>
      <c r="AE548" s="643"/>
      <c r="AF548" s="677">
        <f t="shared" si="100"/>
        <v>0</v>
      </c>
    </row>
    <row r="549" spans="1:32">
      <c r="A549" s="604">
        <v>539</v>
      </c>
      <c r="B549" s="316" t="s">
        <v>959</v>
      </c>
      <c r="C549" s="316" t="s">
        <v>608</v>
      </c>
      <c r="D549" s="316" t="s">
        <v>481</v>
      </c>
      <c r="E549" s="589" t="s">
        <v>1723</v>
      </c>
      <c r="F549" s="603">
        <v>-466500</v>
      </c>
      <c r="G549" s="603">
        <v>-466500</v>
      </c>
      <c r="H549" s="603">
        <v>-466500</v>
      </c>
      <c r="I549" s="603">
        <v>-466500</v>
      </c>
      <c r="J549" s="603">
        <v>-466500</v>
      </c>
      <c r="K549" s="603">
        <v>-466500</v>
      </c>
      <c r="L549" s="603">
        <v>-466500</v>
      </c>
      <c r="M549" s="603">
        <v>-466500</v>
      </c>
      <c r="N549" s="603">
        <v>-466500</v>
      </c>
      <c r="O549" s="603">
        <v>-466500</v>
      </c>
      <c r="P549" s="603">
        <v>-466500</v>
      </c>
      <c r="Q549" s="603">
        <v>-466500</v>
      </c>
      <c r="R549" s="603">
        <v>-466500</v>
      </c>
      <c r="S549" s="484">
        <f t="shared" si="95"/>
        <v>-466500</v>
      </c>
      <c r="T549" s="604"/>
      <c r="U549" s="642"/>
      <c r="V549" s="679">
        <f>+S549</f>
        <v>-466500</v>
      </c>
      <c r="W549" s="679"/>
      <c r="X549" s="702"/>
      <c r="Y549" s="679"/>
      <c r="Z549" s="679"/>
      <c r="AA549" s="642"/>
      <c r="AB549" s="679"/>
      <c r="AC549" s="643"/>
      <c r="AD549" s="644">
        <f>+V549</f>
        <v>-466500</v>
      </c>
      <c r="AE549" s="643"/>
      <c r="AF549" s="677">
        <f t="shared" si="100"/>
        <v>0</v>
      </c>
    </row>
    <row r="550" spans="1:32">
      <c r="A550" s="604">
        <v>540</v>
      </c>
      <c r="B550" s="316" t="s">
        <v>984</v>
      </c>
      <c r="C550" s="316" t="s">
        <v>608</v>
      </c>
      <c r="D550" s="316" t="s">
        <v>481</v>
      </c>
      <c r="E550" s="589" t="s">
        <v>1720</v>
      </c>
      <c r="F550" s="603">
        <v>-1545967.84</v>
      </c>
      <c r="G550" s="603">
        <v>-1545967.84</v>
      </c>
      <c r="H550" s="603">
        <v>-1545967.84</v>
      </c>
      <c r="I550" s="603">
        <v>-1545967.84</v>
      </c>
      <c r="J550" s="603">
        <v>-1545967.84</v>
      </c>
      <c r="K550" s="603">
        <v>-1545967.84</v>
      </c>
      <c r="L550" s="603">
        <v>-1000000</v>
      </c>
      <c r="M550" s="603">
        <v>-1000000</v>
      </c>
      <c r="N550" s="603">
        <v>-976315.87</v>
      </c>
      <c r="O550" s="603">
        <v>-976315.87</v>
      </c>
      <c r="P550" s="603">
        <v>-976315.87</v>
      </c>
      <c r="Q550" s="603">
        <v>-976315.87</v>
      </c>
      <c r="R550" s="603">
        <v>-46000.000000000102</v>
      </c>
      <c r="S550" s="484">
        <f t="shared" si="95"/>
        <v>-1202590.5499999996</v>
      </c>
      <c r="T550" s="604"/>
      <c r="U550" s="642"/>
      <c r="V550" s="679">
        <f>+S550</f>
        <v>-1202590.5499999996</v>
      </c>
      <c r="W550" s="679"/>
      <c r="X550" s="702"/>
      <c r="Y550" s="679"/>
      <c r="Z550" s="679"/>
      <c r="AA550" s="642"/>
      <c r="AB550" s="679"/>
      <c r="AC550" s="643"/>
      <c r="AD550" s="644">
        <f>+V550</f>
        <v>-1202590.5499999996</v>
      </c>
      <c r="AE550" s="643"/>
      <c r="AF550" s="677">
        <f t="shared" si="100"/>
        <v>0</v>
      </c>
    </row>
    <row r="551" spans="1:32">
      <c r="A551" s="604">
        <v>541</v>
      </c>
      <c r="B551" s="316" t="s">
        <v>956</v>
      </c>
      <c r="C551" s="316" t="s">
        <v>617</v>
      </c>
      <c r="D551" s="316" t="s">
        <v>437</v>
      </c>
      <c r="E551" s="589" t="s">
        <v>1707</v>
      </c>
      <c r="F551" s="603">
        <v>-5590044.1200000001</v>
      </c>
      <c r="G551" s="603">
        <v>-5646294.1200000001</v>
      </c>
      <c r="H551" s="603">
        <v>-5702544.1200000001</v>
      </c>
      <c r="I551" s="603">
        <v>-5613707.8499999996</v>
      </c>
      <c r="J551" s="603">
        <v>-5669957.8499999996</v>
      </c>
      <c r="K551" s="603">
        <v>-5716844.5199999996</v>
      </c>
      <c r="L551" s="603">
        <v>-5771221.8499999996</v>
      </c>
      <c r="M551" s="603">
        <v>-5632150.8200000003</v>
      </c>
      <c r="N551" s="603">
        <v>-5638166.0599999996</v>
      </c>
      <c r="O551" s="603">
        <v>-5644181.2999999998</v>
      </c>
      <c r="P551" s="603">
        <v>-5650196.54</v>
      </c>
      <c r="Q551" s="603">
        <v>-5656211.7800000003</v>
      </c>
      <c r="R551" s="603">
        <v>-5552400.04</v>
      </c>
      <c r="S551" s="484">
        <f t="shared" si="95"/>
        <v>-5659391.5741666667</v>
      </c>
      <c r="T551" s="604"/>
      <c r="U551" s="642"/>
      <c r="W551" s="679"/>
      <c r="X551" s="679">
        <f>+S551</f>
        <v>-5659391.5741666667</v>
      </c>
      <c r="Y551" s="679"/>
      <c r="Z551" s="679"/>
      <c r="AA551" s="642"/>
      <c r="AB551" s="644">
        <f>+X551</f>
        <v>-5659391.5741666667</v>
      </c>
      <c r="AC551" s="643"/>
      <c r="AE551" s="643"/>
      <c r="AF551" s="677">
        <f>+U551+X551-AB551</f>
        <v>0</v>
      </c>
    </row>
    <row r="552" spans="1:32">
      <c r="A552" s="604">
        <v>542</v>
      </c>
      <c r="B552" s="316" t="s">
        <v>956</v>
      </c>
      <c r="C552" s="316" t="s">
        <v>617</v>
      </c>
      <c r="D552" s="316" t="s">
        <v>567</v>
      </c>
      <c r="E552" s="589" t="s">
        <v>1708</v>
      </c>
      <c r="F552" s="603">
        <v>-112904.15</v>
      </c>
      <c r="G552" s="603">
        <v>0</v>
      </c>
      <c r="H552" s="603">
        <v>0</v>
      </c>
      <c r="I552" s="603">
        <v>0</v>
      </c>
      <c r="J552" s="603">
        <v>0</v>
      </c>
      <c r="K552" s="603">
        <v>0</v>
      </c>
      <c r="L552" s="603">
        <v>0</v>
      </c>
      <c r="M552" s="603">
        <v>0</v>
      </c>
      <c r="N552" s="603">
        <v>0</v>
      </c>
      <c r="O552" s="603">
        <v>0</v>
      </c>
      <c r="P552" s="603">
        <v>0</v>
      </c>
      <c r="Q552" s="603">
        <v>0</v>
      </c>
      <c r="R552" s="603">
        <v>0</v>
      </c>
      <c r="S552" s="484">
        <f t="shared" si="95"/>
        <v>-4704.3395833333334</v>
      </c>
      <c r="T552" s="604"/>
      <c r="U552" s="642"/>
      <c r="W552" s="679"/>
      <c r="X552" s="679">
        <f>+S552</f>
        <v>-4704.3395833333334</v>
      </c>
      <c r="Y552" s="679"/>
      <c r="Z552" s="679"/>
      <c r="AA552" s="642"/>
      <c r="AB552" s="644">
        <f>+X552</f>
        <v>-4704.3395833333334</v>
      </c>
      <c r="AC552" s="643"/>
      <c r="AE552" s="643"/>
      <c r="AF552" s="677">
        <f>+U552+X552-AB552</f>
        <v>0</v>
      </c>
    </row>
    <row r="553" spans="1:32">
      <c r="A553" s="604">
        <v>543</v>
      </c>
      <c r="B553" s="316" t="s">
        <v>956</v>
      </c>
      <c r="C553" s="316" t="s">
        <v>617</v>
      </c>
      <c r="D553" s="316" t="s">
        <v>568</v>
      </c>
      <c r="E553" s="589" t="s">
        <v>1709</v>
      </c>
      <c r="F553" s="603">
        <v>-108832</v>
      </c>
      <c r="G553" s="603">
        <v>-108832</v>
      </c>
      <c r="H553" s="603">
        <v>-108832</v>
      </c>
      <c r="I553" s="603">
        <v>-108832</v>
      </c>
      <c r="J553" s="603">
        <v>-108832</v>
      </c>
      <c r="K553" s="603">
        <v>-108832</v>
      </c>
      <c r="L553" s="603">
        <v>-108832</v>
      </c>
      <c r="M553" s="603">
        <v>-108832</v>
      </c>
      <c r="N553" s="603">
        <v>-108832</v>
      </c>
      <c r="O553" s="603">
        <v>-108832</v>
      </c>
      <c r="P553" s="603">
        <v>-108832</v>
      </c>
      <c r="Q553" s="603">
        <v>-108832</v>
      </c>
      <c r="R553" s="603">
        <v>-555072</v>
      </c>
      <c r="S553" s="484">
        <f t="shared" si="95"/>
        <v>-127425.33333333333</v>
      </c>
      <c r="T553" s="604"/>
      <c r="U553" s="642"/>
      <c r="W553" s="679"/>
      <c r="X553" s="679">
        <f>+S553</f>
        <v>-127425.33333333333</v>
      </c>
      <c r="Y553" s="679"/>
      <c r="Z553" s="679"/>
      <c r="AA553" s="642"/>
      <c r="AB553" s="644">
        <f>+X553</f>
        <v>-127425.33333333333</v>
      </c>
      <c r="AC553" s="643"/>
      <c r="AE553" s="643"/>
      <c r="AF553" s="677">
        <f>+U553+X553-AB553</f>
        <v>0</v>
      </c>
    </row>
    <row r="554" spans="1:32">
      <c r="A554" s="604">
        <v>544</v>
      </c>
      <c r="B554" s="316" t="s">
        <v>956</v>
      </c>
      <c r="C554" s="316" t="s">
        <v>618</v>
      </c>
      <c r="D554" s="316" t="s">
        <v>1215</v>
      </c>
      <c r="E554" s="589" t="s">
        <v>1710</v>
      </c>
      <c r="F554" s="603">
        <v>-66788045.990000002</v>
      </c>
      <c r="G554" s="603">
        <v>-67092875.520000003</v>
      </c>
      <c r="H554" s="603">
        <v>-67399102.519999996</v>
      </c>
      <c r="I554" s="603">
        <v>-67706733.280000001</v>
      </c>
      <c r="J554" s="603">
        <v>-68015774.299999997</v>
      </c>
      <c r="K554" s="603">
        <v>-68326232.219999999</v>
      </c>
      <c r="L554" s="603">
        <v>-68638113.450000003</v>
      </c>
      <c r="M554" s="603">
        <v>-68951424.409999996</v>
      </c>
      <c r="N554" s="603">
        <v>-69266171.700000003</v>
      </c>
      <c r="O554" s="603">
        <v>-69582362.049999997</v>
      </c>
      <c r="P554" s="603">
        <v>-69900002.090000004</v>
      </c>
      <c r="Q554" s="603">
        <v>-70219098.450000003</v>
      </c>
      <c r="R554" s="603">
        <v>-74293816.879999995</v>
      </c>
      <c r="S554" s="484">
        <f t="shared" si="95"/>
        <v>-68803235.118750021</v>
      </c>
      <c r="T554" s="604"/>
      <c r="U554" s="642"/>
      <c r="V554" s="679"/>
      <c r="W554" s="679"/>
      <c r="X554" s="702">
        <f>+S554</f>
        <v>-68803235.118750021</v>
      </c>
      <c r="Y554" s="679">
        <f>+X554*Z7</f>
        <v>-51719391.838764392</v>
      </c>
      <c r="Z554" s="679">
        <f>+X554*Z8</f>
        <v>-17083843.279985629</v>
      </c>
      <c r="AA554" s="642"/>
      <c r="AB554" s="679"/>
      <c r="AC554" s="643"/>
      <c r="AD554" s="644"/>
      <c r="AE554" s="643"/>
      <c r="AF554" s="677">
        <f t="shared" si="100"/>
        <v>0</v>
      </c>
    </row>
    <row r="555" spans="1:32">
      <c r="A555" s="604">
        <v>545</v>
      </c>
      <c r="B555" s="316" t="s">
        <v>956</v>
      </c>
      <c r="C555" s="316" t="s">
        <v>608</v>
      </c>
      <c r="D555" s="316" t="s">
        <v>437</v>
      </c>
      <c r="E555" s="589" t="s">
        <v>1912</v>
      </c>
      <c r="F555" s="603">
        <v>0</v>
      </c>
      <c r="G555" s="603">
        <v>0</v>
      </c>
      <c r="H555" s="603">
        <v>0</v>
      </c>
      <c r="I555" s="603">
        <v>0</v>
      </c>
      <c r="J555" s="603">
        <v>0</v>
      </c>
      <c r="K555" s="603">
        <v>0</v>
      </c>
      <c r="L555" s="603">
        <v>0</v>
      </c>
      <c r="M555" s="603">
        <v>0</v>
      </c>
      <c r="N555" s="603">
        <v>0</v>
      </c>
      <c r="O555" s="603">
        <v>-324000</v>
      </c>
      <c r="P555" s="603">
        <v>-324000</v>
      </c>
      <c r="Q555" s="603">
        <v>-324000</v>
      </c>
      <c r="R555" s="603">
        <v>-320100</v>
      </c>
      <c r="S555" s="484">
        <f t="shared" si="95"/>
        <v>-94337.5</v>
      </c>
      <c r="T555" s="604"/>
      <c r="U555" s="642"/>
      <c r="V555" s="679">
        <f>+S555</f>
        <v>-94337.5</v>
      </c>
      <c r="W555" s="679"/>
      <c r="X555" s="702"/>
      <c r="Y555" s="679"/>
      <c r="Z555" s="679"/>
      <c r="AA555" s="642"/>
      <c r="AB555" s="679"/>
      <c r="AC555" s="643"/>
      <c r="AD555" s="644">
        <f>+S555</f>
        <v>-94337.5</v>
      </c>
      <c r="AE555" s="643"/>
      <c r="AF555" s="677"/>
    </row>
    <row r="556" spans="1:32">
      <c r="A556" s="604">
        <v>546</v>
      </c>
      <c r="B556" s="316" t="s">
        <v>956</v>
      </c>
      <c r="C556" s="316" t="s">
        <v>615</v>
      </c>
      <c r="D556" s="316" t="s">
        <v>549</v>
      </c>
      <c r="E556" s="589" t="s">
        <v>484</v>
      </c>
      <c r="F556" s="603">
        <v>0</v>
      </c>
      <c r="G556" s="603">
        <v>0</v>
      </c>
      <c r="H556" s="603">
        <v>0</v>
      </c>
      <c r="I556" s="603">
        <v>0</v>
      </c>
      <c r="J556" s="603">
        <v>0</v>
      </c>
      <c r="K556" s="603">
        <v>0</v>
      </c>
      <c r="L556" s="603">
        <v>0</v>
      </c>
      <c r="M556" s="603">
        <v>0</v>
      </c>
      <c r="N556" s="603">
        <v>0</v>
      </c>
      <c r="O556" s="603">
        <v>0</v>
      </c>
      <c r="P556" s="603">
        <v>0</v>
      </c>
      <c r="Q556" s="603">
        <v>0</v>
      </c>
      <c r="R556" s="603">
        <v>0</v>
      </c>
      <c r="S556" s="484">
        <f t="shared" si="95"/>
        <v>0</v>
      </c>
      <c r="T556" s="604"/>
      <c r="U556" s="642"/>
      <c r="V556" s="679"/>
      <c r="W556" s="679"/>
      <c r="X556" s="702"/>
      <c r="Y556" s="679"/>
      <c r="Z556" s="679"/>
      <c r="AA556" s="642"/>
      <c r="AB556" s="679"/>
      <c r="AC556" s="643"/>
      <c r="AD556" s="644"/>
      <c r="AE556" s="643"/>
      <c r="AF556" s="677">
        <f t="shared" si="100"/>
        <v>0</v>
      </c>
    </row>
    <row r="557" spans="1:32">
      <c r="A557" s="604">
        <v>547</v>
      </c>
      <c r="B557" s="316" t="s">
        <v>956</v>
      </c>
      <c r="C557" s="316" t="s">
        <v>619</v>
      </c>
      <c r="D557" s="316" t="s">
        <v>718</v>
      </c>
      <c r="E557" s="589" t="s">
        <v>1711</v>
      </c>
      <c r="F557" s="603">
        <v>-3373786.93</v>
      </c>
      <c r="G557" s="603">
        <v>-3301647.39</v>
      </c>
      <c r="H557" s="603">
        <v>-3301647.39</v>
      </c>
      <c r="I557" s="603">
        <v>-3301647.39</v>
      </c>
      <c r="J557" s="603">
        <v>-3301647.39</v>
      </c>
      <c r="K557" s="603">
        <v>-3301647.39</v>
      </c>
      <c r="L557" s="603">
        <v>-3301647.39</v>
      </c>
      <c r="M557" s="603">
        <v>-3301647.39</v>
      </c>
      <c r="N557" s="603">
        <v>-3301647.39</v>
      </c>
      <c r="O557" s="603">
        <v>-3301647.39</v>
      </c>
      <c r="P557" s="603">
        <v>-3301647.39</v>
      </c>
      <c r="Q557" s="603">
        <v>-3301647.39</v>
      </c>
      <c r="R557" s="603">
        <v>-3301647.39</v>
      </c>
      <c r="S557" s="484">
        <f t="shared" si="95"/>
        <v>-3304653.2041666671</v>
      </c>
      <c r="T557" s="604"/>
      <c r="U557" s="642"/>
      <c r="V557" s="679"/>
      <c r="W557" s="679"/>
      <c r="X557" s="702">
        <f>+S557</f>
        <v>-3304653.2041666671</v>
      </c>
      <c r="Y557" s="679">
        <f>+X557*Z7</f>
        <v>-2484107.8135720836</v>
      </c>
      <c r="Z557" s="679">
        <f>+X557*Z8</f>
        <v>-820545.39059458335</v>
      </c>
      <c r="AA557" s="642"/>
      <c r="AB557" s="679"/>
      <c r="AC557" s="643"/>
      <c r="AD557" s="644"/>
      <c r="AE557" s="643" t="s">
        <v>1421</v>
      </c>
      <c r="AF557" s="677">
        <f t="shared" si="100"/>
        <v>0</v>
      </c>
    </row>
    <row r="558" spans="1:32">
      <c r="A558" s="604">
        <v>548</v>
      </c>
      <c r="B558" s="316" t="s">
        <v>956</v>
      </c>
      <c r="C558" s="316" t="s">
        <v>619</v>
      </c>
      <c r="D558" s="316" t="s">
        <v>1113</v>
      </c>
      <c r="E558" s="589" t="s">
        <v>1712</v>
      </c>
      <c r="F558" s="603">
        <v>-48360.090000000098</v>
      </c>
      <c r="G558" s="603">
        <v>-1101.4100000000001</v>
      </c>
      <c r="H558" s="603">
        <v>-9536.17</v>
      </c>
      <c r="I558" s="603">
        <v>-35531.65</v>
      </c>
      <c r="J558" s="603">
        <v>-35531.65</v>
      </c>
      <c r="K558" s="603">
        <v>-41190.03</v>
      </c>
      <c r="L558" s="603">
        <v>-41190.03</v>
      </c>
      <c r="M558" s="603">
        <v>-41220.18</v>
      </c>
      <c r="N558" s="603">
        <v>-45069.26</v>
      </c>
      <c r="O558" s="603">
        <v>-45465.53</v>
      </c>
      <c r="P558" s="603">
        <v>-48880.44</v>
      </c>
      <c r="Q558" s="603">
        <v>-55161.33</v>
      </c>
      <c r="R558" s="603">
        <v>-55161.33</v>
      </c>
      <c r="S558" s="484">
        <f t="shared" si="95"/>
        <v>-37636.532500000008</v>
      </c>
      <c r="T558" s="604"/>
      <c r="U558" s="642"/>
      <c r="V558" s="679"/>
      <c r="W558" s="679"/>
      <c r="X558" s="702">
        <f>+S558</f>
        <v>-37636.532500000008</v>
      </c>
      <c r="Y558" s="679">
        <f>+X558*Z7</f>
        <v>-28291.381480250009</v>
      </c>
      <c r="Z558" s="679">
        <f>+X558*Z8</f>
        <v>-9345.1510197500011</v>
      </c>
      <c r="AA558" s="642"/>
      <c r="AB558" s="679"/>
      <c r="AC558" s="643"/>
      <c r="AD558" s="644"/>
      <c r="AE558" s="643"/>
      <c r="AF558" s="677">
        <f t="shared" si="100"/>
        <v>0</v>
      </c>
    </row>
    <row r="559" spans="1:32">
      <c r="A559" s="604">
        <v>549</v>
      </c>
      <c r="B559" s="316" t="s">
        <v>956</v>
      </c>
      <c r="C559" s="316" t="s">
        <v>619</v>
      </c>
      <c r="D559" s="316" t="s">
        <v>1216</v>
      </c>
      <c r="E559" s="589" t="s">
        <v>1713</v>
      </c>
      <c r="F559" s="603">
        <v>3199.78</v>
      </c>
      <c r="G559" s="603">
        <v>0</v>
      </c>
      <c r="H559" s="603">
        <v>0</v>
      </c>
      <c r="I559" s="603">
        <v>0</v>
      </c>
      <c r="J559" s="603">
        <v>4021.48</v>
      </c>
      <c r="K559" s="603">
        <v>4021.48</v>
      </c>
      <c r="L559" s="603">
        <v>4021.48</v>
      </c>
      <c r="M559" s="603">
        <v>6854.11</v>
      </c>
      <c r="N559" s="603">
        <v>6854.11</v>
      </c>
      <c r="O559" s="603">
        <v>6854.11</v>
      </c>
      <c r="P559" s="603">
        <v>6854.11</v>
      </c>
      <c r="Q559" s="603">
        <v>6854.11</v>
      </c>
      <c r="R559" s="603">
        <v>6854.11</v>
      </c>
      <c r="S559" s="484">
        <f t="shared" si="95"/>
        <v>4280.1612500000001</v>
      </c>
      <c r="T559" s="604"/>
      <c r="U559" s="642"/>
      <c r="V559" s="679"/>
      <c r="W559" s="679"/>
      <c r="X559" s="702">
        <f>+S559</f>
        <v>4280.1612500000001</v>
      </c>
      <c r="Y559" s="679">
        <f>+X559*Z7</f>
        <v>3217.3972116250002</v>
      </c>
      <c r="Z559" s="679">
        <f>+X559*Z8</f>
        <v>1062.7640383749999</v>
      </c>
      <c r="AA559" s="642"/>
      <c r="AB559" s="679"/>
      <c r="AC559" s="643"/>
      <c r="AD559" s="644"/>
      <c r="AE559" s="643"/>
      <c r="AF559" s="677">
        <f t="shared" si="100"/>
        <v>0</v>
      </c>
    </row>
    <row r="560" spans="1:32">
      <c r="A560" s="604">
        <v>550</v>
      </c>
      <c r="B560" s="316" t="s">
        <v>956</v>
      </c>
      <c r="C560" s="316" t="s">
        <v>619</v>
      </c>
      <c r="D560" s="316" t="s">
        <v>964</v>
      </c>
      <c r="E560" s="589" t="s">
        <v>1715</v>
      </c>
      <c r="F560" s="603">
        <v>117299.85</v>
      </c>
      <c r="G560" s="603">
        <v>0</v>
      </c>
      <c r="H560" s="603">
        <v>0</v>
      </c>
      <c r="I560" s="603">
        <v>77103.62</v>
      </c>
      <c r="J560" s="603">
        <v>77103.62</v>
      </c>
      <c r="K560" s="603">
        <v>77103.62</v>
      </c>
      <c r="L560" s="603">
        <v>77103.62</v>
      </c>
      <c r="M560" s="603">
        <v>77103.62</v>
      </c>
      <c r="N560" s="603">
        <v>77103.62</v>
      </c>
      <c r="O560" s="603">
        <v>140365.51999999999</v>
      </c>
      <c r="P560" s="603">
        <v>140365.51999999999</v>
      </c>
      <c r="Q560" s="603">
        <v>140365.51999999999</v>
      </c>
      <c r="R560" s="603">
        <v>140365.51999999999</v>
      </c>
      <c r="S560" s="484">
        <f t="shared" si="95"/>
        <v>84379.247083333335</v>
      </c>
      <c r="T560" s="604"/>
      <c r="U560" s="642"/>
      <c r="V560" s="679"/>
      <c r="W560" s="679"/>
      <c r="X560" s="702">
        <f>+S560</f>
        <v>84379.247083333335</v>
      </c>
      <c r="Y560" s="679">
        <f>+X560*Z7</f>
        <v>63427.880032541674</v>
      </c>
      <c r="Z560" s="679">
        <f>+X560*Z8</f>
        <v>20951.367050791665</v>
      </c>
      <c r="AA560" s="642"/>
      <c r="AB560" s="679"/>
      <c r="AC560" s="643"/>
      <c r="AD560" s="644"/>
      <c r="AE560" s="643" t="s">
        <v>1422</v>
      </c>
      <c r="AF560" s="677">
        <f t="shared" si="100"/>
        <v>0</v>
      </c>
    </row>
    <row r="561" spans="1:32">
      <c r="A561" s="604">
        <v>551</v>
      </c>
      <c r="B561" s="316" t="s">
        <v>956</v>
      </c>
      <c r="C561" s="316" t="s">
        <v>619</v>
      </c>
      <c r="D561" s="316" t="s">
        <v>968</v>
      </c>
      <c r="E561" s="589" t="s">
        <v>1714</v>
      </c>
      <c r="F561" s="603">
        <v>-1014253.48</v>
      </c>
      <c r="G561" s="603">
        <v>-1014253.48</v>
      </c>
      <c r="H561" s="603">
        <v>-1014253.48</v>
      </c>
      <c r="I561" s="603">
        <v>-998215.14</v>
      </c>
      <c r="J561" s="603">
        <v>-961008.7</v>
      </c>
      <c r="K561" s="603">
        <v>-961008.7</v>
      </c>
      <c r="L561" s="603">
        <v>-961008.7</v>
      </c>
      <c r="M561" s="603">
        <v>-961008.7</v>
      </c>
      <c r="N561" s="603">
        <v>-961008.7</v>
      </c>
      <c r="O561" s="603">
        <v>-940392.65</v>
      </c>
      <c r="P561" s="603">
        <v>-947948.91</v>
      </c>
      <c r="Q561" s="603">
        <v>-956826.3</v>
      </c>
      <c r="R561" s="603">
        <v>-985998.22</v>
      </c>
      <c r="S561" s="484">
        <f t="shared" si="95"/>
        <v>-973088.27583333338</v>
      </c>
      <c r="T561" s="604"/>
      <c r="U561" s="642"/>
      <c r="V561" s="679"/>
      <c r="W561" s="679"/>
      <c r="X561" s="702">
        <f>+S561</f>
        <v>-973088.27583333338</v>
      </c>
      <c r="Y561" s="679">
        <f>+X561*Z7</f>
        <v>-731470.45694391674</v>
      </c>
      <c r="Z561" s="679">
        <f>+X561*Z8</f>
        <v>-241617.81888941667</v>
      </c>
      <c r="AA561" s="642"/>
      <c r="AB561" s="679"/>
      <c r="AC561" s="643"/>
      <c r="AD561" s="644"/>
      <c r="AE561" s="643" t="s">
        <v>1423</v>
      </c>
      <c r="AF561" s="677">
        <f t="shared" si="100"/>
        <v>0</v>
      </c>
    </row>
    <row r="562" spans="1:32">
      <c r="A562" s="604">
        <v>552</v>
      </c>
      <c r="B562" s="316" t="s">
        <v>956</v>
      </c>
      <c r="C562" s="316" t="s">
        <v>620</v>
      </c>
      <c r="D562" s="316" t="s">
        <v>1217</v>
      </c>
      <c r="E562" s="589" t="s">
        <v>1716</v>
      </c>
      <c r="F562" s="603">
        <v>121.7</v>
      </c>
      <c r="G562" s="603">
        <v>116.27</v>
      </c>
      <c r="H562" s="603">
        <v>111.09</v>
      </c>
      <c r="I562" s="603">
        <v>105.87</v>
      </c>
      <c r="J562" s="603">
        <v>97.49</v>
      </c>
      <c r="K562" s="603">
        <v>-116.12</v>
      </c>
      <c r="L562" s="603">
        <v>79.25</v>
      </c>
      <c r="M562" s="603">
        <v>85.32</v>
      </c>
      <c r="N562" s="603">
        <v>70.510000000000005</v>
      </c>
      <c r="O562" s="603">
        <v>56.91</v>
      </c>
      <c r="P562" s="603">
        <v>49.5</v>
      </c>
      <c r="Q562" s="603">
        <v>47.11</v>
      </c>
      <c r="R562" s="603">
        <v>100684.96</v>
      </c>
      <c r="S562" s="484">
        <f t="shared" si="95"/>
        <v>4258.8774999999996</v>
      </c>
      <c r="T562" s="604"/>
      <c r="U562" s="642"/>
      <c r="V562" s="679">
        <f>+S562</f>
        <v>4258.8774999999996</v>
      </c>
      <c r="W562" s="679"/>
      <c r="X562" s="702"/>
      <c r="Y562" s="679"/>
      <c r="Z562" s="679"/>
      <c r="AA562" s="642"/>
      <c r="AB562" s="679"/>
      <c r="AC562" s="643"/>
      <c r="AD562" s="644">
        <f>+V562</f>
        <v>4258.8774999999996</v>
      </c>
      <c r="AE562" s="643"/>
      <c r="AF562" s="677">
        <f t="shared" si="100"/>
        <v>0</v>
      </c>
    </row>
    <row r="563" spans="1:32">
      <c r="A563" s="604">
        <v>553</v>
      </c>
      <c r="B563" s="316" t="s">
        <v>956</v>
      </c>
      <c r="C563" s="316" t="s">
        <v>620</v>
      </c>
      <c r="D563" s="316" t="s">
        <v>1218</v>
      </c>
      <c r="E563" s="589" t="s">
        <v>1718</v>
      </c>
      <c r="F563" s="603">
        <v>-48270</v>
      </c>
      <c r="G563" s="603">
        <v>-48270</v>
      </c>
      <c r="H563" s="603">
        <v>-48270</v>
      </c>
      <c r="I563" s="603">
        <v>-48270</v>
      </c>
      <c r="J563" s="603">
        <v>-48270</v>
      </c>
      <c r="K563" s="603">
        <v>-48270</v>
      </c>
      <c r="L563" s="603">
        <v>-48270</v>
      </c>
      <c r="M563" s="603">
        <v>-48270</v>
      </c>
      <c r="N563" s="603">
        <v>-48270</v>
      </c>
      <c r="O563" s="603">
        <v>-48270</v>
      </c>
      <c r="P563" s="603">
        <v>-24135</v>
      </c>
      <c r="Q563" s="603">
        <v>-24135</v>
      </c>
      <c r="R563" s="603">
        <v>-24135</v>
      </c>
      <c r="S563" s="484">
        <f t="shared" si="95"/>
        <v>-43241.875</v>
      </c>
      <c r="T563" s="604"/>
      <c r="U563" s="642"/>
      <c r="V563" s="679">
        <f>+S563</f>
        <v>-43241.875</v>
      </c>
      <c r="W563" s="679"/>
      <c r="X563" s="702"/>
      <c r="Y563" s="679"/>
      <c r="Z563" s="679"/>
      <c r="AA563" s="642"/>
      <c r="AB563" s="679"/>
      <c r="AC563" s="643"/>
      <c r="AD563" s="644">
        <f>+V563</f>
        <v>-43241.875</v>
      </c>
      <c r="AE563" s="643"/>
      <c r="AF563" s="677">
        <f t="shared" si="100"/>
        <v>0</v>
      </c>
    </row>
    <row r="564" spans="1:32">
      <c r="A564" s="604">
        <v>554</v>
      </c>
      <c r="B564" s="316" t="s">
        <v>956</v>
      </c>
      <c r="C564" s="316" t="s">
        <v>620</v>
      </c>
      <c r="D564" s="316" t="s">
        <v>1219</v>
      </c>
      <c r="E564" s="589" t="s">
        <v>1717</v>
      </c>
      <c r="F564" s="603">
        <v>-9444729.6899999995</v>
      </c>
      <c r="G564" s="603">
        <v>-9386229.6899999995</v>
      </c>
      <c r="H564" s="603">
        <v>-9327729.6899999995</v>
      </c>
      <c r="I564" s="603">
        <v>-9269229.6899999995</v>
      </c>
      <c r="J564" s="603">
        <v>-9210729.6899999995</v>
      </c>
      <c r="K564" s="603">
        <v>-9495724.6899999995</v>
      </c>
      <c r="L564" s="603">
        <v>-9505923.6899999995</v>
      </c>
      <c r="M564" s="603">
        <v>-9516122.6899999995</v>
      </c>
      <c r="N564" s="603">
        <v>-9526321.6899999995</v>
      </c>
      <c r="O564" s="603">
        <v>-9536520.6899999995</v>
      </c>
      <c r="P564" s="603">
        <v>-9546719.6899999995</v>
      </c>
      <c r="Q564" s="603">
        <v>-9556918.6899999995</v>
      </c>
      <c r="R564" s="603">
        <v>-6699766.6900000004</v>
      </c>
      <c r="S564" s="484">
        <f t="shared" si="95"/>
        <v>-9329201.5649999995</v>
      </c>
      <c r="T564" s="604"/>
      <c r="U564" s="642"/>
      <c r="V564" s="679">
        <f>+S564</f>
        <v>-9329201.5649999995</v>
      </c>
      <c r="W564" s="679"/>
      <c r="X564" s="702"/>
      <c r="Y564" s="679"/>
      <c r="Z564" s="679"/>
      <c r="AA564" s="642"/>
      <c r="AB564" s="679"/>
      <c r="AC564" s="643"/>
      <c r="AD564" s="644">
        <f>+V564</f>
        <v>-9329201.5649999995</v>
      </c>
      <c r="AE564" s="643"/>
      <c r="AF564" s="677">
        <f t="shared" si="100"/>
        <v>0</v>
      </c>
    </row>
    <row r="565" spans="1:32">
      <c r="A565" s="604">
        <v>555</v>
      </c>
      <c r="B565" s="316" t="s">
        <v>956</v>
      </c>
      <c r="C565" s="316" t="s">
        <v>620</v>
      </c>
      <c r="D565" s="316" t="s">
        <v>1220</v>
      </c>
      <c r="E565" s="589" t="s">
        <v>1913</v>
      </c>
      <c r="F565" s="603">
        <v>-974030</v>
      </c>
      <c r="G565" s="603">
        <v>-974030</v>
      </c>
      <c r="H565" s="603">
        <v>-974030</v>
      </c>
      <c r="I565" s="603">
        <v>-974030</v>
      </c>
      <c r="J565" s="603">
        <v>-974030</v>
      </c>
      <c r="K565" s="603">
        <v>-1088889</v>
      </c>
      <c r="L565" s="603">
        <v>-1088889</v>
      </c>
      <c r="M565" s="603">
        <v>-1088889</v>
      </c>
      <c r="N565" s="603">
        <v>-1088889</v>
      </c>
      <c r="O565" s="603">
        <v>-1088889</v>
      </c>
      <c r="P565" s="603">
        <v>-1088889</v>
      </c>
      <c r="Q565" s="603">
        <v>-1088889</v>
      </c>
      <c r="R565" s="603">
        <v>-1045610</v>
      </c>
      <c r="S565" s="484">
        <f t="shared" si="95"/>
        <v>-1044013.5833333334</v>
      </c>
      <c r="T565" s="604"/>
      <c r="U565" s="642"/>
      <c r="V565" s="679">
        <f>+S565</f>
        <v>-1044013.5833333334</v>
      </c>
      <c r="W565" s="679"/>
      <c r="X565" s="702"/>
      <c r="Y565" s="679"/>
      <c r="Z565" s="679"/>
      <c r="AA565" s="642"/>
      <c r="AB565" s="679"/>
      <c r="AC565" s="643"/>
      <c r="AD565" s="644">
        <f t="shared" ref="AD565:AD570" si="105">+V565</f>
        <v>-1044013.5833333334</v>
      </c>
      <c r="AE565" s="649"/>
      <c r="AF565" s="677">
        <f t="shared" si="100"/>
        <v>0</v>
      </c>
    </row>
    <row r="566" spans="1:32">
      <c r="A566" s="604">
        <v>556</v>
      </c>
      <c r="B566" s="316" t="s">
        <v>956</v>
      </c>
      <c r="C566" s="316" t="s">
        <v>620</v>
      </c>
      <c r="D566" s="316" t="s">
        <v>1914</v>
      </c>
      <c r="E566" s="589" t="s">
        <v>1915</v>
      </c>
      <c r="F566" s="603">
        <v>0</v>
      </c>
      <c r="G566" s="603">
        <v>0</v>
      </c>
      <c r="H566" s="603">
        <v>0</v>
      </c>
      <c r="I566" s="603">
        <v>0</v>
      </c>
      <c r="J566" s="603">
        <v>0</v>
      </c>
      <c r="K566" s="603">
        <v>114859</v>
      </c>
      <c r="L566" s="603">
        <v>114859</v>
      </c>
      <c r="M566" s="603">
        <v>114859</v>
      </c>
      <c r="N566" s="603">
        <v>114859</v>
      </c>
      <c r="O566" s="603">
        <v>114859</v>
      </c>
      <c r="P566" s="603">
        <v>114859</v>
      </c>
      <c r="Q566" s="603">
        <v>114859</v>
      </c>
      <c r="R566" s="603">
        <v>197919</v>
      </c>
      <c r="S566" s="484">
        <f t="shared" si="95"/>
        <v>75247.708333333328</v>
      </c>
      <c r="T566" s="604"/>
      <c r="U566" s="642"/>
      <c r="V566" s="679">
        <f>+S566</f>
        <v>75247.708333333328</v>
      </c>
      <c r="W566" s="679"/>
      <c r="X566" s="702"/>
      <c r="Y566" s="679"/>
      <c r="Z566" s="679"/>
      <c r="AA566" s="642"/>
      <c r="AB566" s="679"/>
      <c r="AC566" s="643"/>
      <c r="AD566" s="644">
        <f t="shared" si="105"/>
        <v>75247.708333333328</v>
      </c>
      <c r="AE566" s="643"/>
      <c r="AF566" s="677">
        <f t="shared" si="100"/>
        <v>0</v>
      </c>
    </row>
    <row r="567" spans="1:32">
      <c r="A567" s="604">
        <v>557</v>
      </c>
      <c r="B567" s="316" t="s">
        <v>959</v>
      </c>
      <c r="C567" s="316" t="s">
        <v>621</v>
      </c>
      <c r="D567" s="316" t="s">
        <v>1221</v>
      </c>
      <c r="E567" s="589" t="s">
        <v>624</v>
      </c>
      <c r="F567" s="603">
        <v>-49624464.960000001</v>
      </c>
      <c r="G567" s="603">
        <v>-49425126.969999999</v>
      </c>
      <c r="H567" s="603">
        <v>-49225788.950000003</v>
      </c>
      <c r="I567" s="603">
        <v>-49026450.969999999</v>
      </c>
      <c r="J567" s="603">
        <v>-48827112.979999997</v>
      </c>
      <c r="K567" s="603">
        <v>-48627775.049999997</v>
      </c>
      <c r="L567" s="603">
        <v>-48428437.009999998</v>
      </c>
      <c r="M567" s="603">
        <v>-48229103.939999998</v>
      </c>
      <c r="N567" s="603">
        <v>-48029765.960000001</v>
      </c>
      <c r="O567" s="603">
        <v>-47830427.950000003</v>
      </c>
      <c r="P567" s="603">
        <v>-47631089.960000001</v>
      </c>
      <c r="Q567" s="603">
        <v>-47408313.049999997</v>
      </c>
      <c r="R567" s="603">
        <v>-47103890.740000002</v>
      </c>
      <c r="S567" s="484">
        <f t="shared" si="95"/>
        <v>-48421130.886666656</v>
      </c>
      <c r="T567" s="604"/>
      <c r="U567" s="642"/>
      <c r="V567" s="679"/>
      <c r="W567" s="679"/>
      <c r="X567" s="702">
        <f>+S567</f>
        <v>-48421130.886666656</v>
      </c>
      <c r="Y567" s="679"/>
      <c r="Z567" s="679"/>
      <c r="AA567" s="642"/>
      <c r="AB567" s="679">
        <f>+S567</f>
        <v>-48421130.886666656</v>
      </c>
      <c r="AC567" s="643"/>
      <c r="AD567" s="644">
        <f t="shared" si="105"/>
        <v>0</v>
      </c>
      <c r="AE567" s="643"/>
      <c r="AF567" s="677">
        <f t="shared" si="100"/>
        <v>0</v>
      </c>
    </row>
    <row r="568" spans="1:32">
      <c r="A568" s="604">
        <v>558</v>
      </c>
      <c r="B568" s="316" t="s">
        <v>956</v>
      </c>
      <c r="C568" s="316" t="s">
        <v>621</v>
      </c>
      <c r="D568" s="316" t="s">
        <v>1222</v>
      </c>
      <c r="E568" s="589" t="s">
        <v>1719</v>
      </c>
      <c r="F568" s="603">
        <v>-9124558.2599999998</v>
      </c>
      <c r="G568" s="603">
        <v>-9027793.8900000006</v>
      </c>
      <c r="H568" s="603">
        <v>-8931029.4600000009</v>
      </c>
      <c r="I568" s="603">
        <v>-8834265.1099999994</v>
      </c>
      <c r="J568" s="603">
        <v>-8737500.7599999998</v>
      </c>
      <c r="K568" s="603">
        <v>-8640736.4199999999</v>
      </c>
      <c r="L568" s="603">
        <v>-8543971.9700000007</v>
      </c>
      <c r="M568" s="603">
        <v>-8447207.6099999994</v>
      </c>
      <c r="N568" s="603">
        <v>-8350443.2300000004</v>
      </c>
      <c r="O568" s="603">
        <v>-8253678.8300000001</v>
      </c>
      <c r="P568" s="603">
        <v>-8156914.3399999999</v>
      </c>
      <c r="Q568" s="603">
        <v>-8060150.0099999998</v>
      </c>
      <c r="R568" s="603">
        <v>-7963385.4400000004</v>
      </c>
      <c r="S568" s="484">
        <f t="shared" si="95"/>
        <v>-8543971.956666667</v>
      </c>
      <c r="T568" s="604"/>
      <c r="U568" s="642"/>
      <c r="V568" s="679"/>
      <c r="W568" s="679"/>
      <c r="X568" s="702">
        <f>+S568</f>
        <v>-8543971.956666667</v>
      </c>
      <c r="Y568" s="679"/>
      <c r="Z568" s="679"/>
      <c r="AA568" s="642"/>
      <c r="AB568" s="679">
        <f>+S568</f>
        <v>-8543971.956666667</v>
      </c>
      <c r="AC568" s="643"/>
      <c r="AD568" s="644">
        <f t="shared" si="105"/>
        <v>0</v>
      </c>
      <c r="AE568" s="649"/>
      <c r="AF568" s="677">
        <f t="shared" si="100"/>
        <v>0</v>
      </c>
    </row>
    <row r="569" spans="1:32">
      <c r="A569" s="604">
        <v>559</v>
      </c>
      <c r="B569" s="316" t="s">
        <v>1844</v>
      </c>
      <c r="C569" s="316" t="s">
        <v>621</v>
      </c>
      <c r="D569" s="316" t="s">
        <v>1851</v>
      </c>
      <c r="E569" s="589" t="s">
        <v>1909</v>
      </c>
      <c r="F569" s="603">
        <v>0</v>
      </c>
      <c r="G569" s="603">
        <v>0</v>
      </c>
      <c r="H569" s="603">
        <v>-1111122.68</v>
      </c>
      <c r="I569" s="603">
        <v>0</v>
      </c>
      <c r="J569" s="603">
        <v>619044.54</v>
      </c>
      <c r="K569" s="603">
        <v>698790.37</v>
      </c>
      <c r="L569" s="603">
        <v>736498.52</v>
      </c>
      <c r="M569" s="603">
        <v>775109.42</v>
      </c>
      <c r="N569" s="603">
        <v>814640.66</v>
      </c>
      <c r="O569" s="603">
        <v>852120.08</v>
      </c>
      <c r="P569" s="603">
        <v>848983.99</v>
      </c>
      <c r="Q569" s="603">
        <v>2064910.95</v>
      </c>
      <c r="R569" s="603">
        <v>1834765.01</v>
      </c>
      <c r="S569" s="484">
        <f t="shared" si="95"/>
        <v>601363.19625000004</v>
      </c>
      <c r="T569" s="604"/>
      <c r="U569" s="642"/>
      <c r="V569" s="679">
        <f>+S569</f>
        <v>601363.19625000004</v>
      </c>
      <c r="W569" s="679"/>
      <c r="X569" s="702"/>
      <c r="Y569" s="679"/>
      <c r="Z569" s="679"/>
      <c r="AA569" s="642"/>
      <c r="AB569" s="679"/>
      <c r="AC569" s="643"/>
      <c r="AD569" s="644">
        <f t="shared" si="105"/>
        <v>601363.19625000004</v>
      </c>
      <c r="AE569" s="649"/>
      <c r="AF569" s="677">
        <f t="shared" si="100"/>
        <v>0</v>
      </c>
    </row>
    <row r="570" spans="1:32">
      <c r="A570" s="604">
        <v>560</v>
      </c>
      <c r="B570" s="316" t="s">
        <v>1844</v>
      </c>
      <c r="C570" s="316" t="s">
        <v>621</v>
      </c>
      <c r="D570" s="316" t="s">
        <v>1853</v>
      </c>
      <c r="E570" s="589" t="s">
        <v>1909</v>
      </c>
      <c r="F570" s="603">
        <v>0</v>
      </c>
      <c r="G570" s="603">
        <v>1973760.03</v>
      </c>
      <c r="H570" s="603">
        <v>-4137153.52</v>
      </c>
      <c r="I570" s="603">
        <v>1207778.26</v>
      </c>
      <c r="J570" s="603">
        <v>1149487.81</v>
      </c>
      <c r="K570" s="603">
        <v>1174986.7</v>
      </c>
      <c r="L570" s="603">
        <v>1244328.33</v>
      </c>
      <c r="M570" s="603">
        <v>1289161.8799999999</v>
      </c>
      <c r="N570" s="603">
        <v>1350429.02</v>
      </c>
      <c r="O570" s="603">
        <v>1254856.2</v>
      </c>
      <c r="P570" s="603">
        <v>1132432.3400000001</v>
      </c>
      <c r="Q570" s="603">
        <v>1023920.7</v>
      </c>
      <c r="R570" s="603">
        <v>1603848.95</v>
      </c>
      <c r="S570" s="484">
        <f t="shared" si="95"/>
        <v>788826.01874999993</v>
      </c>
      <c r="T570" s="604"/>
      <c r="U570" s="642"/>
      <c r="V570" s="679">
        <f>+S570</f>
        <v>788826.01874999993</v>
      </c>
      <c r="W570" s="679"/>
      <c r="X570" s="702"/>
      <c r="Y570" s="679"/>
      <c r="Z570" s="679"/>
      <c r="AA570" s="642"/>
      <c r="AB570" s="679"/>
      <c r="AC570" s="643"/>
      <c r="AD570" s="644">
        <f t="shared" si="105"/>
        <v>788826.01874999993</v>
      </c>
      <c r="AE570" s="643"/>
      <c r="AF570" s="677">
        <f t="shared" si="100"/>
        <v>0</v>
      </c>
    </row>
    <row r="571" spans="1:32">
      <c r="A571" s="604">
        <v>561</v>
      </c>
      <c r="B571" s="316" t="s">
        <v>959</v>
      </c>
      <c r="C571" s="316" t="s">
        <v>621</v>
      </c>
      <c r="D571" s="316" t="s">
        <v>1393</v>
      </c>
      <c r="E571" s="602" t="s">
        <v>1725</v>
      </c>
      <c r="F571" s="603">
        <v>-1000748.3</v>
      </c>
      <c r="G571" s="603">
        <v>-935174.44</v>
      </c>
      <c r="H571" s="603">
        <v>-860934.91</v>
      </c>
      <c r="I571" s="603">
        <v>-769924.97</v>
      </c>
      <c r="J571" s="603">
        <v>-766991.69</v>
      </c>
      <c r="K571" s="603">
        <v>-809207.04</v>
      </c>
      <c r="L571" s="603">
        <v>-875218.56</v>
      </c>
      <c r="M571" s="603">
        <v>-939453.43999999994</v>
      </c>
      <c r="N571" s="603">
        <v>-1002397.3</v>
      </c>
      <c r="O571" s="603">
        <v>-1067697.32</v>
      </c>
      <c r="P571" s="603">
        <v>-1107757.76</v>
      </c>
      <c r="Q571" s="603">
        <v>-1097259.6100000001</v>
      </c>
      <c r="R571" s="603">
        <v>-1014491.1</v>
      </c>
      <c r="S571" s="484">
        <f t="shared" si="95"/>
        <v>-936636.39500000002</v>
      </c>
      <c r="T571" s="604"/>
      <c r="U571" s="642"/>
      <c r="V571" s="679"/>
      <c r="W571" s="679"/>
      <c r="X571" s="702">
        <f t="shared" ref="X571:X577" si="106">+S571</f>
        <v>-936636.39500000002</v>
      </c>
      <c r="Y571" s="679"/>
      <c r="Z571" s="679"/>
      <c r="AA571" s="642"/>
      <c r="AB571" s="679">
        <f t="shared" ref="AB571:AB577" si="107">+S571</f>
        <v>-936636.39500000002</v>
      </c>
      <c r="AC571" s="643"/>
      <c r="AD571" s="644"/>
      <c r="AE571" s="643"/>
      <c r="AF571" s="677">
        <f t="shared" si="100"/>
        <v>0</v>
      </c>
    </row>
    <row r="572" spans="1:32">
      <c r="A572" s="604">
        <v>562</v>
      </c>
      <c r="B572" s="316" t="s">
        <v>959</v>
      </c>
      <c r="C572" s="316" t="s">
        <v>621</v>
      </c>
      <c r="D572" s="316" t="s">
        <v>1408</v>
      </c>
      <c r="E572" s="589" t="s">
        <v>1726</v>
      </c>
      <c r="F572" s="603">
        <v>-274816.11</v>
      </c>
      <c r="G572" s="603">
        <v>-249265.99</v>
      </c>
      <c r="H572" s="603">
        <v>-220858.9</v>
      </c>
      <c r="I572" s="603">
        <v>-186993.76</v>
      </c>
      <c r="J572" s="603">
        <v>-181732.56</v>
      </c>
      <c r="K572" s="603">
        <v>-191134.66</v>
      </c>
      <c r="L572" s="603">
        <v>-208315.13</v>
      </c>
      <c r="M572" s="603">
        <v>-225020.79999999999</v>
      </c>
      <c r="N572" s="603">
        <v>-241365.35</v>
      </c>
      <c r="O572" s="603">
        <v>-258456.72</v>
      </c>
      <c r="P572" s="603">
        <v>-267227.15000000002</v>
      </c>
      <c r="Q572" s="603">
        <v>-259574.65</v>
      </c>
      <c r="R572" s="603">
        <v>-228610.16</v>
      </c>
      <c r="S572" s="484">
        <f t="shared" si="95"/>
        <v>-228471.5670833333</v>
      </c>
      <c r="T572" s="604"/>
      <c r="U572" s="642"/>
      <c r="V572" s="679"/>
      <c r="W572" s="679"/>
      <c r="X572" s="702">
        <f t="shared" si="106"/>
        <v>-228471.5670833333</v>
      </c>
      <c r="Y572" s="679"/>
      <c r="Z572" s="679"/>
      <c r="AA572" s="642"/>
      <c r="AB572" s="679">
        <f t="shared" si="107"/>
        <v>-228471.5670833333</v>
      </c>
      <c r="AC572" s="643"/>
      <c r="AD572" s="644"/>
      <c r="AE572" s="643"/>
      <c r="AF572" s="677">
        <f t="shared" si="100"/>
        <v>0</v>
      </c>
    </row>
    <row r="573" spans="1:32">
      <c r="A573" s="604">
        <v>563</v>
      </c>
      <c r="B573" s="316" t="s">
        <v>959</v>
      </c>
      <c r="C573" s="316" t="s">
        <v>621</v>
      </c>
      <c r="D573" s="316" t="s">
        <v>1409</v>
      </c>
      <c r="E573" s="589" t="s">
        <v>1727</v>
      </c>
      <c r="F573" s="603">
        <v>-463561.43</v>
      </c>
      <c r="G573" s="603">
        <v>-429335.22</v>
      </c>
      <c r="H573" s="603">
        <v>-391057.16</v>
      </c>
      <c r="I573" s="603">
        <v>-344979.34</v>
      </c>
      <c r="J573" s="603">
        <v>-339852.94</v>
      </c>
      <c r="K573" s="603">
        <v>-355714.93</v>
      </c>
      <c r="L573" s="603">
        <v>-382669.07</v>
      </c>
      <c r="M573" s="603">
        <v>-408852.96</v>
      </c>
      <c r="N573" s="603">
        <v>-434468.51</v>
      </c>
      <c r="O573" s="603">
        <v>-461169.74</v>
      </c>
      <c r="P573" s="603">
        <v>-476076.04</v>
      </c>
      <c r="Q573" s="603">
        <v>-473758.23</v>
      </c>
      <c r="R573" s="603">
        <v>-450758.74</v>
      </c>
      <c r="S573" s="484">
        <f t="shared" si="95"/>
        <v>-412924.51875000005</v>
      </c>
      <c r="T573" s="604"/>
      <c r="U573" s="642"/>
      <c r="V573" s="679"/>
      <c r="W573" s="679"/>
      <c r="X573" s="702">
        <f t="shared" si="106"/>
        <v>-412924.51875000005</v>
      </c>
      <c r="Y573" s="679"/>
      <c r="Z573" s="679"/>
      <c r="AA573" s="642"/>
      <c r="AB573" s="679">
        <f t="shared" si="107"/>
        <v>-412924.51875000005</v>
      </c>
      <c r="AC573" s="643"/>
      <c r="AD573" s="644"/>
      <c r="AE573" s="643"/>
      <c r="AF573" s="677">
        <f t="shared" si="100"/>
        <v>0</v>
      </c>
    </row>
    <row r="574" spans="1:32">
      <c r="A574" s="604">
        <v>564</v>
      </c>
      <c r="B574" s="316" t="s">
        <v>959</v>
      </c>
      <c r="C574" s="316" t="s">
        <v>621</v>
      </c>
      <c r="D574" s="316" t="s">
        <v>1410</v>
      </c>
      <c r="E574" s="589" t="s">
        <v>1728</v>
      </c>
      <c r="F574" s="603">
        <v>-126336.78</v>
      </c>
      <c r="G574" s="603">
        <v>-113252.81</v>
      </c>
      <c r="H574" s="603">
        <v>-98837.58</v>
      </c>
      <c r="I574" s="603">
        <v>-81877.09</v>
      </c>
      <c r="J574" s="603">
        <v>-78252.990000000005</v>
      </c>
      <c r="K574" s="603">
        <v>-81465.86</v>
      </c>
      <c r="L574" s="603">
        <v>-88304.51</v>
      </c>
      <c r="M574" s="603">
        <v>-94920.55</v>
      </c>
      <c r="N574" s="603">
        <v>-101367.35</v>
      </c>
      <c r="O574" s="603">
        <v>-108163.05</v>
      </c>
      <c r="P574" s="603">
        <v>-111075.57</v>
      </c>
      <c r="Q574" s="603">
        <v>-108527.96</v>
      </c>
      <c r="R574" s="603">
        <v>-99392.62</v>
      </c>
      <c r="S574" s="484">
        <f t="shared" si="95"/>
        <v>-98242.501666666663</v>
      </c>
      <c r="T574" s="604"/>
      <c r="U574" s="642"/>
      <c r="V574" s="679"/>
      <c r="W574" s="679"/>
      <c r="X574" s="702">
        <f t="shared" si="106"/>
        <v>-98242.501666666663</v>
      </c>
      <c r="Y574" s="679"/>
      <c r="Z574" s="679"/>
      <c r="AA574" s="642"/>
      <c r="AB574" s="679">
        <f t="shared" si="107"/>
        <v>-98242.501666666663</v>
      </c>
      <c r="AC574" s="643"/>
      <c r="AD574" s="644"/>
      <c r="AE574" s="643"/>
      <c r="AF574" s="677">
        <f t="shared" si="100"/>
        <v>0</v>
      </c>
    </row>
    <row r="575" spans="1:32">
      <c r="A575" s="604">
        <v>565</v>
      </c>
      <c r="B575" s="316" t="s">
        <v>959</v>
      </c>
      <c r="C575" s="316" t="s">
        <v>621</v>
      </c>
      <c r="D575" s="316" t="s">
        <v>1411</v>
      </c>
      <c r="E575" s="589" t="s">
        <v>1729</v>
      </c>
      <c r="F575" s="603">
        <v>-863199.97</v>
      </c>
      <c r="G575" s="603">
        <v>-699908.41</v>
      </c>
      <c r="H575" s="603">
        <v>-529243.91</v>
      </c>
      <c r="I575" s="603">
        <v>-344301.35</v>
      </c>
      <c r="J575" s="603">
        <v>-234375.07</v>
      </c>
      <c r="K575" s="603">
        <v>-162900.16</v>
      </c>
      <c r="L575" s="603">
        <v>-111684.07</v>
      </c>
      <c r="M575" s="603">
        <v>-58935.039999999899</v>
      </c>
      <c r="N575" s="603">
        <v>-5075.4299999999203</v>
      </c>
      <c r="O575" s="603">
        <v>46774.890000000101</v>
      </c>
      <c r="P575" s="603">
        <v>120083.18</v>
      </c>
      <c r="Q575" s="603">
        <v>177539.49</v>
      </c>
      <c r="R575" s="603">
        <v>8.7311491370201098E-11</v>
      </c>
      <c r="S575" s="484">
        <f t="shared" si="95"/>
        <v>-186135.48874999993</v>
      </c>
      <c r="T575" s="604"/>
      <c r="U575" s="642"/>
      <c r="V575" s="679"/>
      <c r="W575" s="679"/>
      <c r="X575" s="702">
        <f t="shared" si="106"/>
        <v>-186135.48874999993</v>
      </c>
      <c r="Y575" s="679"/>
      <c r="Z575" s="679"/>
      <c r="AA575" s="642"/>
      <c r="AB575" s="679">
        <f t="shared" si="107"/>
        <v>-186135.48874999993</v>
      </c>
      <c r="AC575" s="643"/>
      <c r="AD575" s="644"/>
      <c r="AE575" s="643"/>
      <c r="AF575" s="677">
        <f t="shared" si="100"/>
        <v>0</v>
      </c>
    </row>
    <row r="576" spans="1:32">
      <c r="A576" s="604">
        <v>566</v>
      </c>
      <c r="B576" s="316" t="s">
        <v>959</v>
      </c>
      <c r="C576" s="316" t="s">
        <v>621</v>
      </c>
      <c r="D576" s="316" t="s">
        <v>1412</v>
      </c>
      <c r="E576" s="589" t="s">
        <v>1730</v>
      </c>
      <c r="F576" s="603">
        <v>-236935.84</v>
      </c>
      <c r="G576" s="603">
        <v>-183989.76000000001</v>
      </c>
      <c r="H576" s="603">
        <v>-128623.71</v>
      </c>
      <c r="I576" s="603">
        <v>-68609.960000000006</v>
      </c>
      <c r="J576" s="603">
        <v>-32980.78</v>
      </c>
      <c r="K576" s="603">
        <v>-9851.0400000000009</v>
      </c>
      <c r="L576" s="603">
        <v>6665.54</v>
      </c>
      <c r="M576" s="603">
        <v>23623.64</v>
      </c>
      <c r="N576" s="603">
        <v>40910.720000000001</v>
      </c>
      <c r="O576" s="603">
        <v>57554.2</v>
      </c>
      <c r="P576" s="603">
        <v>81250.36</v>
      </c>
      <c r="Q576" s="603">
        <v>99940.78</v>
      </c>
      <c r="R576" s="603">
        <v>0</v>
      </c>
      <c r="S576" s="484">
        <f t="shared" si="95"/>
        <v>-19381.494166666675</v>
      </c>
      <c r="T576" s="604"/>
      <c r="U576" s="642"/>
      <c r="V576" s="679"/>
      <c r="W576" s="679"/>
      <c r="X576" s="702">
        <f t="shared" si="106"/>
        <v>-19381.494166666675</v>
      </c>
      <c r="Y576" s="679"/>
      <c r="Z576" s="679"/>
      <c r="AA576" s="642"/>
      <c r="AB576" s="679">
        <f t="shared" si="107"/>
        <v>-19381.494166666675</v>
      </c>
      <c r="AC576" s="643"/>
      <c r="AD576" s="644"/>
      <c r="AE576" s="643"/>
      <c r="AF576" s="677">
        <f t="shared" si="100"/>
        <v>0</v>
      </c>
    </row>
    <row r="577" spans="1:32">
      <c r="A577" s="604">
        <v>567</v>
      </c>
      <c r="B577" s="316" t="s">
        <v>959</v>
      </c>
      <c r="C577" s="316" t="s">
        <v>621</v>
      </c>
      <c r="D577" s="316" t="s">
        <v>1413</v>
      </c>
      <c r="E577" s="595" t="s">
        <v>1731</v>
      </c>
      <c r="F577" s="603">
        <v>367551.32</v>
      </c>
      <c r="G577" s="603">
        <v>367551.32</v>
      </c>
      <c r="H577" s="603">
        <v>367551.32</v>
      </c>
      <c r="I577" s="603">
        <v>367551.32</v>
      </c>
      <c r="J577" s="603">
        <v>367551.32</v>
      </c>
      <c r="K577" s="603">
        <v>367551.32</v>
      </c>
      <c r="L577" s="603">
        <v>367551.32</v>
      </c>
      <c r="M577" s="603">
        <v>367551.32</v>
      </c>
      <c r="N577" s="603">
        <v>367551.32</v>
      </c>
      <c r="O577" s="603">
        <v>473806.37</v>
      </c>
      <c r="P577" s="603">
        <v>473806.37</v>
      </c>
      <c r="Q577" s="603">
        <v>473806.37</v>
      </c>
      <c r="R577" s="603">
        <v>0</v>
      </c>
      <c r="S577" s="484">
        <f t="shared" si="95"/>
        <v>378800.44416666665</v>
      </c>
      <c r="T577" s="604"/>
      <c r="U577" s="642"/>
      <c r="V577" s="679"/>
      <c r="W577" s="679"/>
      <c r="X577" s="702">
        <f t="shared" si="106"/>
        <v>378800.44416666665</v>
      </c>
      <c r="Y577" s="679"/>
      <c r="Z577" s="679"/>
      <c r="AA577" s="642"/>
      <c r="AB577" s="679">
        <f t="shared" si="107"/>
        <v>378800.44416666665</v>
      </c>
      <c r="AC577" s="643"/>
      <c r="AD577" s="644"/>
      <c r="AE577" s="643"/>
      <c r="AF577" s="677">
        <f t="shared" si="100"/>
        <v>0</v>
      </c>
    </row>
    <row r="578" spans="1:32">
      <c r="A578" s="604">
        <v>568</v>
      </c>
      <c r="B578" s="316" t="s">
        <v>984</v>
      </c>
      <c r="C578" s="316" t="s">
        <v>621</v>
      </c>
      <c r="D578" s="316" t="s">
        <v>1209</v>
      </c>
      <c r="E578" s="589" t="s">
        <v>1724</v>
      </c>
      <c r="F578" s="603">
        <v>151304.69</v>
      </c>
      <c r="G578" s="603">
        <v>0</v>
      </c>
      <c r="H578" s="603">
        <v>0</v>
      </c>
      <c r="I578" s="603">
        <v>0</v>
      </c>
      <c r="J578" s="603">
        <v>5267.35</v>
      </c>
      <c r="K578" s="603">
        <v>2626.02</v>
      </c>
      <c r="L578" s="603">
        <v>2032.81</v>
      </c>
      <c r="M578" s="603">
        <v>1667.79</v>
      </c>
      <c r="N578" s="603">
        <v>870.6</v>
      </c>
      <c r="O578" s="603">
        <v>2138.62</v>
      </c>
      <c r="P578" s="603">
        <v>31782.5</v>
      </c>
      <c r="Q578" s="603">
        <v>157413.66</v>
      </c>
      <c r="R578" s="603">
        <v>179237.64</v>
      </c>
      <c r="S578" s="484">
        <f t="shared" si="95"/>
        <v>30755.876250000001</v>
      </c>
      <c r="T578" s="604"/>
      <c r="U578" s="642"/>
      <c r="V578" s="679">
        <f>+S578</f>
        <v>30755.876250000001</v>
      </c>
      <c r="W578" s="679"/>
      <c r="X578" s="702"/>
      <c r="Y578" s="679"/>
      <c r="Z578" s="679"/>
      <c r="AA578" s="642"/>
      <c r="AB578" s="679"/>
      <c r="AC578" s="643"/>
      <c r="AD578" s="644">
        <f>+V578</f>
        <v>30755.876250000001</v>
      </c>
      <c r="AE578" s="643"/>
      <c r="AF578" s="677">
        <f t="shared" si="100"/>
        <v>0</v>
      </c>
    </row>
    <row r="579" spans="1:32">
      <c r="A579" s="604">
        <v>569</v>
      </c>
      <c r="B579" s="316" t="s">
        <v>959</v>
      </c>
      <c r="C579" s="316" t="s">
        <v>621</v>
      </c>
      <c r="D579" s="316" t="s">
        <v>1209</v>
      </c>
      <c r="E579" s="595" t="s">
        <v>1724</v>
      </c>
      <c r="F579" s="603">
        <v>934952.23</v>
      </c>
      <c r="G579" s="603">
        <v>269615.28000000003</v>
      </c>
      <c r="H579" s="603">
        <v>336752.89</v>
      </c>
      <c r="I579" s="603">
        <v>221356.89</v>
      </c>
      <c r="J579" s="603">
        <v>117146.9</v>
      </c>
      <c r="K579" s="603">
        <v>67735.67</v>
      </c>
      <c r="L579" s="603">
        <v>47646.15</v>
      </c>
      <c r="M579" s="603">
        <v>46845.95</v>
      </c>
      <c r="N579" s="603">
        <v>25782.880000000001</v>
      </c>
      <c r="O579" s="603">
        <v>62495.17</v>
      </c>
      <c r="P579" s="603">
        <v>154564.26999999999</v>
      </c>
      <c r="Q579" s="603">
        <v>163913.10999999999</v>
      </c>
      <c r="R579" s="603">
        <v>189403.67</v>
      </c>
      <c r="S579" s="484">
        <f t="shared" si="95"/>
        <v>173002.75916666663</v>
      </c>
      <c r="T579" s="604"/>
      <c r="U579" s="642"/>
      <c r="V579" s="679">
        <f>+S579</f>
        <v>173002.75916666663</v>
      </c>
      <c r="W579" s="679"/>
      <c r="X579" s="702"/>
      <c r="Y579" s="679"/>
      <c r="Z579" s="679"/>
      <c r="AA579" s="642"/>
      <c r="AB579" s="679"/>
      <c r="AC579" s="643"/>
      <c r="AD579" s="644">
        <f>+V579</f>
        <v>173002.75916666663</v>
      </c>
      <c r="AE579" s="643"/>
      <c r="AF579" s="677">
        <f t="shared" si="100"/>
        <v>0</v>
      </c>
    </row>
    <row r="580" spans="1:32">
      <c r="A580" s="604">
        <v>570</v>
      </c>
      <c r="B580" s="316" t="s">
        <v>956</v>
      </c>
      <c r="C580" s="316" t="s">
        <v>446</v>
      </c>
      <c r="D580" s="316" t="s">
        <v>719</v>
      </c>
      <c r="E580" s="602" t="s">
        <v>720</v>
      </c>
      <c r="F580" s="603">
        <v>49007788.119999997</v>
      </c>
      <c r="G580" s="603">
        <v>49338211.450000003</v>
      </c>
      <c r="H580" s="603">
        <v>49670032.240000002</v>
      </c>
      <c r="I580" s="603">
        <v>50003256.799999997</v>
      </c>
      <c r="J580" s="603">
        <v>50337891.619999997</v>
      </c>
      <c r="K580" s="603">
        <v>50673943.340000004</v>
      </c>
      <c r="L580" s="603">
        <v>51011418.359999999</v>
      </c>
      <c r="M580" s="603">
        <v>51350323.100000001</v>
      </c>
      <c r="N580" s="603">
        <v>51690664.189999998</v>
      </c>
      <c r="O580" s="603">
        <v>52032448.350000001</v>
      </c>
      <c r="P580" s="603">
        <v>52375682.159999996</v>
      </c>
      <c r="Q580" s="603">
        <v>52720372.310000002</v>
      </c>
      <c r="R580" s="603">
        <v>52645191.759999998</v>
      </c>
      <c r="S580" s="484">
        <f t="shared" si="95"/>
        <v>51002561.155000009</v>
      </c>
      <c r="T580" s="604"/>
      <c r="U580" s="642"/>
      <c r="V580" s="650"/>
      <c r="W580" s="679"/>
      <c r="X580" s="679">
        <f>+S580</f>
        <v>51002561.155000009</v>
      </c>
      <c r="Y580" s="707">
        <f>+X580*Z7</f>
        <v>38338625.22021351</v>
      </c>
      <c r="Z580" s="679">
        <f>+X580*Z8</f>
        <v>12663935.934786502</v>
      </c>
      <c r="AA580" s="642"/>
      <c r="AB580" s="679"/>
      <c r="AC580" s="643"/>
      <c r="AD580" s="644"/>
      <c r="AE580" s="643"/>
      <c r="AF580" s="677">
        <f t="shared" ref="AF580:AF656" si="108">+U580+V580-AD580</f>
        <v>0</v>
      </c>
    </row>
    <row r="581" spans="1:32">
      <c r="A581" s="604">
        <v>571</v>
      </c>
      <c r="B581" s="316" t="s">
        <v>956</v>
      </c>
      <c r="C581" s="316" t="s">
        <v>621</v>
      </c>
      <c r="D581" s="316" t="s">
        <v>622</v>
      </c>
      <c r="E581" s="602" t="s">
        <v>623</v>
      </c>
      <c r="F581" s="603">
        <v>-2706980</v>
      </c>
      <c r="G581" s="603">
        <v>-2706980</v>
      </c>
      <c r="H581" s="603">
        <v>-2706980</v>
      </c>
      <c r="I581" s="603">
        <v>-2706980</v>
      </c>
      <c r="J581" s="603">
        <v>-2706980</v>
      </c>
      <c r="K581" s="603">
        <v>-2706980</v>
      </c>
      <c r="L581" s="603">
        <v>-2706980</v>
      </c>
      <c r="M581" s="603">
        <v>-2706980</v>
      </c>
      <c r="N581" s="603">
        <v>-2706980</v>
      </c>
      <c r="O581" s="603">
        <v>-2706980</v>
      </c>
      <c r="P581" s="603">
        <v>-2706980</v>
      </c>
      <c r="Q581" s="603">
        <v>0</v>
      </c>
      <c r="R581" s="603">
        <v>0</v>
      </c>
      <c r="S581" s="484">
        <f t="shared" si="95"/>
        <v>-2368607.5</v>
      </c>
      <c r="T581" s="604"/>
      <c r="U581" s="642"/>
      <c r="V581" s="650">
        <f>+S581</f>
        <v>-2368607.5</v>
      </c>
      <c r="W581" s="679"/>
      <c r="X581" s="679"/>
      <c r="Y581" s="679"/>
      <c r="Z581" s="679"/>
      <c r="AA581" s="642"/>
      <c r="AB581" s="679"/>
      <c r="AC581" s="643"/>
      <c r="AD581" s="644">
        <f>+S581</f>
        <v>-2368607.5</v>
      </c>
      <c r="AE581" s="643"/>
      <c r="AF581" s="677"/>
    </row>
    <row r="582" spans="1:32">
      <c r="A582" s="604">
        <v>572</v>
      </c>
      <c r="B582" s="316" t="s">
        <v>984</v>
      </c>
      <c r="C582" s="316" t="s">
        <v>612</v>
      </c>
      <c r="D582" s="316" t="s">
        <v>1916</v>
      </c>
      <c r="E582" s="602" t="s">
        <v>1917</v>
      </c>
      <c r="F582" s="603">
        <v>0</v>
      </c>
      <c r="G582" s="603">
        <v>0</v>
      </c>
      <c r="H582" s="603">
        <v>0</v>
      </c>
      <c r="I582" s="603">
        <v>0</v>
      </c>
      <c r="J582" s="603">
        <v>0</v>
      </c>
      <c r="K582" s="603">
        <v>0</v>
      </c>
      <c r="L582" s="603">
        <v>0</v>
      </c>
      <c r="M582" s="603">
        <v>0</v>
      </c>
      <c r="N582" s="603">
        <v>0</v>
      </c>
      <c r="O582" s="603">
        <v>0</v>
      </c>
      <c r="P582" s="603">
        <v>-2751</v>
      </c>
      <c r="Q582" s="603">
        <v>0</v>
      </c>
      <c r="R582" s="603">
        <v>0</v>
      </c>
      <c r="S582" s="484">
        <f t="shared" si="95"/>
        <v>-229.25</v>
      </c>
      <c r="T582" s="604"/>
      <c r="U582" s="642"/>
      <c r="V582" s="650">
        <f>+S582</f>
        <v>-229.25</v>
      </c>
      <c r="W582" s="679"/>
      <c r="X582" s="679"/>
      <c r="Y582" s="679"/>
      <c r="Z582" s="679"/>
      <c r="AA582" s="642"/>
      <c r="AB582" s="679"/>
      <c r="AC582" s="643"/>
      <c r="AD582" s="644">
        <f>+S582</f>
        <v>-229.25</v>
      </c>
      <c r="AE582" s="643"/>
      <c r="AF582" s="677"/>
    </row>
    <row r="583" spans="1:32">
      <c r="A583" s="604">
        <v>573</v>
      </c>
      <c r="B583" s="316" t="s">
        <v>984</v>
      </c>
      <c r="C583" s="316" t="s">
        <v>621</v>
      </c>
      <c r="D583" s="316" t="s">
        <v>1172</v>
      </c>
      <c r="E583" s="602" t="s">
        <v>1721</v>
      </c>
      <c r="F583" s="603">
        <v>-444461.68</v>
      </c>
      <c r="G583" s="603">
        <v>0</v>
      </c>
      <c r="H583" s="603">
        <v>0</v>
      </c>
      <c r="I583" s="603">
        <v>0</v>
      </c>
      <c r="J583" s="603">
        <v>0</v>
      </c>
      <c r="K583" s="603">
        <v>0</v>
      </c>
      <c r="L583" s="603">
        <v>0</v>
      </c>
      <c r="M583" s="603">
        <v>0</v>
      </c>
      <c r="N583" s="603">
        <v>0</v>
      </c>
      <c r="O583" s="603">
        <v>0</v>
      </c>
      <c r="P583" s="603">
        <v>0</v>
      </c>
      <c r="Q583" s="603">
        <v>0</v>
      </c>
      <c r="R583" s="603">
        <v>0</v>
      </c>
      <c r="S583" s="484">
        <f t="shared" si="95"/>
        <v>-18519.236666666668</v>
      </c>
      <c r="T583" s="604"/>
      <c r="U583" s="642"/>
      <c r="V583" s="650">
        <f>+S583</f>
        <v>-18519.236666666668</v>
      </c>
      <c r="W583" s="679"/>
      <c r="X583" s="679"/>
      <c r="Y583" s="679"/>
      <c r="Z583" s="679"/>
      <c r="AA583" s="642"/>
      <c r="AB583" s="679"/>
      <c r="AC583" s="643"/>
      <c r="AD583" s="644">
        <f>+S583</f>
        <v>-18519.236666666668</v>
      </c>
      <c r="AE583" s="643"/>
      <c r="AF583" s="677"/>
    </row>
    <row r="584" spans="1:32">
      <c r="A584" s="604">
        <v>574</v>
      </c>
      <c r="B584" s="316" t="s">
        <v>984</v>
      </c>
      <c r="C584" s="316" t="s">
        <v>621</v>
      </c>
      <c r="D584" s="316" t="s">
        <v>1918</v>
      </c>
      <c r="E584" s="602" t="s">
        <v>1727</v>
      </c>
      <c r="F584" s="603">
        <v>0</v>
      </c>
      <c r="G584" s="603">
        <v>0</v>
      </c>
      <c r="H584" s="603">
        <v>0</v>
      </c>
      <c r="I584" s="603">
        <v>0</v>
      </c>
      <c r="J584" s="603">
        <v>-624311.89</v>
      </c>
      <c r="K584" s="603">
        <v>-701416.39</v>
      </c>
      <c r="L584" s="603">
        <v>-738531.33</v>
      </c>
      <c r="M584" s="603">
        <v>-776777.21</v>
      </c>
      <c r="N584" s="603">
        <v>-815511.26</v>
      </c>
      <c r="O584" s="603">
        <v>-854258.7</v>
      </c>
      <c r="P584" s="603">
        <v>-880766.49</v>
      </c>
      <c r="Q584" s="603">
        <v>-872379.15</v>
      </c>
      <c r="R584" s="603">
        <v>-842630.59</v>
      </c>
      <c r="S584" s="484">
        <f t="shared" si="95"/>
        <v>-557105.64291666669</v>
      </c>
      <c r="T584" s="604"/>
      <c r="U584" s="642"/>
      <c r="V584" s="650"/>
      <c r="W584" s="679"/>
      <c r="X584" s="679">
        <f>+S584</f>
        <v>-557105.64291666669</v>
      </c>
      <c r="Y584" s="679"/>
      <c r="Z584" s="679"/>
      <c r="AA584" s="642"/>
      <c r="AB584" s="679">
        <f>+S584</f>
        <v>-557105.64291666669</v>
      </c>
      <c r="AC584" s="643"/>
      <c r="AD584" s="644"/>
      <c r="AE584" s="643"/>
      <c r="AF584" s="677"/>
    </row>
    <row r="585" spans="1:32">
      <c r="A585" s="604">
        <v>575</v>
      </c>
      <c r="B585" s="316" t="s">
        <v>984</v>
      </c>
      <c r="C585" s="316" t="s">
        <v>621</v>
      </c>
      <c r="D585" s="316" t="s">
        <v>1919</v>
      </c>
      <c r="E585" s="602" t="s">
        <v>1920</v>
      </c>
      <c r="F585" s="603">
        <v>0</v>
      </c>
      <c r="G585" s="603">
        <v>0</v>
      </c>
      <c r="H585" s="603">
        <v>0</v>
      </c>
      <c r="I585" s="603">
        <v>0</v>
      </c>
      <c r="J585" s="603">
        <v>0</v>
      </c>
      <c r="K585" s="603">
        <v>0</v>
      </c>
      <c r="L585" s="603">
        <v>0</v>
      </c>
      <c r="M585" s="603">
        <v>0</v>
      </c>
      <c r="N585" s="603">
        <v>0</v>
      </c>
      <c r="O585" s="603">
        <v>0</v>
      </c>
      <c r="P585" s="603">
        <v>0</v>
      </c>
      <c r="Q585" s="603">
        <v>-1349945.46</v>
      </c>
      <c r="R585" s="603">
        <v>-1171372.06</v>
      </c>
      <c r="S585" s="484">
        <f t="shared" si="95"/>
        <v>-161302.62416666668</v>
      </c>
      <c r="T585" s="604"/>
      <c r="U585" s="642"/>
      <c r="V585" s="650"/>
      <c r="W585" s="679"/>
      <c r="X585" s="679">
        <f>+S585</f>
        <v>-161302.62416666668</v>
      </c>
      <c r="Y585" s="679"/>
      <c r="Z585" s="679"/>
      <c r="AA585" s="642"/>
      <c r="AB585" s="679">
        <f>+S585</f>
        <v>-161302.62416666668</v>
      </c>
      <c r="AC585" s="643"/>
      <c r="AD585" s="644"/>
      <c r="AE585" s="643"/>
      <c r="AF585" s="677"/>
    </row>
    <row r="586" spans="1:32">
      <c r="A586" s="604">
        <v>576</v>
      </c>
      <c r="B586" s="316" t="s">
        <v>959</v>
      </c>
      <c r="C586" s="316" t="s">
        <v>612</v>
      </c>
      <c r="D586" s="316" t="s">
        <v>1921</v>
      </c>
      <c r="E586" s="602" t="s">
        <v>1917</v>
      </c>
      <c r="F586" s="603">
        <v>0</v>
      </c>
      <c r="G586" s="603">
        <v>0</v>
      </c>
      <c r="H586" s="603">
        <v>0</v>
      </c>
      <c r="I586" s="603">
        <v>0</v>
      </c>
      <c r="J586" s="603">
        <v>0</v>
      </c>
      <c r="K586" s="603">
        <v>0</v>
      </c>
      <c r="L586" s="603">
        <v>0</v>
      </c>
      <c r="M586" s="603">
        <v>0</v>
      </c>
      <c r="N586" s="603">
        <v>0</v>
      </c>
      <c r="O586" s="603">
        <v>0</v>
      </c>
      <c r="P586" s="603">
        <v>-9146</v>
      </c>
      <c r="Q586" s="603">
        <v>0</v>
      </c>
      <c r="R586" s="603">
        <v>0</v>
      </c>
      <c r="S586" s="484">
        <f t="shared" si="95"/>
        <v>-762.16666666666663</v>
      </c>
      <c r="T586" s="604"/>
      <c r="U586" s="642"/>
      <c r="V586" s="650">
        <f>+S586</f>
        <v>-762.16666666666663</v>
      </c>
      <c r="W586" s="679"/>
      <c r="X586" s="679"/>
      <c r="Y586" s="679"/>
      <c r="Z586" s="679"/>
      <c r="AA586" s="642"/>
      <c r="AB586" s="679"/>
      <c r="AC586" s="643"/>
      <c r="AD586" s="644">
        <f>+S586</f>
        <v>-762.16666666666663</v>
      </c>
      <c r="AE586" s="643"/>
      <c r="AF586" s="677"/>
    </row>
    <row r="587" spans="1:32">
      <c r="A587" s="604">
        <v>577</v>
      </c>
      <c r="B587" s="316" t="s">
        <v>959</v>
      </c>
      <c r="C587" s="316" t="s">
        <v>621</v>
      </c>
      <c r="D587" s="316" t="s">
        <v>1394</v>
      </c>
      <c r="E587" s="602" t="s">
        <v>1721</v>
      </c>
      <c r="F587" s="603">
        <v>-4075395.82</v>
      </c>
      <c r="G587" s="603">
        <v>0</v>
      </c>
      <c r="H587" s="603">
        <v>0</v>
      </c>
      <c r="I587" s="603">
        <v>0</v>
      </c>
      <c r="J587" s="603">
        <v>0</v>
      </c>
      <c r="K587" s="603">
        <v>0</v>
      </c>
      <c r="L587" s="603">
        <v>0</v>
      </c>
      <c r="M587" s="603">
        <v>0</v>
      </c>
      <c r="N587" s="603">
        <v>0</v>
      </c>
      <c r="O587" s="603">
        <v>0</v>
      </c>
      <c r="P587" s="603">
        <v>0</v>
      </c>
      <c r="Q587" s="603">
        <v>0</v>
      </c>
      <c r="R587" s="603">
        <v>0</v>
      </c>
      <c r="S587" s="484">
        <f t="shared" si="95"/>
        <v>-169808.15916666665</v>
      </c>
      <c r="T587" s="604"/>
      <c r="U587" s="642"/>
      <c r="V587" s="650">
        <f>+S587</f>
        <v>-169808.15916666665</v>
      </c>
      <c r="W587" s="679"/>
      <c r="X587" s="679"/>
      <c r="Y587" s="679"/>
      <c r="Z587" s="679"/>
      <c r="AA587" s="642"/>
      <c r="AB587" s="679"/>
      <c r="AC587" s="643"/>
      <c r="AD587" s="644">
        <f>+S587</f>
        <v>-169808.15916666665</v>
      </c>
      <c r="AE587" s="643"/>
      <c r="AF587" s="677"/>
    </row>
    <row r="588" spans="1:32">
      <c r="A588" s="604">
        <v>578</v>
      </c>
      <c r="B588" s="604"/>
      <c r="C588" s="604"/>
      <c r="D588" s="604"/>
      <c r="E588" s="594" t="s">
        <v>625</v>
      </c>
      <c r="F588" s="295">
        <f>SUM(F548:F587)</f>
        <v>-118715360.98000005</v>
      </c>
      <c r="G588" s="295">
        <f t="shared" ref="G588:R588" si="109">SUM(G548:G587)</f>
        <v>-112234229.63999997</v>
      </c>
      <c r="H588" s="295">
        <f t="shared" si="109"/>
        <v>-118623771.25000006</v>
      </c>
      <c r="I588" s="295">
        <f t="shared" si="109"/>
        <v>-111200242.52000003</v>
      </c>
      <c r="J588" s="295">
        <f t="shared" si="109"/>
        <v>-110676301.68999998</v>
      </c>
      <c r="K588" s="295">
        <f t="shared" si="109"/>
        <v>-110632339.43999998</v>
      </c>
      <c r="L588" s="295">
        <f t="shared" si="109"/>
        <v>-109774998.52999994</v>
      </c>
      <c r="M588" s="295">
        <f t="shared" si="109"/>
        <v>-109261606.96000008</v>
      </c>
      <c r="N588" s="295">
        <f t="shared" si="109"/>
        <v>-108851654.8</v>
      </c>
      <c r="O588" s="295">
        <f t="shared" si="109"/>
        <v>-108709356.27000009</v>
      </c>
      <c r="P588" s="295">
        <f t="shared" si="109"/>
        <v>-108194769.05999993</v>
      </c>
      <c r="Q588" s="295">
        <f t="shared" si="109"/>
        <v>-105089956.29000001</v>
      </c>
      <c r="R588" s="295">
        <f t="shared" si="109"/>
        <v>-104913886.56000006</v>
      </c>
      <c r="S588" s="295">
        <f>SUM(S548:S587)</f>
        <v>-110421987.51833339</v>
      </c>
      <c r="T588" s="604"/>
      <c r="U588" s="642"/>
      <c r="V588" s="679"/>
      <c r="W588" s="679"/>
      <c r="X588" s="702"/>
      <c r="Y588" s="679"/>
      <c r="Z588" s="679"/>
      <c r="AA588" s="642"/>
      <c r="AB588" s="679"/>
      <c r="AC588" s="643"/>
      <c r="AD588" s="643"/>
      <c r="AE588" s="643"/>
      <c r="AF588" s="677">
        <f t="shared" si="108"/>
        <v>0</v>
      </c>
    </row>
    <row r="589" spans="1:32">
      <c r="A589" s="604">
        <v>579</v>
      </c>
      <c r="B589" s="604"/>
      <c r="C589" s="604"/>
      <c r="D589" s="604"/>
      <c r="E589" s="589"/>
      <c r="F589" s="603"/>
      <c r="G589" s="314"/>
      <c r="H589" s="305"/>
      <c r="I589" s="305"/>
      <c r="J589" s="306"/>
      <c r="K589" s="307"/>
      <c r="L589" s="308"/>
      <c r="M589" s="309"/>
      <c r="N589" s="310"/>
      <c r="O589" s="590"/>
      <c r="P589" s="311"/>
      <c r="Q589" s="315"/>
      <c r="R589" s="603"/>
      <c r="S589" s="294"/>
      <c r="T589" s="604"/>
      <c r="U589" s="642"/>
      <c r="V589" s="679"/>
      <c r="W589" s="679"/>
      <c r="X589" s="702"/>
      <c r="Y589" s="679"/>
      <c r="Z589" s="679"/>
      <c r="AA589" s="642"/>
      <c r="AB589" s="679"/>
      <c r="AC589" s="643"/>
      <c r="AD589" s="643"/>
      <c r="AE589" s="643"/>
      <c r="AF589" s="677">
        <f t="shared" si="108"/>
        <v>0</v>
      </c>
    </row>
    <row r="590" spans="1:32">
      <c r="A590" s="604">
        <v>580</v>
      </c>
      <c r="B590" s="316" t="s">
        <v>956</v>
      </c>
      <c r="C590" s="316" t="s">
        <v>626</v>
      </c>
      <c r="D590" s="316" t="s">
        <v>515</v>
      </c>
      <c r="E590" s="589" t="s">
        <v>627</v>
      </c>
      <c r="F590" s="603">
        <v>-243929</v>
      </c>
      <c r="G590" s="603">
        <v>-240427.42</v>
      </c>
      <c r="H590" s="603">
        <v>-236925.83</v>
      </c>
      <c r="I590" s="603">
        <v>-233424.05</v>
      </c>
      <c r="J590" s="603">
        <v>-229922.67</v>
      </c>
      <c r="K590" s="603">
        <v>-226421.1</v>
      </c>
      <c r="L590" s="603">
        <v>-222919.52</v>
      </c>
      <c r="M590" s="603">
        <v>-219417.94</v>
      </c>
      <c r="N590" s="603">
        <v>-215916.36</v>
      </c>
      <c r="O590" s="603">
        <v>-212414.78</v>
      </c>
      <c r="P590" s="603">
        <v>-208913.2</v>
      </c>
      <c r="Q590" s="603">
        <v>-205411.62</v>
      </c>
      <c r="R590" s="603">
        <v>-201910.04</v>
      </c>
      <c r="S590" s="484">
        <f t="shared" si="95"/>
        <v>-222919.50083333335</v>
      </c>
      <c r="T590" s="604"/>
      <c r="U590" s="642"/>
      <c r="V590" s="679"/>
      <c r="W590" s="679"/>
      <c r="X590" s="702">
        <f>+S590</f>
        <v>-222919.50083333335</v>
      </c>
      <c r="Y590" s="679"/>
      <c r="Z590" s="679"/>
      <c r="AA590" s="642"/>
      <c r="AB590" s="679">
        <f>+X590</f>
        <v>-222919.50083333335</v>
      </c>
      <c r="AC590" s="643"/>
      <c r="AD590" s="643"/>
      <c r="AE590" s="643"/>
      <c r="AF590" s="677">
        <f t="shared" si="108"/>
        <v>0</v>
      </c>
    </row>
    <row r="591" spans="1:32">
      <c r="A591" s="604">
        <v>581</v>
      </c>
      <c r="B591" s="316" t="s">
        <v>956</v>
      </c>
      <c r="C591" s="316" t="s">
        <v>628</v>
      </c>
      <c r="D591" s="316" t="s">
        <v>988</v>
      </c>
      <c r="E591" s="589" t="s">
        <v>1732</v>
      </c>
      <c r="F591" s="603">
        <v>10230519.77</v>
      </c>
      <c r="G591" s="603">
        <v>10189450.65</v>
      </c>
      <c r="H591" s="603">
        <v>10148381.529999999</v>
      </c>
      <c r="I591" s="603">
        <v>10107312.4</v>
      </c>
      <c r="J591" s="603">
        <v>10066243.27</v>
      </c>
      <c r="K591" s="603">
        <v>10025174.17</v>
      </c>
      <c r="L591" s="603">
        <v>9984105.0199999996</v>
      </c>
      <c r="M591" s="603">
        <v>9943036.9100000001</v>
      </c>
      <c r="N591" s="603">
        <v>9901967.7899999991</v>
      </c>
      <c r="O591" s="603">
        <v>9860898.6600000001</v>
      </c>
      <c r="P591" s="603">
        <v>9819829.5399999991</v>
      </c>
      <c r="Q591" s="603">
        <v>9774270.3900000006</v>
      </c>
      <c r="R591" s="603">
        <v>9711531.8900000006</v>
      </c>
      <c r="S591" s="484">
        <f t="shared" si="95"/>
        <v>9982641.3466666639</v>
      </c>
      <c r="T591" s="604"/>
      <c r="U591" s="642"/>
      <c r="V591" s="679"/>
      <c r="W591" s="679"/>
      <c r="X591" s="702">
        <f t="shared" ref="X591:X600" si="110">+S591</f>
        <v>9982641.3466666639</v>
      </c>
      <c r="Y591" s="679"/>
      <c r="Z591" s="679"/>
      <c r="AA591" s="642"/>
      <c r="AB591" s="679">
        <f>+S591</f>
        <v>9982641.3466666639</v>
      </c>
      <c r="AC591" s="643"/>
      <c r="AD591" s="643"/>
      <c r="AE591" s="643"/>
      <c r="AF591" s="677">
        <f t="shared" si="108"/>
        <v>0</v>
      </c>
    </row>
    <row r="592" spans="1:32">
      <c r="A592" s="604">
        <v>582</v>
      </c>
      <c r="B592" s="316" t="s">
        <v>956</v>
      </c>
      <c r="C592" s="316" t="s">
        <v>628</v>
      </c>
      <c r="D592" s="316" t="s">
        <v>989</v>
      </c>
      <c r="E592" s="589" t="s">
        <v>1733</v>
      </c>
      <c r="F592" s="603">
        <v>39297042.920000002</v>
      </c>
      <c r="G592" s="603">
        <v>39137349.799999997</v>
      </c>
      <c r="H592" s="603">
        <v>38977656.649999999</v>
      </c>
      <c r="I592" s="603">
        <v>38817963.509999998</v>
      </c>
      <c r="J592" s="603">
        <v>38658270.439999998</v>
      </c>
      <c r="K592" s="603">
        <v>38498577.340000004</v>
      </c>
      <c r="L592" s="603">
        <v>38338884.200000003</v>
      </c>
      <c r="M592" s="603">
        <v>38179194.590000004</v>
      </c>
      <c r="N592" s="603">
        <v>38019501.460000001</v>
      </c>
      <c r="O592" s="603">
        <v>37859808.329999998</v>
      </c>
      <c r="P592" s="603">
        <v>37700115.229999997</v>
      </c>
      <c r="Q592" s="603">
        <v>37530125.719999999</v>
      </c>
      <c r="R592" s="603">
        <v>37290719.920000002</v>
      </c>
      <c r="S592" s="484">
        <f t="shared" si="95"/>
        <v>38334277.390833333</v>
      </c>
      <c r="T592" s="604"/>
      <c r="U592" s="642"/>
      <c r="V592" s="679"/>
      <c r="W592" s="679"/>
      <c r="X592" s="702">
        <f t="shared" si="110"/>
        <v>38334277.390833333</v>
      </c>
      <c r="Y592" s="679"/>
      <c r="Z592" s="679"/>
      <c r="AA592" s="642"/>
      <c r="AB592" s="679">
        <f>+S592</f>
        <v>38334277.390833333</v>
      </c>
      <c r="AC592" s="643"/>
      <c r="AD592" s="643"/>
      <c r="AE592" s="643"/>
      <c r="AF592" s="677">
        <f t="shared" si="108"/>
        <v>0</v>
      </c>
    </row>
    <row r="593" spans="1:32">
      <c r="A593" s="604">
        <v>583</v>
      </c>
      <c r="B593" s="316" t="s">
        <v>956</v>
      </c>
      <c r="C593" s="316" t="s">
        <v>628</v>
      </c>
      <c r="D593" s="316" t="s">
        <v>973</v>
      </c>
      <c r="E593" s="589" t="s">
        <v>1734</v>
      </c>
      <c r="F593" s="603">
        <v>-99638867.390000001</v>
      </c>
      <c r="G593" s="603">
        <v>-99562756.319999993</v>
      </c>
      <c r="H593" s="603">
        <v>-99486645.239999995</v>
      </c>
      <c r="I593" s="603">
        <v>-99410534.159999996</v>
      </c>
      <c r="J593" s="603">
        <v>-99334423.090000004</v>
      </c>
      <c r="K593" s="603">
        <v>-1.4901161193847699E-8</v>
      </c>
      <c r="L593" s="603">
        <v>-1.4901161193847699E-8</v>
      </c>
      <c r="M593" s="603">
        <v>-1.4901161193847699E-8</v>
      </c>
      <c r="N593" s="603">
        <v>-1.4901161193847699E-8</v>
      </c>
      <c r="O593" s="603">
        <v>-1.4901161193847699E-8</v>
      </c>
      <c r="P593" s="603">
        <v>-1.4901161193847699E-8</v>
      </c>
      <c r="Q593" s="603">
        <v>-1.4901161193847699E-8</v>
      </c>
      <c r="R593" s="603">
        <v>-1.4901161193847699E-8</v>
      </c>
      <c r="S593" s="484">
        <f t="shared" si="95"/>
        <v>-37301149.375416674</v>
      </c>
      <c r="T593" s="604"/>
      <c r="U593" s="642"/>
      <c r="V593" s="679"/>
      <c r="W593" s="679"/>
      <c r="X593" s="702">
        <f t="shared" si="110"/>
        <v>-37301149.375416674</v>
      </c>
      <c r="Y593" s="679">
        <f>+X593*Z7</f>
        <v>-28039273.985500716</v>
      </c>
      <c r="Z593" s="679">
        <f>+X593*Z8</f>
        <v>-9261875.3899159599</v>
      </c>
      <c r="AA593" s="642"/>
      <c r="AB593" s="679"/>
      <c r="AC593" s="643"/>
      <c r="AD593" s="643"/>
      <c r="AE593" s="643" t="s">
        <v>1424</v>
      </c>
      <c r="AF593" s="677">
        <f t="shared" si="108"/>
        <v>0</v>
      </c>
    </row>
    <row r="594" spans="1:32">
      <c r="A594" s="604">
        <v>584</v>
      </c>
      <c r="B594" s="316" t="s">
        <v>956</v>
      </c>
      <c r="C594" s="316" t="s">
        <v>628</v>
      </c>
      <c r="D594" s="316" t="s">
        <v>990</v>
      </c>
      <c r="E594" s="589" t="s">
        <v>1735</v>
      </c>
      <c r="F594" s="603">
        <v>347877.73</v>
      </c>
      <c r="G594" s="603">
        <v>328898.68</v>
      </c>
      <c r="H594" s="603">
        <v>330302.68</v>
      </c>
      <c r="I594" s="603">
        <v>372396.35</v>
      </c>
      <c r="J594" s="603">
        <v>377559.63</v>
      </c>
      <c r="K594" s="603">
        <v>372596.72</v>
      </c>
      <c r="L594" s="603">
        <v>367161.58</v>
      </c>
      <c r="M594" s="603">
        <v>362934.5</v>
      </c>
      <c r="N594" s="603">
        <v>420633.06</v>
      </c>
      <c r="O594" s="603">
        <v>440461.47</v>
      </c>
      <c r="P594" s="603">
        <v>445104.75</v>
      </c>
      <c r="Q594" s="603">
        <v>-389294.49</v>
      </c>
      <c r="R594" s="603">
        <v>496455.14</v>
      </c>
      <c r="S594" s="484">
        <f t="shared" si="95"/>
        <v>320910.11374999996</v>
      </c>
      <c r="T594" s="604"/>
      <c r="U594" s="642"/>
      <c r="V594" s="679"/>
      <c r="W594" s="679"/>
      <c r="X594" s="702">
        <f t="shared" si="110"/>
        <v>320910.11374999996</v>
      </c>
      <c r="Y594" s="679"/>
      <c r="Z594" s="679"/>
      <c r="AA594" s="642"/>
      <c r="AB594" s="679">
        <f>+S594</f>
        <v>320910.11374999996</v>
      </c>
      <c r="AC594" s="643"/>
      <c r="AD594" s="643"/>
      <c r="AE594" s="643"/>
      <c r="AF594" s="677">
        <f t="shared" si="108"/>
        <v>0</v>
      </c>
    </row>
    <row r="595" spans="1:32">
      <c r="A595" s="604">
        <v>585</v>
      </c>
      <c r="B595" s="316" t="s">
        <v>959</v>
      </c>
      <c r="C595" s="316" t="s">
        <v>628</v>
      </c>
      <c r="D595" s="316" t="s">
        <v>1312</v>
      </c>
      <c r="E595" s="589" t="s">
        <v>1743</v>
      </c>
      <c r="F595" s="603">
        <v>0</v>
      </c>
      <c r="G595" s="603">
        <v>0</v>
      </c>
      <c r="H595" s="603">
        <v>0</v>
      </c>
      <c r="I595" s="603">
        <v>0</v>
      </c>
      <c r="J595" s="603">
        <v>0</v>
      </c>
      <c r="K595" s="603">
        <v>0</v>
      </c>
      <c r="L595" s="603">
        <v>0</v>
      </c>
      <c r="M595" s="603">
        <v>0</v>
      </c>
      <c r="N595" s="603">
        <v>0</v>
      </c>
      <c r="O595" s="603">
        <v>0</v>
      </c>
      <c r="P595" s="603">
        <v>0</v>
      </c>
      <c r="Q595" s="603">
        <v>0</v>
      </c>
      <c r="R595" s="603">
        <v>0</v>
      </c>
      <c r="S595" s="484">
        <f t="shared" si="95"/>
        <v>0</v>
      </c>
      <c r="T595" s="604"/>
      <c r="U595" s="642"/>
      <c r="V595" s="679"/>
      <c r="W595" s="679"/>
      <c r="X595" s="702">
        <f t="shared" si="110"/>
        <v>0</v>
      </c>
      <c r="Y595" s="679"/>
      <c r="Z595" s="679"/>
      <c r="AA595" s="642"/>
      <c r="AB595" s="679"/>
      <c r="AC595" s="643"/>
      <c r="AD595" s="643"/>
      <c r="AE595" s="643" t="s">
        <v>1425</v>
      </c>
      <c r="AF595" s="677">
        <f t="shared" si="108"/>
        <v>0</v>
      </c>
    </row>
    <row r="596" spans="1:32">
      <c r="A596" s="604">
        <v>586</v>
      </c>
      <c r="B596" s="316" t="s">
        <v>984</v>
      </c>
      <c r="C596" s="316" t="s">
        <v>628</v>
      </c>
      <c r="D596" s="316" t="s">
        <v>985</v>
      </c>
      <c r="E596" s="589" t="s">
        <v>1739</v>
      </c>
      <c r="F596" s="603">
        <v>895436.16</v>
      </c>
      <c r="G596" s="603">
        <v>891841.56</v>
      </c>
      <c r="H596" s="603">
        <v>888246.94</v>
      </c>
      <c r="I596" s="603">
        <v>884652.33</v>
      </c>
      <c r="J596" s="603">
        <v>881057.7</v>
      </c>
      <c r="K596" s="603">
        <v>877463.1</v>
      </c>
      <c r="L596" s="603">
        <v>873868.48</v>
      </c>
      <c r="M596" s="603">
        <v>870273.95</v>
      </c>
      <c r="N596" s="603">
        <v>866679.33</v>
      </c>
      <c r="O596" s="603">
        <v>863084.72</v>
      </c>
      <c r="P596" s="603">
        <v>859490.1</v>
      </c>
      <c r="Q596" s="603">
        <v>855502.51</v>
      </c>
      <c r="R596" s="603">
        <v>850011.25</v>
      </c>
      <c r="S596" s="484">
        <f t="shared" si="95"/>
        <v>873740.36874999991</v>
      </c>
      <c r="T596" s="604"/>
      <c r="U596" s="642"/>
      <c r="V596" s="679"/>
      <c r="W596" s="679"/>
      <c r="X596" s="702">
        <f t="shared" si="110"/>
        <v>873740.36874999991</v>
      </c>
      <c r="Y596" s="679"/>
      <c r="Z596" s="679"/>
      <c r="AA596" s="642"/>
      <c r="AB596" s="679">
        <f>+S596</f>
        <v>873740.36874999991</v>
      </c>
      <c r="AC596" s="643"/>
      <c r="AD596" s="643"/>
      <c r="AE596" s="643"/>
      <c r="AF596" s="677">
        <f t="shared" si="108"/>
        <v>0</v>
      </c>
    </row>
    <row r="597" spans="1:32">
      <c r="A597" s="604">
        <v>587</v>
      </c>
      <c r="B597" s="316" t="s">
        <v>984</v>
      </c>
      <c r="C597" s="316" t="s">
        <v>628</v>
      </c>
      <c r="D597" s="316" t="s">
        <v>986</v>
      </c>
      <c r="E597" s="589" t="s">
        <v>1740</v>
      </c>
      <c r="F597" s="603">
        <v>-798533.89</v>
      </c>
      <c r="G597" s="603">
        <v>-793515.04</v>
      </c>
      <c r="H597" s="603">
        <v>-788496.17</v>
      </c>
      <c r="I597" s="603">
        <v>-783477.27</v>
      </c>
      <c r="J597" s="603">
        <v>-778458.43</v>
      </c>
      <c r="K597" s="603">
        <v>-773439.56</v>
      </c>
      <c r="L597" s="603">
        <v>-768420.69</v>
      </c>
      <c r="M597" s="603">
        <v>-763401.51</v>
      </c>
      <c r="N597" s="603">
        <v>-758382.62</v>
      </c>
      <c r="O597" s="603">
        <v>-753363.76</v>
      </c>
      <c r="P597" s="603">
        <v>-748344.91</v>
      </c>
      <c r="Q597" s="603">
        <v>-751585.57</v>
      </c>
      <c r="R597" s="603">
        <v>-748372.32</v>
      </c>
      <c r="S597" s="484">
        <f t="shared" si="95"/>
        <v>-769528.21958333335</v>
      </c>
      <c r="T597" s="604"/>
      <c r="U597" s="642"/>
      <c r="V597" s="679"/>
      <c r="W597" s="679"/>
      <c r="X597" s="702">
        <f t="shared" si="110"/>
        <v>-769528.21958333335</v>
      </c>
      <c r="Y597" s="679"/>
      <c r="Z597" s="679"/>
      <c r="AA597" s="642"/>
      <c r="AB597" s="679">
        <f>+S597</f>
        <v>-769528.21958333335</v>
      </c>
      <c r="AC597" s="643"/>
      <c r="AD597" s="643"/>
      <c r="AE597" s="643"/>
      <c r="AF597" s="677">
        <f t="shared" si="108"/>
        <v>0</v>
      </c>
    </row>
    <row r="598" spans="1:32">
      <c r="A598" s="604">
        <v>588</v>
      </c>
      <c r="B598" s="316" t="s">
        <v>984</v>
      </c>
      <c r="C598" s="316" t="s">
        <v>628</v>
      </c>
      <c r="D598" s="316" t="s">
        <v>977</v>
      </c>
      <c r="E598" s="589" t="s">
        <v>1741</v>
      </c>
      <c r="F598" s="603">
        <v>-4420542.34</v>
      </c>
      <c r="G598" s="603">
        <v>-4433550.5599999996</v>
      </c>
      <c r="H598" s="603">
        <v>-4446558.79</v>
      </c>
      <c r="I598" s="603">
        <v>-4459567.03</v>
      </c>
      <c r="J598" s="603">
        <v>-4472575.25</v>
      </c>
      <c r="K598" s="603">
        <v>-4485583.4800000004</v>
      </c>
      <c r="L598" s="603">
        <v>-4498591.7</v>
      </c>
      <c r="M598" s="603">
        <v>-4511599.92</v>
      </c>
      <c r="N598" s="603">
        <v>-4524608.1500000004</v>
      </c>
      <c r="O598" s="603">
        <v>-4537616.3899999997</v>
      </c>
      <c r="P598" s="603">
        <v>-4550624.6100000003</v>
      </c>
      <c r="Q598" s="603">
        <v>-4641330.5999999996</v>
      </c>
      <c r="R598" s="603">
        <v>-4791249.5199999996</v>
      </c>
      <c r="S598" s="484">
        <f t="shared" si="95"/>
        <v>-4514008.5341666667</v>
      </c>
      <c r="T598" s="604"/>
      <c r="U598" s="642"/>
      <c r="V598" s="679"/>
      <c r="W598" s="679"/>
      <c r="X598" s="702">
        <f t="shared" si="110"/>
        <v>-4514008.5341666667</v>
      </c>
      <c r="Y598" s="679"/>
      <c r="Z598" s="679">
        <f>+X598</f>
        <v>-4514008.5341666667</v>
      </c>
      <c r="AA598" s="642"/>
      <c r="AB598" s="679"/>
      <c r="AC598" s="643"/>
      <c r="AD598" s="643"/>
      <c r="AE598" s="643" t="s">
        <v>1426</v>
      </c>
      <c r="AF598" s="677">
        <f t="shared" si="108"/>
        <v>0</v>
      </c>
    </row>
    <row r="599" spans="1:32">
      <c r="A599" s="604">
        <v>589</v>
      </c>
      <c r="B599" s="316" t="s">
        <v>984</v>
      </c>
      <c r="C599" s="316" t="s">
        <v>628</v>
      </c>
      <c r="D599" s="316" t="s">
        <v>987</v>
      </c>
      <c r="E599" s="589" t="s">
        <v>1742</v>
      </c>
      <c r="F599" s="603">
        <v>492728.47</v>
      </c>
      <c r="G599" s="603">
        <v>491067.3</v>
      </c>
      <c r="H599" s="603">
        <v>491190.19</v>
      </c>
      <c r="I599" s="603">
        <v>494874.48</v>
      </c>
      <c r="J599" s="603">
        <v>495326.42</v>
      </c>
      <c r="K599" s="603">
        <v>494892.02</v>
      </c>
      <c r="L599" s="603">
        <v>494416.3</v>
      </c>
      <c r="M599" s="603">
        <v>494046.33</v>
      </c>
      <c r="N599" s="603">
        <v>499096.44</v>
      </c>
      <c r="O599" s="603">
        <v>500831.95</v>
      </c>
      <c r="P599" s="603">
        <v>501238.35</v>
      </c>
      <c r="Q599" s="603">
        <v>428206.76</v>
      </c>
      <c r="R599" s="603">
        <v>505732.86</v>
      </c>
      <c r="S599" s="484">
        <f t="shared" si="95"/>
        <v>490368.1004166666</v>
      </c>
      <c r="T599" s="604"/>
      <c r="U599" s="642"/>
      <c r="V599" s="679"/>
      <c r="W599" s="679"/>
      <c r="X599" s="702">
        <f t="shared" si="110"/>
        <v>490368.1004166666</v>
      </c>
      <c r="Y599" s="679"/>
      <c r="Z599" s="679"/>
      <c r="AA599" s="642"/>
      <c r="AB599" s="679">
        <f>+S599</f>
        <v>490368.1004166666</v>
      </c>
      <c r="AC599" s="643"/>
      <c r="AD599" s="643"/>
      <c r="AE599" s="643"/>
      <c r="AF599" s="677">
        <f t="shared" si="108"/>
        <v>0</v>
      </c>
    </row>
    <row r="600" spans="1:32">
      <c r="A600" s="604">
        <v>590</v>
      </c>
      <c r="B600" s="316" t="s">
        <v>984</v>
      </c>
      <c r="C600" s="316" t="s">
        <v>628</v>
      </c>
      <c r="D600" s="316" t="s">
        <v>1312</v>
      </c>
      <c r="E600" s="589" t="s">
        <v>1743</v>
      </c>
      <c r="F600" s="603">
        <v>0</v>
      </c>
      <c r="G600" s="603">
        <v>0</v>
      </c>
      <c r="H600" s="603">
        <v>0</v>
      </c>
      <c r="I600" s="603">
        <v>0</v>
      </c>
      <c r="J600" s="603">
        <v>0</v>
      </c>
      <c r="K600" s="603">
        <v>0</v>
      </c>
      <c r="L600" s="603">
        <v>0</v>
      </c>
      <c r="M600" s="603">
        <v>0</v>
      </c>
      <c r="N600" s="603">
        <v>0</v>
      </c>
      <c r="O600" s="603">
        <v>0</v>
      </c>
      <c r="P600" s="603">
        <v>0</v>
      </c>
      <c r="Q600" s="603">
        <v>0</v>
      </c>
      <c r="R600" s="603">
        <v>0</v>
      </c>
      <c r="S600" s="484">
        <f t="shared" si="95"/>
        <v>0</v>
      </c>
      <c r="T600" s="604"/>
      <c r="U600" s="642"/>
      <c r="V600" s="679"/>
      <c r="W600" s="679"/>
      <c r="X600" s="702">
        <f t="shared" si="110"/>
        <v>0</v>
      </c>
      <c r="Y600" s="679"/>
      <c r="Z600" s="679"/>
      <c r="AA600" s="642"/>
      <c r="AB600" s="679"/>
      <c r="AC600" s="643"/>
      <c r="AD600" s="643"/>
      <c r="AE600" s="643" t="s">
        <v>1427</v>
      </c>
      <c r="AF600" s="677">
        <f t="shared" si="108"/>
        <v>0</v>
      </c>
    </row>
    <row r="601" spans="1:32">
      <c r="A601" s="604">
        <v>591</v>
      </c>
      <c r="B601" s="316" t="s">
        <v>956</v>
      </c>
      <c r="C601" s="316" t="s">
        <v>629</v>
      </c>
      <c r="D601" s="316" t="s">
        <v>988</v>
      </c>
      <c r="E601" s="589" t="s">
        <v>1732</v>
      </c>
      <c r="F601" s="603">
        <v>1913970.3</v>
      </c>
      <c r="G601" s="603">
        <v>1893054.62</v>
      </c>
      <c r="H601" s="603">
        <v>1872138.94</v>
      </c>
      <c r="I601" s="603">
        <v>1851223.29</v>
      </c>
      <c r="J601" s="603">
        <v>1830307.64</v>
      </c>
      <c r="K601" s="603">
        <v>1809391.99</v>
      </c>
      <c r="L601" s="603">
        <v>1788476.31</v>
      </c>
      <c r="M601" s="603">
        <v>1767560.66</v>
      </c>
      <c r="N601" s="603">
        <v>1746645</v>
      </c>
      <c r="O601" s="603">
        <v>1725729.32</v>
      </c>
      <c r="P601" s="603">
        <v>1704813.64</v>
      </c>
      <c r="Q601" s="603">
        <v>1683897.97</v>
      </c>
      <c r="R601" s="603">
        <v>1662982.3</v>
      </c>
      <c r="S601" s="484">
        <f t="shared" si="95"/>
        <v>1788476.3066666666</v>
      </c>
      <c r="T601" s="604"/>
      <c r="U601" s="642"/>
      <c r="V601" s="679"/>
      <c r="W601" s="679"/>
      <c r="X601" s="702">
        <f>+S601</f>
        <v>1788476.3066666666</v>
      </c>
      <c r="Y601" s="679"/>
      <c r="Z601" s="679"/>
      <c r="AA601" s="642"/>
      <c r="AB601" s="679">
        <f>+S601</f>
        <v>1788476.3066666666</v>
      </c>
      <c r="AC601" s="643"/>
      <c r="AD601" s="644"/>
      <c r="AE601" s="643"/>
      <c r="AF601" s="677">
        <f t="shared" si="108"/>
        <v>0</v>
      </c>
    </row>
    <row r="602" spans="1:32">
      <c r="A602" s="604">
        <v>592</v>
      </c>
      <c r="B602" s="316" t="s">
        <v>956</v>
      </c>
      <c r="C602" s="316" t="s">
        <v>629</v>
      </c>
      <c r="D602" s="316" t="s">
        <v>989</v>
      </c>
      <c r="E602" s="589" t="s">
        <v>1733</v>
      </c>
      <c r="F602" s="603">
        <v>7294680.6500000004</v>
      </c>
      <c r="G602" s="603">
        <v>7214029.0300000003</v>
      </c>
      <c r="H602" s="603">
        <v>7133377.3700000001</v>
      </c>
      <c r="I602" s="603">
        <v>7052725.7300000004</v>
      </c>
      <c r="J602" s="603">
        <v>6972074.0999999996</v>
      </c>
      <c r="K602" s="603">
        <v>6891422.5099999998</v>
      </c>
      <c r="L602" s="603">
        <v>6810770.9199999999</v>
      </c>
      <c r="M602" s="603">
        <v>6730119.3099999996</v>
      </c>
      <c r="N602" s="603">
        <v>6649467.6600000001</v>
      </c>
      <c r="O602" s="603">
        <v>6568816.04</v>
      </c>
      <c r="P602" s="603">
        <v>6488164.3399999999</v>
      </c>
      <c r="Q602" s="603">
        <v>6407512.7000000002</v>
      </c>
      <c r="R602" s="603">
        <v>6326861.0300000003</v>
      </c>
      <c r="S602" s="484">
        <f t="shared" si="95"/>
        <v>6810770.8791666673</v>
      </c>
      <c r="T602" s="604"/>
      <c r="U602" s="642"/>
      <c r="V602" s="679"/>
      <c r="W602" s="679"/>
      <c r="X602" s="702">
        <f>+S602</f>
        <v>6810770.8791666673</v>
      </c>
      <c r="Y602" s="679"/>
      <c r="Z602" s="679"/>
      <c r="AA602" s="642"/>
      <c r="AB602" s="679">
        <f>+S602</f>
        <v>6810770.8791666673</v>
      </c>
      <c r="AC602" s="643"/>
      <c r="AD602" s="644"/>
      <c r="AE602" s="643"/>
      <c r="AF602" s="677">
        <f t="shared" si="108"/>
        <v>0</v>
      </c>
    </row>
    <row r="603" spans="1:32">
      <c r="A603" s="604">
        <v>593</v>
      </c>
      <c r="B603" s="316" t="s">
        <v>956</v>
      </c>
      <c r="C603" s="316" t="s">
        <v>629</v>
      </c>
      <c r="D603" s="316" t="s">
        <v>975</v>
      </c>
      <c r="E603" s="589" t="s">
        <v>1736</v>
      </c>
      <c r="F603" s="603">
        <v>-153482.01</v>
      </c>
      <c r="G603" s="603">
        <v>-152777.97</v>
      </c>
      <c r="H603" s="603">
        <v>-152073.93</v>
      </c>
      <c r="I603" s="603">
        <v>-151369.9</v>
      </c>
      <c r="J603" s="603">
        <v>-150665.85999999999</v>
      </c>
      <c r="K603" s="603">
        <v>0</v>
      </c>
      <c r="L603" s="603">
        <v>0</v>
      </c>
      <c r="M603" s="603">
        <v>0</v>
      </c>
      <c r="N603" s="603">
        <v>0</v>
      </c>
      <c r="O603" s="603">
        <v>0</v>
      </c>
      <c r="P603" s="603">
        <v>0</v>
      </c>
      <c r="Q603" s="603">
        <v>0</v>
      </c>
      <c r="R603" s="603">
        <v>0</v>
      </c>
      <c r="S603" s="484">
        <f t="shared" si="95"/>
        <v>-56969.05541666667</v>
      </c>
      <c r="T603" s="604"/>
      <c r="U603" s="642"/>
      <c r="V603" s="650"/>
      <c r="W603" s="679"/>
      <c r="X603" s="679">
        <f>+S603</f>
        <v>-56969.05541666667</v>
      </c>
      <c r="Y603" s="679">
        <f>+X603*Z7</f>
        <v>-42823.638956708339</v>
      </c>
      <c r="Z603" s="679">
        <f>+X603*Z8</f>
        <v>-14145.416459958335</v>
      </c>
      <c r="AA603" s="642"/>
      <c r="AB603" s="679"/>
      <c r="AC603" s="643"/>
      <c r="AD603" s="643"/>
      <c r="AE603" s="643" t="s">
        <v>1428</v>
      </c>
      <c r="AF603" s="677">
        <f t="shared" si="108"/>
        <v>0</v>
      </c>
    </row>
    <row r="604" spans="1:32">
      <c r="A604" s="604">
        <v>594</v>
      </c>
      <c r="B604" s="316" t="s">
        <v>956</v>
      </c>
      <c r="C604" s="316" t="s">
        <v>629</v>
      </c>
      <c r="D604" s="316" t="s">
        <v>1373</v>
      </c>
      <c r="E604" s="589" t="s">
        <v>1737</v>
      </c>
      <c r="F604" s="603">
        <v>-638740.75</v>
      </c>
      <c r="G604" s="603">
        <v>-638740.75</v>
      </c>
      <c r="H604" s="603">
        <v>-638740.75</v>
      </c>
      <c r="I604" s="603">
        <v>-638740.75</v>
      </c>
      <c r="J604" s="603">
        <v>-638740.75</v>
      </c>
      <c r="K604" s="603">
        <v>-638740.75</v>
      </c>
      <c r="L604" s="603">
        <v>-638740.75</v>
      </c>
      <c r="M604" s="603">
        <v>-638740.75</v>
      </c>
      <c r="N604" s="603">
        <v>-638740.75</v>
      </c>
      <c r="O604" s="603">
        <v>-638740.75</v>
      </c>
      <c r="P604" s="603">
        <v>-638740.75</v>
      </c>
      <c r="Q604" s="603">
        <v>-638740.75</v>
      </c>
      <c r="R604" s="603">
        <v>-666160.88</v>
      </c>
      <c r="S604" s="484">
        <f t="shared" si="95"/>
        <v>-639883.25541666662</v>
      </c>
      <c r="T604" s="604"/>
      <c r="U604" s="642"/>
      <c r="W604" s="679"/>
      <c r="X604" s="679">
        <f>+S604</f>
        <v>-639883.25541666662</v>
      </c>
      <c r="Y604" s="679"/>
      <c r="Z604" s="679"/>
      <c r="AA604" s="642"/>
      <c r="AB604" s="679">
        <f>+S604</f>
        <v>-639883.25541666662</v>
      </c>
      <c r="AC604" s="643"/>
      <c r="AD604" s="644"/>
      <c r="AE604" s="643"/>
      <c r="AF604" s="677">
        <f>+U604+X604-AD604</f>
        <v>-639883.25541666662</v>
      </c>
    </row>
    <row r="605" spans="1:32">
      <c r="A605" s="604">
        <v>595</v>
      </c>
      <c r="B605" s="316" t="s">
        <v>956</v>
      </c>
      <c r="C605" s="316" t="s">
        <v>629</v>
      </c>
      <c r="D605" s="316" t="s">
        <v>990</v>
      </c>
      <c r="E605" s="589" t="s">
        <v>1738</v>
      </c>
      <c r="F605" s="603">
        <v>-40255923.640000001</v>
      </c>
      <c r="G605" s="603">
        <v>-41475441.259999998</v>
      </c>
      <c r="H605" s="603">
        <v>-45749804.460000001</v>
      </c>
      <c r="I605" s="603">
        <v>-50082768.520000003</v>
      </c>
      <c r="J605" s="603">
        <v>-49801847.409999996</v>
      </c>
      <c r="K605" s="603">
        <v>-42694512.810000002</v>
      </c>
      <c r="L605" s="603">
        <v>-43048310.259999998</v>
      </c>
      <c r="M605" s="603">
        <v>-43697144.140000001</v>
      </c>
      <c r="N605" s="603">
        <v>-44434469.880000003</v>
      </c>
      <c r="O605" s="603">
        <v>-42928561.740000002</v>
      </c>
      <c r="P605" s="603">
        <v>-42937621.810000002</v>
      </c>
      <c r="Q605" s="603">
        <v>-42032794.729999997</v>
      </c>
      <c r="R605" s="603">
        <v>-41379613.530000001</v>
      </c>
      <c r="S605" s="484">
        <f t="shared" si="95"/>
        <v>-44141753.800416671</v>
      </c>
      <c r="T605" s="604"/>
      <c r="U605" s="642"/>
      <c r="V605" s="679">
        <f>+S605</f>
        <v>-44141753.800416671</v>
      </c>
      <c r="W605" s="679"/>
      <c r="X605" s="702"/>
      <c r="Y605" s="679"/>
      <c r="Z605" s="679"/>
      <c r="AA605" s="642"/>
      <c r="AB605" s="679"/>
      <c r="AC605" s="643"/>
      <c r="AD605" s="644">
        <f>+V605</f>
        <v>-44141753.800416671</v>
      </c>
      <c r="AE605" s="643"/>
      <c r="AF605" s="677">
        <f t="shared" si="108"/>
        <v>0</v>
      </c>
    </row>
    <row r="606" spans="1:32">
      <c r="A606" s="604">
        <v>596</v>
      </c>
      <c r="B606" s="316" t="s">
        <v>984</v>
      </c>
      <c r="C606" s="316" t="s">
        <v>629</v>
      </c>
      <c r="D606" s="522" t="s">
        <v>985</v>
      </c>
      <c r="E606" s="589" t="s">
        <v>1739</v>
      </c>
      <c r="F606" s="603">
        <v>167522.1</v>
      </c>
      <c r="G606" s="603">
        <v>165691.44</v>
      </c>
      <c r="H606" s="603">
        <v>163860.78</v>
      </c>
      <c r="I606" s="603">
        <v>162030.10999999999</v>
      </c>
      <c r="J606" s="603">
        <v>160199.45000000001</v>
      </c>
      <c r="K606" s="603">
        <v>158368.76999999999</v>
      </c>
      <c r="L606" s="603">
        <v>156538.10999999999</v>
      </c>
      <c r="M606" s="603">
        <v>154707.46</v>
      </c>
      <c r="N606" s="603">
        <v>152876.79</v>
      </c>
      <c r="O606" s="603">
        <v>151046.13</v>
      </c>
      <c r="P606" s="603">
        <v>149215.47</v>
      </c>
      <c r="Q606" s="603">
        <v>147384.79999999999</v>
      </c>
      <c r="R606" s="603">
        <v>145554.14000000001</v>
      </c>
      <c r="S606" s="484">
        <f t="shared" si="95"/>
        <v>156538.11916666667</v>
      </c>
      <c r="T606" s="604"/>
      <c r="U606" s="642"/>
      <c r="W606" s="679"/>
      <c r="X606" s="679">
        <f>+S606</f>
        <v>156538.11916666667</v>
      </c>
      <c r="Y606" s="679"/>
      <c r="Z606" s="679"/>
      <c r="AA606" s="642"/>
      <c r="AB606" s="679">
        <f>+S606</f>
        <v>156538.11916666667</v>
      </c>
      <c r="AC606" s="643"/>
      <c r="AD606" s="644"/>
      <c r="AE606" s="643"/>
      <c r="AF606" s="677">
        <f>+U606+X606-AD606</f>
        <v>156538.11916666667</v>
      </c>
    </row>
    <row r="607" spans="1:32">
      <c r="A607" s="604">
        <v>597</v>
      </c>
      <c r="B607" s="316" t="s">
        <v>984</v>
      </c>
      <c r="C607" s="316" t="s">
        <v>629</v>
      </c>
      <c r="D607" s="316" t="s">
        <v>986</v>
      </c>
      <c r="E607" s="589" t="s">
        <v>1740</v>
      </c>
      <c r="F607" s="603">
        <v>-94506.66</v>
      </c>
      <c r="G607" s="603">
        <v>-92537.75</v>
      </c>
      <c r="H607" s="603">
        <v>-90568.86</v>
      </c>
      <c r="I607" s="603">
        <v>-88599.98</v>
      </c>
      <c r="J607" s="603">
        <v>-86631.06</v>
      </c>
      <c r="K607" s="603">
        <v>-84662.19</v>
      </c>
      <c r="L607" s="603">
        <v>-82693.31</v>
      </c>
      <c r="M607" s="603">
        <v>-80724.41</v>
      </c>
      <c r="N607" s="603">
        <v>-78755.520000000004</v>
      </c>
      <c r="O607" s="603">
        <v>-76786.63</v>
      </c>
      <c r="P607" s="603">
        <v>-74817.77</v>
      </c>
      <c r="Q607" s="603">
        <v>-72848.850000000006</v>
      </c>
      <c r="R607" s="603">
        <v>-70879.97</v>
      </c>
      <c r="S607" s="484">
        <f t="shared" si="95"/>
        <v>-82693.303750000006</v>
      </c>
      <c r="T607" s="604"/>
      <c r="U607" s="642"/>
      <c r="W607" s="679"/>
      <c r="X607" s="679">
        <f>+S607</f>
        <v>-82693.303750000006</v>
      </c>
      <c r="Y607" s="679"/>
      <c r="Z607" s="679"/>
      <c r="AA607" s="642"/>
      <c r="AB607" s="679">
        <f>+S607</f>
        <v>-82693.303750000006</v>
      </c>
      <c r="AC607" s="643"/>
      <c r="AD607" s="644"/>
      <c r="AE607" s="643"/>
      <c r="AF607" s="677">
        <f>+U607+X607-AD607</f>
        <v>-82693.303750000006</v>
      </c>
    </row>
    <row r="608" spans="1:32">
      <c r="A608" s="604">
        <v>598</v>
      </c>
      <c r="B608" s="316" t="s">
        <v>984</v>
      </c>
      <c r="C608" s="316" t="s">
        <v>629</v>
      </c>
      <c r="D608" s="316" t="s">
        <v>979</v>
      </c>
      <c r="E608" s="589" t="s">
        <v>1744</v>
      </c>
      <c r="F608" s="603">
        <v>-13433.67</v>
      </c>
      <c r="G608" s="603">
        <v>-13372.05</v>
      </c>
      <c r="H608" s="603">
        <v>-13310.43</v>
      </c>
      <c r="I608" s="603">
        <v>-13248.81</v>
      </c>
      <c r="J608" s="603">
        <v>-13187.19</v>
      </c>
      <c r="K608" s="603">
        <v>-13125.57</v>
      </c>
      <c r="L608" s="603">
        <v>-13063.95</v>
      </c>
      <c r="M608" s="603">
        <v>-13002.33</v>
      </c>
      <c r="N608" s="603">
        <v>-12940.71</v>
      </c>
      <c r="O608" s="603">
        <v>-12879.09</v>
      </c>
      <c r="P608" s="603">
        <v>-12817.47</v>
      </c>
      <c r="Q608" s="603">
        <v>-12755.85</v>
      </c>
      <c r="R608" s="603">
        <v>-12694.23</v>
      </c>
      <c r="S608" s="484">
        <f t="shared" si="95"/>
        <v>-13063.950000000003</v>
      </c>
      <c r="T608" s="604"/>
      <c r="U608" s="642"/>
      <c r="W608" s="679"/>
      <c r="X608" s="679">
        <f>+S608</f>
        <v>-13063.950000000003</v>
      </c>
      <c r="Y608" s="679"/>
      <c r="Z608" s="679">
        <f>+X608</f>
        <v>-13063.950000000003</v>
      </c>
      <c r="AA608" s="642"/>
      <c r="AB608" s="679"/>
      <c r="AC608" s="643"/>
      <c r="AD608" s="644"/>
      <c r="AE608" s="643"/>
      <c r="AF608" s="677">
        <f>+U608+X608-AD608</f>
        <v>-13063.950000000003</v>
      </c>
    </row>
    <row r="609" spans="1:32">
      <c r="A609" s="604">
        <v>599</v>
      </c>
      <c r="B609" s="316" t="s">
        <v>984</v>
      </c>
      <c r="C609" s="316" t="s">
        <v>629</v>
      </c>
      <c r="D609" s="316" t="s">
        <v>1372</v>
      </c>
      <c r="E609" s="589" t="s">
        <v>1745</v>
      </c>
      <c r="F609" s="603">
        <v>-55906.400000000001</v>
      </c>
      <c r="G609" s="603">
        <v>-55906.400000000001</v>
      </c>
      <c r="H609" s="603">
        <v>-55906.400000000001</v>
      </c>
      <c r="I609" s="603">
        <v>-55906.400000000001</v>
      </c>
      <c r="J609" s="603">
        <v>-55906.400000000001</v>
      </c>
      <c r="K609" s="603">
        <v>-55906.400000000001</v>
      </c>
      <c r="L609" s="603">
        <v>-55906.400000000001</v>
      </c>
      <c r="M609" s="603">
        <v>-55906.400000000001</v>
      </c>
      <c r="N609" s="603">
        <v>-55906.400000000001</v>
      </c>
      <c r="O609" s="603">
        <v>-55906.400000000001</v>
      </c>
      <c r="P609" s="603">
        <v>-55906.400000000001</v>
      </c>
      <c r="Q609" s="603">
        <v>-55906.400000000001</v>
      </c>
      <c r="R609" s="603">
        <v>-58306.37</v>
      </c>
      <c r="S609" s="484">
        <f t="shared" si="95"/>
        <v>-56006.398750000015</v>
      </c>
      <c r="T609" s="604"/>
      <c r="U609" s="642"/>
      <c r="W609" s="679"/>
      <c r="X609" s="679">
        <f>+S609</f>
        <v>-56006.398750000015</v>
      </c>
      <c r="Y609" s="679"/>
      <c r="Z609" s="679"/>
      <c r="AA609" s="642"/>
      <c r="AB609" s="679">
        <f>+S609</f>
        <v>-56006.398750000015</v>
      </c>
      <c r="AC609" s="643"/>
      <c r="AD609" s="644"/>
      <c r="AE609" s="643"/>
      <c r="AF609" s="677">
        <f>+U609+X609-AD609</f>
        <v>-56006.398750000015</v>
      </c>
    </row>
    <row r="610" spans="1:32">
      <c r="A610" s="604">
        <v>600</v>
      </c>
      <c r="B610" s="316" t="s">
        <v>984</v>
      </c>
      <c r="C610" s="316" t="s">
        <v>629</v>
      </c>
      <c r="D610" s="316" t="s">
        <v>987</v>
      </c>
      <c r="E610" s="589" t="s">
        <v>1746</v>
      </c>
      <c r="F610" s="603">
        <v>-3065780.91</v>
      </c>
      <c r="G610" s="603">
        <v>-3181548.37</v>
      </c>
      <c r="H610" s="603">
        <v>-3564694.16</v>
      </c>
      <c r="I610" s="603">
        <v>-3952969.04</v>
      </c>
      <c r="J610" s="603">
        <v>-3937409.17</v>
      </c>
      <c r="K610" s="603">
        <v>-3324360.74</v>
      </c>
      <c r="L610" s="603">
        <v>-3364355.18</v>
      </c>
      <c r="M610" s="603">
        <v>-3430173.01</v>
      </c>
      <c r="N610" s="603">
        <v>-3503736.18</v>
      </c>
      <c r="O610" s="603">
        <v>-3380958.09</v>
      </c>
      <c r="P610" s="603">
        <v>-3390779.09</v>
      </c>
      <c r="Q610" s="603">
        <v>-3320611.22</v>
      </c>
      <c r="R610" s="603">
        <v>-3272468.91</v>
      </c>
      <c r="S610" s="484">
        <f t="shared" si="95"/>
        <v>-3460059.9299999997</v>
      </c>
      <c r="T610" s="604"/>
      <c r="U610" s="642"/>
      <c r="V610" s="679">
        <f>+S610</f>
        <v>-3460059.9299999997</v>
      </c>
      <c r="W610" s="679"/>
      <c r="X610" s="702"/>
      <c r="Y610" s="679"/>
      <c r="Z610" s="679"/>
      <c r="AA610" s="642"/>
      <c r="AB610" s="679"/>
      <c r="AC610" s="643"/>
      <c r="AD610" s="644">
        <f>+S610</f>
        <v>-3460059.9299999997</v>
      </c>
      <c r="AE610" s="643"/>
      <c r="AF610" s="677">
        <f t="shared" si="108"/>
        <v>0</v>
      </c>
    </row>
    <row r="611" spans="1:32">
      <c r="A611" s="604">
        <v>601</v>
      </c>
      <c r="B611" s="316" t="s">
        <v>984</v>
      </c>
      <c r="C611" s="316" t="s">
        <v>628</v>
      </c>
      <c r="D611" s="316" t="s">
        <v>973</v>
      </c>
      <c r="E611" s="589" t="s">
        <v>1734</v>
      </c>
      <c r="F611" s="603">
        <v>0</v>
      </c>
      <c r="G611" s="603">
        <v>0</v>
      </c>
      <c r="H611" s="603">
        <v>0</v>
      </c>
      <c r="I611" s="603">
        <v>0</v>
      </c>
      <c r="J611" s="603">
        <v>0</v>
      </c>
      <c r="K611" s="603">
        <v>-22343046.039999999</v>
      </c>
      <c r="L611" s="603">
        <v>-22325913.43</v>
      </c>
      <c r="M611" s="603">
        <v>-22308780.829999998</v>
      </c>
      <c r="N611" s="603">
        <v>-22291648.23</v>
      </c>
      <c r="O611" s="603">
        <v>-22274515.629999999</v>
      </c>
      <c r="P611" s="603">
        <v>-22257383.030000001</v>
      </c>
      <c r="Q611" s="603">
        <v>-22454623.309999999</v>
      </c>
      <c r="R611" s="603">
        <v>-22776131.02</v>
      </c>
      <c r="S611" s="484">
        <f t="shared" si="95"/>
        <v>-13970331.334166666</v>
      </c>
      <c r="T611" s="604"/>
      <c r="U611" s="642"/>
      <c r="V611" s="679"/>
      <c r="W611" s="679"/>
      <c r="X611" s="702">
        <f>+S611</f>
        <v>-13970331.334166666</v>
      </c>
      <c r="Y611" s="679"/>
      <c r="Z611" s="679">
        <f>+X611</f>
        <v>-13970331.334166666</v>
      </c>
      <c r="AA611" s="642"/>
      <c r="AB611" s="679"/>
      <c r="AC611" s="643"/>
      <c r="AD611" s="644"/>
      <c r="AE611" s="643"/>
      <c r="AF611" s="677"/>
    </row>
    <row r="612" spans="1:32">
      <c r="A612" s="604">
        <v>602</v>
      </c>
      <c r="B612" s="316" t="s">
        <v>984</v>
      </c>
      <c r="C612" s="316" t="s">
        <v>629</v>
      </c>
      <c r="D612" s="316" t="s">
        <v>975</v>
      </c>
      <c r="E612" s="589" t="s">
        <v>1736</v>
      </c>
      <c r="F612" s="603">
        <v>0</v>
      </c>
      <c r="G612" s="603">
        <v>0</v>
      </c>
      <c r="H612" s="603">
        <v>0</v>
      </c>
      <c r="I612" s="603">
        <v>0</v>
      </c>
      <c r="J612" s="603">
        <v>0</v>
      </c>
      <c r="K612" s="603">
        <v>-36680.65</v>
      </c>
      <c r="L612" s="603">
        <v>-36508.44</v>
      </c>
      <c r="M612" s="603">
        <v>-36336.230000000003</v>
      </c>
      <c r="N612" s="603">
        <v>-36164.019999999997</v>
      </c>
      <c r="O612" s="603">
        <v>-35991.82</v>
      </c>
      <c r="P612" s="603">
        <v>-35819.61</v>
      </c>
      <c r="Q612" s="603">
        <v>-35647.4</v>
      </c>
      <c r="R612" s="603">
        <v>-35475.199999999997</v>
      </c>
      <c r="S612" s="484">
        <f t="shared" si="95"/>
        <v>-22573.814166666667</v>
      </c>
      <c r="T612" s="604"/>
      <c r="U612" s="642"/>
      <c r="V612" s="679"/>
      <c r="W612" s="679"/>
      <c r="X612" s="702">
        <f>+S612</f>
        <v>-22573.814166666667</v>
      </c>
      <c r="Y612" s="679"/>
      <c r="Z612" s="679">
        <f>+X612</f>
        <v>-22573.814166666667</v>
      </c>
      <c r="AA612" s="642"/>
      <c r="AB612" s="679"/>
      <c r="AC612" s="643"/>
      <c r="AD612" s="644"/>
      <c r="AE612" s="643"/>
      <c r="AF612" s="677"/>
    </row>
    <row r="613" spans="1:32">
      <c r="A613" s="604">
        <v>603</v>
      </c>
      <c r="B613" s="316" t="s">
        <v>959</v>
      </c>
      <c r="C613" s="316" t="s">
        <v>628</v>
      </c>
      <c r="D613" s="316" t="s">
        <v>973</v>
      </c>
      <c r="E613" s="589" t="s">
        <v>1734</v>
      </c>
      <c r="F613" s="603">
        <v>0</v>
      </c>
      <c r="G613" s="603">
        <v>0</v>
      </c>
      <c r="H613" s="603">
        <v>0</v>
      </c>
      <c r="I613" s="603">
        <v>0</v>
      </c>
      <c r="J613" s="603">
        <v>0</v>
      </c>
      <c r="K613" s="603">
        <v>-76915265.980000004</v>
      </c>
      <c r="L613" s="603">
        <v>-76856287.510000005</v>
      </c>
      <c r="M613" s="603">
        <v>-76797309.040000007</v>
      </c>
      <c r="N613" s="603">
        <v>-76738330.569999993</v>
      </c>
      <c r="O613" s="603">
        <v>-76679352.090000004</v>
      </c>
      <c r="P613" s="603">
        <v>-76620373.620000005</v>
      </c>
      <c r="Q613" s="603">
        <v>-77299367.390000001</v>
      </c>
      <c r="R613" s="603">
        <v>-78406148.049999997</v>
      </c>
      <c r="S613" s="484">
        <f t="shared" si="95"/>
        <v>-48092446.685416669</v>
      </c>
      <c r="T613" s="604"/>
      <c r="U613" s="642"/>
      <c r="V613" s="679"/>
      <c r="W613" s="679"/>
      <c r="X613" s="702">
        <f>+S613</f>
        <v>-48092446.685416669</v>
      </c>
      <c r="Y613" s="679">
        <f>+X613</f>
        <v>-48092446.685416669</v>
      </c>
      <c r="Z613" s="679"/>
      <c r="AA613" s="642"/>
      <c r="AB613" s="679"/>
      <c r="AC613" s="643"/>
      <c r="AD613" s="644"/>
      <c r="AE613" s="643"/>
      <c r="AF613" s="677"/>
    </row>
    <row r="614" spans="1:32">
      <c r="A614" s="604">
        <v>604</v>
      </c>
      <c r="B614" s="316" t="s">
        <v>959</v>
      </c>
      <c r="C614" s="316" t="s">
        <v>629</v>
      </c>
      <c r="D614" s="316" t="s">
        <v>975</v>
      </c>
      <c r="E614" s="589" t="s">
        <v>1736</v>
      </c>
      <c r="F614" s="603">
        <v>0</v>
      </c>
      <c r="G614" s="603">
        <v>0</v>
      </c>
      <c r="H614" s="603">
        <v>0</v>
      </c>
      <c r="I614" s="603">
        <v>0</v>
      </c>
      <c r="J614" s="603">
        <v>0</v>
      </c>
      <c r="K614" s="603">
        <v>-113281.17</v>
      </c>
      <c r="L614" s="603">
        <v>-112749.34</v>
      </c>
      <c r="M614" s="603">
        <v>-112217.51</v>
      </c>
      <c r="N614" s="603">
        <v>-111685.68</v>
      </c>
      <c r="O614" s="603">
        <v>-111153.85</v>
      </c>
      <c r="P614" s="603">
        <v>-110622.02</v>
      </c>
      <c r="Q614" s="603">
        <v>-110090.19</v>
      </c>
      <c r="R614" s="603">
        <v>-109558.36</v>
      </c>
      <c r="S614" s="484">
        <f t="shared" si="95"/>
        <v>-69714.911666666667</v>
      </c>
      <c r="T614" s="604"/>
      <c r="U614" s="642"/>
      <c r="V614" s="679"/>
      <c r="W614" s="679"/>
      <c r="X614" s="702">
        <f>+S614</f>
        <v>-69714.911666666667</v>
      </c>
      <c r="Y614" s="679">
        <f>+X614</f>
        <v>-69714.911666666667</v>
      </c>
      <c r="Z614" s="679"/>
      <c r="AA614" s="642"/>
      <c r="AB614" s="679"/>
      <c r="AC614" s="643"/>
      <c r="AD614" s="644"/>
      <c r="AE614" s="643"/>
      <c r="AF614" s="677"/>
    </row>
    <row r="615" spans="1:32">
      <c r="A615" s="604">
        <v>605</v>
      </c>
      <c r="B615" s="604"/>
      <c r="C615" s="604"/>
      <c r="D615" s="604"/>
      <c r="E615" s="589" t="s">
        <v>630</v>
      </c>
      <c r="F615" s="295">
        <f>SUM(F590:F614)</f>
        <v>-88739868.560000017</v>
      </c>
      <c r="G615" s="295">
        <f t="shared" ref="G615:P615" si="111">SUM(G590:G614)</f>
        <v>-90329190.810000002</v>
      </c>
      <c r="H615" s="295">
        <f t="shared" si="111"/>
        <v>-95218569.940000013</v>
      </c>
      <c r="I615" s="295">
        <f t="shared" si="111"/>
        <v>-100127427.71000002</v>
      </c>
      <c r="J615" s="295">
        <f t="shared" si="111"/>
        <v>-100058728.63</v>
      </c>
      <c r="K615" s="295">
        <f t="shared" si="111"/>
        <v>-92577139.820000023</v>
      </c>
      <c r="L615" s="295">
        <f t="shared" si="111"/>
        <v>-93210239.560000017</v>
      </c>
      <c r="M615" s="295">
        <f t="shared" si="111"/>
        <v>-94162880.310000017</v>
      </c>
      <c r="N615" s="295">
        <f t="shared" si="111"/>
        <v>-95144417.540000021</v>
      </c>
      <c r="O615" s="295">
        <f t="shared" si="111"/>
        <v>-93727564.400000006</v>
      </c>
      <c r="P615" s="295">
        <f t="shared" si="111"/>
        <v>-93974792.87000002</v>
      </c>
      <c r="Q615" s="295">
        <f>SUM(Q590:Q614)</f>
        <v>-95194107.520000011</v>
      </c>
      <c r="R615" s="295">
        <f>SUM(R590:R614)</f>
        <v>-95539119.870000005</v>
      </c>
      <c r="S615" s="486">
        <f>SUM(S590:S614)</f>
        <v>-94655379.443750009</v>
      </c>
      <c r="T615" s="604"/>
      <c r="U615" s="642"/>
      <c r="V615" s="679"/>
      <c r="W615" s="679"/>
      <c r="X615" s="702"/>
      <c r="Y615" s="679"/>
      <c r="Z615" s="679"/>
      <c r="AA615" s="642"/>
      <c r="AB615" s="679"/>
      <c r="AC615" s="643"/>
      <c r="AD615" s="643"/>
      <c r="AE615" s="643"/>
      <c r="AF615" s="677">
        <f t="shared" si="108"/>
        <v>0</v>
      </c>
    </row>
    <row r="616" spans="1:32">
      <c r="A616" s="604">
        <v>606</v>
      </c>
      <c r="B616" s="604"/>
      <c r="C616" s="604"/>
      <c r="D616" s="604"/>
      <c r="E616" s="589"/>
      <c r="F616" s="603"/>
      <c r="G616" s="314"/>
      <c r="H616" s="305"/>
      <c r="I616" s="305"/>
      <c r="J616" s="306"/>
      <c r="K616" s="307"/>
      <c r="L616" s="308"/>
      <c r="M616" s="309"/>
      <c r="N616" s="310"/>
      <c r="O616" s="590"/>
      <c r="P616" s="311"/>
      <c r="Q616" s="315"/>
      <c r="R616" s="603"/>
      <c r="S616" s="294"/>
      <c r="T616" s="604"/>
      <c r="U616" s="642"/>
      <c r="V616" s="679"/>
      <c r="W616" s="679"/>
      <c r="X616" s="702"/>
      <c r="Y616" s="679"/>
      <c r="Z616" s="679"/>
      <c r="AA616" s="642"/>
      <c r="AB616" s="679"/>
      <c r="AC616" s="643"/>
      <c r="AD616" s="643"/>
      <c r="AE616" s="643"/>
      <c r="AF616" s="677">
        <f t="shared" si="108"/>
        <v>0</v>
      </c>
    </row>
    <row r="617" spans="1:32">
      <c r="A617" s="604">
        <v>607</v>
      </c>
      <c r="B617" s="316" t="s">
        <v>984</v>
      </c>
      <c r="C617" s="316" t="s">
        <v>631</v>
      </c>
      <c r="D617" s="316" t="s">
        <v>1223</v>
      </c>
      <c r="E617" s="589" t="s">
        <v>1748</v>
      </c>
      <c r="F617" s="601">
        <v>-36899838.780000001</v>
      </c>
      <c r="G617" s="601">
        <v>-5659206.4100000001</v>
      </c>
      <c r="H617" s="601">
        <v>-10923602.24</v>
      </c>
      <c r="I617" s="601">
        <v>-16838345.66</v>
      </c>
      <c r="J617" s="601">
        <v>-20972373.75</v>
      </c>
      <c r="K617" s="601">
        <v>-23288857.010000002</v>
      </c>
      <c r="L617" s="601">
        <v>-24957907.989999998</v>
      </c>
      <c r="M617" s="601">
        <v>-26193515.859999999</v>
      </c>
      <c r="N617" s="601">
        <v>-27265717.48</v>
      </c>
      <c r="O617" s="601">
        <v>-28342685.350000001</v>
      </c>
      <c r="P617" s="601">
        <v>-30687397.800000001</v>
      </c>
      <c r="Q617" s="601">
        <v>-34292176</v>
      </c>
      <c r="R617" s="601">
        <v>-39768724.710000001</v>
      </c>
      <c r="S617" s="484">
        <f t="shared" si="95"/>
        <v>-23979672.274583336</v>
      </c>
      <c r="T617" s="604"/>
      <c r="U617" s="642"/>
      <c r="V617" s="679"/>
      <c r="W617" s="679">
        <f t="shared" ref="W617:W684" si="112">+S617</f>
        <v>-23979672.274583336</v>
      </c>
      <c r="X617" s="702"/>
      <c r="Y617" s="679"/>
      <c r="Z617" s="679"/>
      <c r="AA617" s="642"/>
      <c r="AB617" s="679"/>
      <c r="AC617" s="644">
        <f>+S617</f>
        <v>-23979672.274583336</v>
      </c>
      <c r="AD617" s="643"/>
      <c r="AE617" s="643"/>
      <c r="AF617" s="677">
        <f t="shared" si="108"/>
        <v>0</v>
      </c>
    </row>
    <row r="618" spans="1:32">
      <c r="A618" s="604">
        <v>608</v>
      </c>
      <c r="B618" s="316" t="s">
        <v>984</v>
      </c>
      <c r="C618" s="316" t="s">
        <v>631</v>
      </c>
      <c r="D618" s="316" t="s">
        <v>1224</v>
      </c>
      <c r="E618" s="589" t="s">
        <v>1749</v>
      </c>
      <c r="F618" s="601">
        <v>164849.44</v>
      </c>
      <c r="G618" s="601">
        <v>412580.73</v>
      </c>
      <c r="H618" s="601">
        <v>816333.62</v>
      </c>
      <c r="I618" s="601">
        <v>1518764.99</v>
      </c>
      <c r="J618" s="601">
        <v>1730785.4</v>
      </c>
      <c r="K618" s="601">
        <v>1440073.66</v>
      </c>
      <c r="L618" s="601">
        <v>1514908.04</v>
      </c>
      <c r="M618" s="601">
        <v>1515377.82</v>
      </c>
      <c r="N618" s="601">
        <v>1372102.68</v>
      </c>
      <c r="O618" s="601">
        <v>1448349.36</v>
      </c>
      <c r="P618" s="601">
        <v>2147306.23</v>
      </c>
      <c r="Q618" s="601">
        <v>2207433.56</v>
      </c>
      <c r="R618" s="601">
        <v>2056561.28</v>
      </c>
      <c r="S618" s="484">
        <f t="shared" si="95"/>
        <v>1436226.7874999999</v>
      </c>
      <c r="T618" s="604"/>
      <c r="U618" s="642"/>
      <c r="V618" s="679"/>
      <c r="W618" s="679">
        <f t="shared" si="112"/>
        <v>1436226.7874999999</v>
      </c>
      <c r="X618" s="702"/>
      <c r="Y618" s="679"/>
      <c r="Z618" s="679"/>
      <c r="AA618" s="642"/>
      <c r="AB618" s="679"/>
      <c r="AC618" s="644">
        <f t="shared" ref="AC618:AC683" si="113">+S618</f>
        <v>1436226.7874999999</v>
      </c>
      <c r="AD618" s="643"/>
      <c r="AE618" s="643"/>
      <c r="AF618" s="677">
        <f t="shared" si="108"/>
        <v>0</v>
      </c>
    </row>
    <row r="619" spans="1:32">
      <c r="A619" s="604">
        <v>609</v>
      </c>
      <c r="B619" s="316" t="s">
        <v>984</v>
      </c>
      <c r="C619" s="316" t="s">
        <v>631</v>
      </c>
      <c r="D619" s="316" t="s">
        <v>1225</v>
      </c>
      <c r="E619" s="589" t="s">
        <v>1750</v>
      </c>
      <c r="F619" s="601">
        <v>-2767726.57</v>
      </c>
      <c r="G619" s="601">
        <v>-303761.21999999997</v>
      </c>
      <c r="H619" s="601">
        <v>-616155.87</v>
      </c>
      <c r="I619" s="601">
        <v>-950886.07</v>
      </c>
      <c r="J619" s="601">
        <v>-1218988.5900000001</v>
      </c>
      <c r="K619" s="601">
        <v>-1396905.06</v>
      </c>
      <c r="L619" s="601">
        <v>-1520877.32</v>
      </c>
      <c r="M619" s="601">
        <v>-1639729.28</v>
      </c>
      <c r="N619" s="601">
        <v>-1743892.29</v>
      </c>
      <c r="O619" s="601">
        <v>-1853754.59</v>
      </c>
      <c r="P619" s="601">
        <v>-2084650.21</v>
      </c>
      <c r="Q619" s="601">
        <v>-2386646.41</v>
      </c>
      <c r="R619" s="601">
        <v>-2759274.39</v>
      </c>
      <c r="S619" s="484">
        <f t="shared" si="95"/>
        <v>-1539978.9491666667</v>
      </c>
      <c r="T619" s="604"/>
      <c r="U619" s="642"/>
      <c r="V619" s="679"/>
      <c r="W619" s="679">
        <f t="shared" si="112"/>
        <v>-1539978.9491666667</v>
      </c>
      <c r="X619" s="702"/>
      <c r="Y619" s="679"/>
      <c r="Z619" s="679"/>
      <c r="AA619" s="642"/>
      <c r="AB619" s="679"/>
      <c r="AC619" s="644">
        <f t="shared" si="113"/>
        <v>-1539978.9491666667</v>
      </c>
      <c r="AD619" s="643"/>
      <c r="AE619" s="643"/>
      <c r="AF619" s="677">
        <f t="shared" si="108"/>
        <v>0</v>
      </c>
    </row>
    <row r="620" spans="1:32">
      <c r="A620" s="604">
        <v>610</v>
      </c>
      <c r="B620" s="316" t="s">
        <v>984</v>
      </c>
      <c r="C620" s="316" t="s">
        <v>631</v>
      </c>
      <c r="D620" s="316" t="s">
        <v>1226</v>
      </c>
      <c r="E620" s="589" t="s">
        <v>1751</v>
      </c>
      <c r="F620" s="601">
        <v>-49982.23</v>
      </c>
      <c r="G620" s="601">
        <v>0</v>
      </c>
      <c r="H620" s="601">
        <v>0</v>
      </c>
      <c r="I620" s="601">
        <v>0</v>
      </c>
      <c r="J620" s="601">
        <v>0</v>
      </c>
      <c r="K620" s="601">
        <v>0</v>
      </c>
      <c r="L620" s="601">
        <v>0</v>
      </c>
      <c r="M620" s="601">
        <v>0</v>
      </c>
      <c r="N620" s="601">
        <v>0</v>
      </c>
      <c r="O620" s="601">
        <v>0</v>
      </c>
      <c r="P620" s="601">
        <v>0</v>
      </c>
      <c r="Q620" s="601">
        <v>0</v>
      </c>
      <c r="R620" s="601">
        <v>0</v>
      </c>
      <c r="S620" s="484">
        <f t="shared" si="95"/>
        <v>-2082.592916666667</v>
      </c>
      <c r="T620" s="604"/>
      <c r="U620" s="642"/>
      <c r="V620" s="679"/>
      <c r="W620" s="679">
        <f t="shared" si="112"/>
        <v>-2082.592916666667</v>
      </c>
      <c r="X620" s="702"/>
      <c r="Y620" s="679"/>
      <c r="Z620" s="679"/>
      <c r="AA620" s="642"/>
      <c r="AB620" s="679"/>
      <c r="AC620" s="644">
        <f t="shared" si="113"/>
        <v>-2082.592916666667</v>
      </c>
      <c r="AD620" s="643"/>
      <c r="AE620" s="643"/>
      <c r="AF620" s="677">
        <f t="shared" si="108"/>
        <v>0</v>
      </c>
    </row>
    <row r="621" spans="1:32">
      <c r="A621" s="604">
        <v>611</v>
      </c>
      <c r="B621" s="316" t="s">
        <v>984</v>
      </c>
      <c r="C621" s="316" t="s">
        <v>631</v>
      </c>
      <c r="D621" s="316" t="s">
        <v>1227</v>
      </c>
      <c r="E621" s="589" t="s">
        <v>1752</v>
      </c>
      <c r="F621" s="601">
        <v>-20625012.760000002</v>
      </c>
      <c r="G621" s="601">
        <v>-2998108.82</v>
      </c>
      <c r="H621" s="601">
        <v>-5844376.1500000004</v>
      </c>
      <c r="I621" s="601">
        <v>-9078513.3800000008</v>
      </c>
      <c r="J621" s="601">
        <v>-11278517.199999999</v>
      </c>
      <c r="K621" s="601">
        <v>-12520643.09</v>
      </c>
      <c r="L621" s="601">
        <v>-13428303.67</v>
      </c>
      <c r="M621" s="601">
        <v>-14181182.210000001</v>
      </c>
      <c r="N621" s="601">
        <v>-14852822.18</v>
      </c>
      <c r="O621" s="601">
        <v>-15499886.27</v>
      </c>
      <c r="P621" s="601">
        <v>-16707611.380000001</v>
      </c>
      <c r="Q621" s="601">
        <v>-18721945.16</v>
      </c>
      <c r="R621" s="601">
        <v>-21730220.710000001</v>
      </c>
      <c r="S621" s="484">
        <f t="shared" si="95"/>
        <v>-13024127.187083334</v>
      </c>
      <c r="T621" s="604"/>
      <c r="U621" s="642"/>
      <c r="V621" s="679"/>
      <c r="W621" s="679">
        <f t="shared" si="112"/>
        <v>-13024127.187083334</v>
      </c>
      <c r="X621" s="702"/>
      <c r="Y621" s="679"/>
      <c r="Z621" s="679"/>
      <c r="AA621" s="642"/>
      <c r="AB621" s="679"/>
      <c r="AC621" s="644">
        <f t="shared" si="113"/>
        <v>-13024127.187083334</v>
      </c>
      <c r="AD621" s="643"/>
      <c r="AE621" s="643"/>
      <c r="AF621" s="677">
        <f t="shared" si="108"/>
        <v>0</v>
      </c>
    </row>
    <row r="622" spans="1:32">
      <c r="A622" s="604">
        <v>612</v>
      </c>
      <c r="B622" s="316" t="s">
        <v>984</v>
      </c>
      <c r="C622" s="316" t="s">
        <v>631</v>
      </c>
      <c r="D622" s="316" t="s">
        <v>1228</v>
      </c>
      <c r="E622" s="589" t="s">
        <v>1753</v>
      </c>
      <c r="F622" s="601">
        <v>340736.39</v>
      </c>
      <c r="G622" s="601">
        <v>150575.98000000001</v>
      </c>
      <c r="H622" s="601">
        <v>428972.95</v>
      </c>
      <c r="I622" s="601">
        <v>794648.35</v>
      </c>
      <c r="J622" s="601">
        <v>911301.65</v>
      </c>
      <c r="K622" s="601">
        <v>788275.79</v>
      </c>
      <c r="L622" s="601">
        <v>795241.41</v>
      </c>
      <c r="M622" s="601">
        <v>813275.91</v>
      </c>
      <c r="N622" s="601">
        <v>716590.19</v>
      </c>
      <c r="O622" s="601">
        <v>764857.29</v>
      </c>
      <c r="P622" s="601">
        <v>1000563.16</v>
      </c>
      <c r="Q622" s="601">
        <v>974203.11</v>
      </c>
      <c r="R622" s="601">
        <v>870919.73</v>
      </c>
      <c r="S622" s="484">
        <f t="shared" si="95"/>
        <v>728694.48750000016</v>
      </c>
      <c r="T622" s="604"/>
      <c r="U622" s="642"/>
      <c r="V622" s="679"/>
      <c r="W622" s="679">
        <f t="shared" si="112"/>
        <v>728694.48750000016</v>
      </c>
      <c r="X622" s="702"/>
      <c r="Y622" s="679"/>
      <c r="Z622" s="679"/>
      <c r="AA622" s="642"/>
      <c r="AB622" s="679"/>
      <c r="AC622" s="644">
        <f t="shared" si="113"/>
        <v>728694.48750000016</v>
      </c>
      <c r="AD622" s="643"/>
      <c r="AE622" s="643"/>
      <c r="AF622" s="677">
        <f t="shared" si="108"/>
        <v>0</v>
      </c>
    </row>
    <row r="623" spans="1:32">
      <c r="A623" s="604">
        <v>613</v>
      </c>
      <c r="B623" s="316" t="s">
        <v>984</v>
      </c>
      <c r="C623" s="316" t="s">
        <v>631</v>
      </c>
      <c r="D623" s="316" t="s">
        <v>1229</v>
      </c>
      <c r="E623" s="589" t="s">
        <v>1754</v>
      </c>
      <c r="F623" s="601">
        <v>-1216.5999999999999</v>
      </c>
      <c r="G623" s="601">
        <v>0</v>
      </c>
      <c r="H623" s="601">
        <v>0</v>
      </c>
      <c r="I623" s="601">
        <v>0</v>
      </c>
      <c r="J623" s="601">
        <v>0</v>
      </c>
      <c r="K623" s="601">
        <v>-36017.35</v>
      </c>
      <c r="L623" s="601">
        <v>-36017.35</v>
      </c>
      <c r="M623" s="601">
        <v>-36017.35</v>
      </c>
      <c r="N623" s="601">
        <v>-36017.35</v>
      </c>
      <c r="O623" s="601">
        <v>-36017.35</v>
      </c>
      <c r="P623" s="601">
        <v>-36017.35</v>
      </c>
      <c r="Q623" s="601">
        <v>-36017.35</v>
      </c>
      <c r="R623" s="601">
        <v>-36017.35</v>
      </c>
      <c r="S623" s="484">
        <f t="shared" si="95"/>
        <v>-22561.535416666666</v>
      </c>
      <c r="T623" s="604"/>
      <c r="U623" s="642"/>
      <c r="V623" s="679"/>
      <c r="W623" s="679">
        <f t="shared" si="112"/>
        <v>-22561.535416666666</v>
      </c>
      <c r="X623" s="702"/>
      <c r="Y623" s="679"/>
      <c r="Z623" s="679"/>
      <c r="AA623" s="642"/>
      <c r="AB623" s="679"/>
      <c r="AC623" s="644">
        <f t="shared" si="113"/>
        <v>-22561.535416666666</v>
      </c>
      <c r="AD623" s="643"/>
      <c r="AE623" s="643"/>
      <c r="AF623" s="677">
        <f t="shared" si="108"/>
        <v>0</v>
      </c>
    </row>
    <row r="624" spans="1:32">
      <c r="A624" s="604">
        <v>614</v>
      </c>
      <c r="B624" s="316" t="s">
        <v>984</v>
      </c>
      <c r="C624" s="316" t="s">
        <v>631</v>
      </c>
      <c r="D624" s="316" t="s">
        <v>1230</v>
      </c>
      <c r="E624" s="589" t="s">
        <v>1755</v>
      </c>
      <c r="F624" s="601">
        <v>-1293851.8600000001</v>
      </c>
      <c r="G624" s="601">
        <v>-152819.1</v>
      </c>
      <c r="H624" s="601">
        <v>-307199.43</v>
      </c>
      <c r="I624" s="601">
        <v>-462008.56</v>
      </c>
      <c r="J624" s="601">
        <v>-596551.94999999995</v>
      </c>
      <c r="K624" s="601">
        <v>-681399.05</v>
      </c>
      <c r="L624" s="601">
        <v>-747637.59</v>
      </c>
      <c r="M624" s="601">
        <v>-801380.03</v>
      </c>
      <c r="N624" s="601">
        <v>-853914.22</v>
      </c>
      <c r="O624" s="601">
        <v>-904037.6</v>
      </c>
      <c r="P624" s="601">
        <v>-959221.54</v>
      </c>
      <c r="Q624" s="601">
        <v>-1063583.5</v>
      </c>
      <c r="R624" s="601">
        <v>-1216974.53</v>
      </c>
      <c r="S624" s="484">
        <f t="shared" si="95"/>
        <v>-732097.14708333323</v>
      </c>
      <c r="T624" s="604"/>
      <c r="U624" s="642"/>
      <c r="V624" s="679"/>
      <c r="W624" s="679">
        <f t="shared" si="112"/>
        <v>-732097.14708333323</v>
      </c>
      <c r="X624" s="702"/>
      <c r="Y624" s="679"/>
      <c r="Z624" s="679"/>
      <c r="AA624" s="642"/>
      <c r="AB624" s="679"/>
      <c r="AC624" s="644">
        <f t="shared" si="113"/>
        <v>-732097.14708333323</v>
      </c>
      <c r="AD624" s="643"/>
      <c r="AE624" s="643"/>
      <c r="AF624" s="677">
        <f t="shared" si="108"/>
        <v>0</v>
      </c>
    </row>
    <row r="625" spans="1:32">
      <c r="A625" s="604">
        <v>615</v>
      </c>
      <c r="B625" s="316" t="s">
        <v>959</v>
      </c>
      <c r="C625" s="316" t="s">
        <v>631</v>
      </c>
      <c r="D625" s="316" t="s">
        <v>1223</v>
      </c>
      <c r="E625" s="589" t="s">
        <v>1748</v>
      </c>
      <c r="F625" s="601">
        <v>-112178476.55</v>
      </c>
      <c r="G625" s="601">
        <v>-15541486.24</v>
      </c>
      <c r="H625" s="601">
        <v>-32136970.350000001</v>
      </c>
      <c r="I625" s="601">
        <v>-49933517.75</v>
      </c>
      <c r="J625" s="601">
        <v>-60396406.18</v>
      </c>
      <c r="K625" s="601">
        <v>-67524724.519999996</v>
      </c>
      <c r="L625" s="601">
        <v>-71884740.939999998</v>
      </c>
      <c r="M625" s="601">
        <v>-75559977.310000002</v>
      </c>
      <c r="N625" s="601">
        <v>-78870238.109999999</v>
      </c>
      <c r="O625" s="601">
        <v>-82107883.25</v>
      </c>
      <c r="P625" s="601">
        <v>-88384702.230000004</v>
      </c>
      <c r="Q625" s="601">
        <v>-99293159.810000002</v>
      </c>
      <c r="R625" s="601">
        <v>-116095325.08</v>
      </c>
      <c r="S625" s="484">
        <f t="shared" si="95"/>
        <v>-69647558.95875001</v>
      </c>
      <c r="T625" s="604"/>
      <c r="U625" s="642"/>
      <c r="V625" s="679"/>
      <c r="W625" s="679">
        <f t="shared" si="112"/>
        <v>-69647558.95875001</v>
      </c>
      <c r="X625" s="702"/>
      <c r="Y625" s="679"/>
      <c r="Z625" s="679"/>
      <c r="AA625" s="642"/>
      <c r="AB625" s="679"/>
      <c r="AC625" s="644">
        <f t="shared" si="113"/>
        <v>-69647558.95875001</v>
      </c>
      <c r="AD625" s="643"/>
      <c r="AE625" s="643"/>
      <c r="AF625" s="677">
        <f t="shared" si="108"/>
        <v>0</v>
      </c>
    </row>
    <row r="626" spans="1:32">
      <c r="A626" s="604">
        <v>616</v>
      </c>
      <c r="B626" s="316" t="s">
        <v>959</v>
      </c>
      <c r="C626" s="316" t="s">
        <v>631</v>
      </c>
      <c r="D626" s="316" t="s">
        <v>1224</v>
      </c>
      <c r="E626" s="589" t="s">
        <v>1769</v>
      </c>
      <c r="F626" s="601">
        <v>-1439586.55</v>
      </c>
      <c r="G626" s="601">
        <v>-506033.06</v>
      </c>
      <c r="H626" s="601">
        <v>1835042.22</v>
      </c>
      <c r="I626" s="601">
        <v>2369542.04</v>
      </c>
      <c r="J626" s="601">
        <v>1868319.35</v>
      </c>
      <c r="K626" s="601">
        <v>1872488.19</v>
      </c>
      <c r="L626" s="601">
        <v>1767546.44</v>
      </c>
      <c r="M626" s="601">
        <v>1807230.59</v>
      </c>
      <c r="N626" s="601">
        <v>1634330.51</v>
      </c>
      <c r="O626" s="601">
        <v>1811732.36</v>
      </c>
      <c r="P626" s="601">
        <v>2334200.54</v>
      </c>
      <c r="Q626" s="601">
        <v>2010314.74</v>
      </c>
      <c r="R626" s="601">
        <v>1197917.97</v>
      </c>
      <c r="S626" s="484">
        <f t="shared" si="95"/>
        <v>1556989.9691666665</v>
      </c>
      <c r="T626" s="604"/>
      <c r="U626" s="642"/>
      <c r="V626" s="679"/>
      <c r="W626" s="679">
        <f t="shared" si="112"/>
        <v>1556989.9691666665</v>
      </c>
      <c r="X626" s="702"/>
      <c r="Y626" s="679"/>
      <c r="Z626" s="679"/>
      <c r="AA626" s="642"/>
      <c r="AB626" s="679"/>
      <c r="AC626" s="644">
        <f t="shared" si="113"/>
        <v>1556989.9691666665</v>
      </c>
      <c r="AD626" s="643"/>
      <c r="AE626" s="643"/>
      <c r="AF626" s="677">
        <f t="shared" si="108"/>
        <v>0</v>
      </c>
    </row>
    <row r="627" spans="1:32">
      <c r="A627" s="604">
        <v>617</v>
      </c>
      <c r="B627" s="316" t="s">
        <v>959</v>
      </c>
      <c r="C627" s="316" t="s">
        <v>631</v>
      </c>
      <c r="D627" s="316" t="s">
        <v>1414</v>
      </c>
      <c r="E627" s="589" t="s">
        <v>1770</v>
      </c>
      <c r="F627" s="601">
        <v>-2144806.7000000002</v>
      </c>
      <c r="G627" s="601">
        <v>-534993.67000000004</v>
      </c>
      <c r="H627" s="601">
        <v>-1108567.76</v>
      </c>
      <c r="I627" s="601">
        <v>-1725655.1</v>
      </c>
      <c r="J627" s="601">
        <v>-2063499.86</v>
      </c>
      <c r="K627" s="601">
        <v>-2267619.12</v>
      </c>
      <c r="L627" s="601">
        <v>-2379157.91</v>
      </c>
      <c r="M627" s="601">
        <v>-2467884.13</v>
      </c>
      <c r="N627" s="601">
        <v>-2544422.75</v>
      </c>
      <c r="O627" s="601">
        <v>-2618677.42</v>
      </c>
      <c r="P627" s="601">
        <v>-2794060.89</v>
      </c>
      <c r="Q627" s="601">
        <v>-3109450.8</v>
      </c>
      <c r="R627" s="601">
        <v>-3574036.83</v>
      </c>
      <c r="S627" s="484">
        <f t="shared" si="95"/>
        <v>-2206117.5979166669</v>
      </c>
      <c r="T627" s="604"/>
      <c r="U627" s="642"/>
      <c r="V627" s="679"/>
      <c r="W627" s="679">
        <f t="shared" si="112"/>
        <v>-2206117.5979166669</v>
      </c>
      <c r="X627" s="702"/>
      <c r="Y627" s="679"/>
      <c r="Z627" s="679"/>
      <c r="AA627" s="642"/>
      <c r="AB627" s="679"/>
      <c r="AC627" s="644">
        <f t="shared" si="113"/>
        <v>-2206117.5979166669</v>
      </c>
      <c r="AD627" s="643"/>
      <c r="AE627" s="643"/>
      <c r="AF627" s="677">
        <f t="shared" si="108"/>
        <v>0</v>
      </c>
    </row>
    <row r="628" spans="1:32">
      <c r="A628" s="604">
        <v>618</v>
      </c>
      <c r="B628" s="316" t="s">
        <v>959</v>
      </c>
      <c r="C628" s="316" t="s">
        <v>631</v>
      </c>
      <c r="D628" s="316" t="s">
        <v>1225</v>
      </c>
      <c r="E628" s="589" t="s">
        <v>1750</v>
      </c>
      <c r="F628" s="601">
        <v>-10628565.26</v>
      </c>
      <c r="G628" s="601">
        <v>-1081894.3999999999</v>
      </c>
      <c r="H628" s="601">
        <v>-2267572.48</v>
      </c>
      <c r="I628" s="601">
        <v>-3572928.08</v>
      </c>
      <c r="J628" s="601">
        <v>-4628405.24</v>
      </c>
      <c r="K628" s="601">
        <v>-5366548.62</v>
      </c>
      <c r="L628" s="601">
        <v>-5964647.4900000002</v>
      </c>
      <c r="M628" s="601">
        <v>-6555623.9800000004</v>
      </c>
      <c r="N628" s="601">
        <v>-7188459.2300000004</v>
      </c>
      <c r="O628" s="601">
        <v>-7853023.2599999998</v>
      </c>
      <c r="P628" s="601">
        <v>-8992963.1699999999</v>
      </c>
      <c r="Q628" s="601">
        <v>-10154584.33</v>
      </c>
      <c r="R628" s="601">
        <v>-11495619.82</v>
      </c>
      <c r="S628" s="484">
        <f t="shared" si="95"/>
        <v>-6224061.9016666664</v>
      </c>
      <c r="T628" s="604"/>
      <c r="U628" s="642"/>
      <c r="V628" s="679"/>
      <c r="W628" s="679">
        <f t="shared" si="112"/>
        <v>-6224061.9016666664</v>
      </c>
      <c r="X628" s="702"/>
      <c r="Y628" s="679"/>
      <c r="Z628" s="679"/>
      <c r="AA628" s="642"/>
      <c r="AB628" s="679"/>
      <c r="AC628" s="644">
        <f t="shared" si="113"/>
        <v>-6224061.9016666664</v>
      </c>
      <c r="AD628" s="643"/>
      <c r="AE628" s="643"/>
      <c r="AF628" s="677">
        <f t="shared" si="108"/>
        <v>0</v>
      </c>
    </row>
    <row r="629" spans="1:32">
      <c r="A629" s="604">
        <v>619</v>
      </c>
      <c r="B629" s="316" t="s">
        <v>959</v>
      </c>
      <c r="C629" s="316" t="s">
        <v>631</v>
      </c>
      <c r="D629" s="316" t="s">
        <v>1231</v>
      </c>
      <c r="E629" s="589" t="s">
        <v>1771</v>
      </c>
      <c r="F629" s="601">
        <v>247687.63</v>
      </c>
      <c r="G629" s="601">
        <v>-11142.35</v>
      </c>
      <c r="H629" s="601">
        <v>42139.87</v>
      </c>
      <c r="I629" s="601">
        <v>130678.66</v>
      </c>
      <c r="J629" s="601">
        <v>213184</v>
      </c>
      <c r="K629" s="601">
        <v>254248.99</v>
      </c>
      <c r="L629" s="601">
        <v>271105.64</v>
      </c>
      <c r="M629" s="601">
        <v>304993.3</v>
      </c>
      <c r="N629" s="601">
        <v>338004.12</v>
      </c>
      <c r="O629" s="601">
        <v>359234.39</v>
      </c>
      <c r="P629" s="601">
        <v>410269.92</v>
      </c>
      <c r="Q629" s="601">
        <v>469226.13</v>
      </c>
      <c r="R629" s="601">
        <v>489197.46</v>
      </c>
      <c r="S629" s="484">
        <f t="shared" si="95"/>
        <v>262532.10125000001</v>
      </c>
      <c r="T629" s="604"/>
      <c r="U629" s="642"/>
      <c r="V629" s="679"/>
      <c r="W629" s="679">
        <f t="shared" si="112"/>
        <v>262532.10125000001</v>
      </c>
      <c r="X629" s="702"/>
      <c r="Y629" s="679"/>
      <c r="Z629" s="679"/>
      <c r="AA629" s="642"/>
      <c r="AB629" s="679"/>
      <c r="AC629" s="644">
        <f t="shared" si="113"/>
        <v>262532.10125000001</v>
      </c>
      <c r="AD629" s="643"/>
      <c r="AE629" s="643"/>
      <c r="AF629" s="677">
        <f t="shared" si="108"/>
        <v>0</v>
      </c>
    </row>
    <row r="630" spans="1:32">
      <c r="A630" s="604">
        <v>620</v>
      </c>
      <c r="B630" s="316" t="s">
        <v>959</v>
      </c>
      <c r="C630" s="316" t="s">
        <v>631</v>
      </c>
      <c r="D630" s="316" t="s">
        <v>1415</v>
      </c>
      <c r="E630" s="589" t="s">
        <v>1772</v>
      </c>
      <c r="F630" s="601">
        <v>-241595.26</v>
      </c>
      <c r="G630" s="601">
        <v>-48598.97</v>
      </c>
      <c r="H630" s="601">
        <v>-102084.88</v>
      </c>
      <c r="I630" s="601">
        <v>-160996.44</v>
      </c>
      <c r="J630" s="601">
        <v>-206998.02</v>
      </c>
      <c r="K630" s="601">
        <v>-236122.8</v>
      </c>
      <c r="L630" s="601">
        <v>-259644.24</v>
      </c>
      <c r="M630" s="601">
        <v>-283118.45</v>
      </c>
      <c r="N630" s="601">
        <v>-308323.61</v>
      </c>
      <c r="O630" s="601">
        <v>-334833.71999999997</v>
      </c>
      <c r="P630" s="601">
        <v>-381311.17</v>
      </c>
      <c r="Q630" s="601">
        <v>-425847.36</v>
      </c>
      <c r="R630" s="601">
        <v>-473018.25</v>
      </c>
      <c r="S630" s="484">
        <f t="shared" si="95"/>
        <v>-258765.53458333333</v>
      </c>
      <c r="T630" s="604"/>
      <c r="U630" s="642"/>
      <c r="V630" s="679"/>
      <c r="W630" s="679">
        <f t="shared" si="112"/>
        <v>-258765.53458333333</v>
      </c>
      <c r="X630" s="702"/>
      <c r="Y630" s="679"/>
      <c r="Z630" s="679"/>
      <c r="AA630" s="642"/>
      <c r="AB630" s="679"/>
      <c r="AC630" s="644">
        <f t="shared" si="113"/>
        <v>-258765.53458333333</v>
      </c>
      <c r="AD630" s="643"/>
      <c r="AE630" s="643"/>
      <c r="AF630" s="677">
        <f t="shared" si="108"/>
        <v>0</v>
      </c>
    </row>
    <row r="631" spans="1:32">
      <c r="A631" s="604">
        <v>621</v>
      </c>
      <c r="B631" s="316" t="s">
        <v>959</v>
      </c>
      <c r="C631" s="316" t="s">
        <v>631</v>
      </c>
      <c r="D631" s="316" t="s">
        <v>1226</v>
      </c>
      <c r="E631" s="589" t="s">
        <v>1751</v>
      </c>
      <c r="F631" s="601">
        <v>-29548.43</v>
      </c>
      <c r="G631" s="601">
        <v>0</v>
      </c>
      <c r="H631" s="601">
        <v>0</v>
      </c>
      <c r="I631" s="601">
        <v>0</v>
      </c>
      <c r="J631" s="601">
        <v>0</v>
      </c>
      <c r="K631" s="601">
        <v>0</v>
      </c>
      <c r="L631" s="601">
        <v>0</v>
      </c>
      <c r="M631" s="601">
        <v>0</v>
      </c>
      <c r="N631" s="601">
        <v>0</v>
      </c>
      <c r="O631" s="601">
        <v>0</v>
      </c>
      <c r="P631" s="601">
        <v>0</v>
      </c>
      <c r="Q631" s="601">
        <v>0</v>
      </c>
      <c r="R631" s="601">
        <v>0</v>
      </c>
      <c r="S631" s="484">
        <f t="shared" si="95"/>
        <v>-1231.1845833333334</v>
      </c>
      <c r="T631" s="604"/>
      <c r="U631" s="642"/>
      <c r="V631" s="679"/>
      <c r="W631" s="679">
        <f t="shared" si="112"/>
        <v>-1231.1845833333334</v>
      </c>
      <c r="X631" s="702"/>
      <c r="Y631" s="679"/>
      <c r="Z631" s="679"/>
      <c r="AA631" s="642"/>
      <c r="AB631" s="679"/>
      <c r="AC631" s="644">
        <f t="shared" si="113"/>
        <v>-1231.1845833333334</v>
      </c>
      <c r="AD631" s="643"/>
      <c r="AE631" s="643"/>
      <c r="AF631" s="677">
        <f t="shared" si="108"/>
        <v>0</v>
      </c>
    </row>
    <row r="632" spans="1:32">
      <c r="A632" s="604">
        <v>622</v>
      </c>
      <c r="B632" s="316" t="s">
        <v>959</v>
      </c>
      <c r="C632" s="316" t="s">
        <v>631</v>
      </c>
      <c r="D632" s="316" t="s">
        <v>1227</v>
      </c>
      <c r="E632" s="589" t="s">
        <v>1752</v>
      </c>
      <c r="F632" s="601">
        <v>-79180712.310000002</v>
      </c>
      <c r="G632" s="601">
        <v>-10499037.24</v>
      </c>
      <c r="H632" s="601">
        <v>-21640694.600000001</v>
      </c>
      <c r="I632" s="601">
        <v>-34241316.68</v>
      </c>
      <c r="J632" s="601">
        <v>-41849021.350000001</v>
      </c>
      <c r="K632" s="601">
        <v>-46892253.909999996</v>
      </c>
      <c r="L632" s="601">
        <v>-50312050.200000003</v>
      </c>
      <c r="M632" s="601">
        <v>-53358566.310000002</v>
      </c>
      <c r="N632" s="601">
        <v>-56188948</v>
      </c>
      <c r="O632" s="601">
        <v>-58893899.530000001</v>
      </c>
      <c r="P632" s="601">
        <v>-63590306.25</v>
      </c>
      <c r="Q632" s="601">
        <v>-71795380.379999995</v>
      </c>
      <c r="R632" s="601">
        <v>-84231132.900000006</v>
      </c>
      <c r="S632" s="484">
        <f t="shared" si="95"/>
        <v>-49247283.087916672</v>
      </c>
      <c r="T632" s="604"/>
      <c r="U632" s="642"/>
      <c r="V632" s="679"/>
      <c r="W632" s="679">
        <f t="shared" si="112"/>
        <v>-49247283.087916672</v>
      </c>
      <c r="X632" s="702"/>
      <c r="Y632" s="679"/>
      <c r="Z632" s="679"/>
      <c r="AA632" s="642"/>
      <c r="AB632" s="679"/>
      <c r="AC632" s="644">
        <f t="shared" si="113"/>
        <v>-49247283.087916672</v>
      </c>
      <c r="AD632" s="643"/>
      <c r="AE632" s="643"/>
      <c r="AF632" s="677">
        <f t="shared" si="108"/>
        <v>0</v>
      </c>
    </row>
    <row r="633" spans="1:32">
      <c r="A633" s="604">
        <v>623</v>
      </c>
      <c r="B633" s="316" t="s">
        <v>959</v>
      </c>
      <c r="C633" s="316" t="s">
        <v>631</v>
      </c>
      <c r="D633" s="316" t="s">
        <v>1228</v>
      </c>
      <c r="E633" s="589" t="s">
        <v>1773</v>
      </c>
      <c r="F633" s="601">
        <v>188923.97</v>
      </c>
      <c r="G633" s="601">
        <v>-320152.02</v>
      </c>
      <c r="H633" s="601">
        <v>1037055.3</v>
      </c>
      <c r="I633" s="601">
        <v>1816330.28</v>
      </c>
      <c r="J633" s="601">
        <v>1826263.37</v>
      </c>
      <c r="K633" s="601">
        <v>1837282.8</v>
      </c>
      <c r="L633" s="601">
        <v>1883799.34</v>
      </c>
      <c r="M633" s="601">
        <v>1981656.98</v>
      </c>
      <c r="N633" s="601">
        <v>1850432.57</v>
      </c>
      <c r="O633" s="601">
        <v>1996705.13</v>
      </c>
      <c r="P633" s="601">
        <v>2378792.92</v>
      </c>
      <c r="Q633" s="601">
        <v>2798208.6</v>
      </c>
      <c r="R633" s="601">
        <v>2558275.73</v>
      </c>
      <c r="S633" s="484">
        <f t="shared" si="95"/>
        <v>1704997.9266666668</v>
      </c>
      <c r="T633" s="604"/>
      <c r="U633" s="642"/>
      <c r="V633" s="679"/>
      <c r="W633" s="679">
        <f t="shared" si="112"/>
        <v>1704997.9266666668</v>
      </c>
      <c r="X633" s="702"/>
      <c r="Y633" s="679"/>
      <c r="Z633" s="679"/>
      <c r="AA633" s="642"/>
      <c r="AB633" s="679"/>
      <c r="AC633" s="644">
        <f t="shared" si="113"/>
        <v>1704997.9266666668</v>
      </c>
      <c r="AD633" s="643"/>
      <c r="AE633" s="643"/>
      <c r="AF633" s="677">
        <f t="shared" si="108"/>
        <v>0</v>
      </c>
    </row>
    <row r="634" spans="1:32">
      <c r="A634" s="604">
        <v>624</v>
      </c>
      <c r="B634" s="316" t="s">
        <v>959</v>
      </c>
      <c r="C634" s="316" t="s">
        <v>631</v>
      </c>
      <c r="D634" s="316" t="s">
        <v>1416</v>
      </c>
      <c r="E634" s="589" t="s">
        <v>1774</v>
      </c>
      <c r="F634" s="601">
        <v>-1689706.2</v>
      </c>
      <c r="G634" s="601">
        <v>-402091.06</v>
      </c>
      <c r="H634" s="601">
        <v>-829567.37</v>
      </c>
      <c r="I634" s="601">
        <v>-1314201.75</v>
      </c>
      <c r="J634" s="601">
        <v>-1593120.94</v>
      </c>
      <c r="K634" s="601">
        <v>-1760151.94</v>
      </c>
      <c r="L634" s="601">
        <v>-1868839.88</v>
      </c>
      <c r="M634" s="601">
        <v>-1964165.18</v>
      </c>
      <c r="N634" s="601">
        <v>-2052119.74</v>
      </c>
      <c r="O634" s="601">
        <v>-2135304.36</v>
      </c>
      <c r="P634" s="601">
        <v>-2287736.65</v>
      </c>
      <c r="Q634" s="601">
        <v>-2567636.0299999998</v>
      </c>
      <c r="R634" s="601">
        <v>-2955922.48</v>
      </c>
      <c r="S634" s="484">
        <f t="shared" si="95"/>
        <v>-1758145.7699999998</v>
      </c>
      <c r="T634" s="604"/>
      <c r="U634" s="642"/>
      <c r="V634" s="679"/>
      <c r="W634" s="679">
        <f t="shared" si="112"/>
        <v>-1758145.7699999998</v>
      </c>
      <c r="X634" s="702"/>
      <c r="Y634" s="679"/>
      <c r="Z634" s="679"/>
      <c r="AA634" s="642"/>
      <c r="AB634" s="679"/>
      <c r="AC634" s="644">
        <f t="shared" si="113"/>
        <v>-1758145.7699999998</v>
      </c>
      <c r="AD634" s="643"/>
      <c r="AE634" s="643"/>
      <c r="AF634" s="677">
        <f t="shared" si="108"/>
        <v>0</v>
      </c>
    </row>
    <row r="635" spans="1:32">
      <c r="A635" s="604">
        <v>625</v>
      </c>
      <c r="B635" s="316" t="s">
        <v>959</v>
      </c>
      <c r="C635" s="316" t="s">
        <v>631</v>
      </c>
      <c r="D635" s="316" t="s">
        <v>1229</v>
      </c>
      <c r="E635" s="589" t="s">
        <v>1754</v>
      </c>
      <c r="F635" s="601">
        <v>-54452.09</v>
      </c>
      <c r="G635" s="601">
        <v>-3344.32</v>
      </c>
      <c r="H635" s="601">
        <v>-7503.29</v>
      </c>
      <c r="I635" s="601">
        <v>-10068.129999999999</v>
      </c>
      <c r="J635" s="601">
        <v>-10068.129999999999</v>
      </c>
      <c r="K635" s="601">
        <v>-10068.129999999999</v>
      </c>
      <c r="L635" s="601">
        <v>-12828.35</v>
      </c>
      <c r="M635" s="601">
        <v>-12828.35</v>
      </c>
      <c r="N635" s="601">
        <v>-18661.25</v>
      </c>
      <c r="O635" s="601">
        <v>-18661.25</v>
      </c>
      <c r="P635" s="601">
        <v>-47642.78</v>
      </c>
      <c r="Q635" s="601">
        <v>-47642.78</v>
      </c>
      <c r="R635" s="601">
        <v>-51429.03</v>
      </c>
      <c r="S635" s="484">
        <f t="shared" si="95"/>
        <v>-21021.443333333333</v>
      </c>
      <c r="T635" s="604"/>
      <c r="U635" s="642"/>
      <c r="V635" s="679"/>
      <c r="W635" s="679">
        <f t="shared" si="112"/>
        <v>-21021.443333333333</v>
      </c>
      <c r="X635" s="702"/>
      <c r="Y635" s="679"/>
      <c r="Z635" s="679"/>
      <c r="AA635" s="642"/>
      <c r="AB635" s="679"/>
      <c r="AC635" s="644">
        <f t="shared" si="113"/>
        <v>-21021.443333333333</v>
      </c>
      <c r="AD635" s="643"/>
      <c r="AE635" s="643"/>
      <c r="AF635" s="677">
        <f t="shared" si="108"/>
        <v>0</v>
      </c>
    </row>
    <row r="636" spans="1:32">
      <c r="A636" s="604">
        <v>626</v>
      </c>
      <c r="B636" s="316" t="s">
        <v>959</v>
      </c>
      <c r="C636" s="316" t="s">
        <v>631</v>
      </c>
      <c r="D636" s="316" t="s">
        <v>1232</v>
      </c>
      <c r="E636" s="589" t="s">
        <v>1775</v>
      </c>
      <c r="F636" s="601">
        <v>-2345.14</v>
      </c>
      <c r="G636" s="601">
        <v>-107.98</v>
      </c>
      <c r="H636" s="601">
        <v>-172.24</v>
      </c>
      <c r="I636" s="601">
        <v>-232.24</v>
      </c>
      <c r="J636" s="601">
        <v>-291.83</v>
      </c>
      <c r="K636" s="601">
        <v>-438.9</v>
      </c>
      <c r="L636" s="601">
        <v>-602.17999999999995</v>
      </c>
      <c r="M636" s="601">
        <v>-661.66</v>
      </c>
      <c r="N636" s="601">
        <v>-833.15</v>
      </c>
      <c r="O636" s="601">
        <v>-891.83</v>
      </c>
      <c r="P636" s="601">
        <v>-1231.9100000000001</v>
      </c>
      <c r="Q636" s="601">
        <v>-1511.6</v>
      </c>
      <c r="R636" s="601">
        <v>-1933.11</v>
      </c>
      <c r="S636" s="484">
        <f t="shared" si="95"/>
        <v>-759.55375000000004</v>
      </c>
      <c r="T636" s="604"/>
      <c r="U636" s="642"/>
      <c r="V636" s="679"/>
      <c r="W636" s="679">
        <f t="shared" si="112"/>
        <v>-759.55375000000004</v>
      </c>
      <c r="X636" s="702"/>
      <c r="Y636" s="679"/>
      <c r="Z636" s="679"/>
      <c r="AA636" s="642"/>
      <c r="AB636" s="679"/>
      <c r="AC636" s="644">
        <f t="shared" si="113"/>
        <v>-759.55375000000004</v>
      </c>
      <c r="AD636" s="643"/>
      <c r="AE636" s="643"/>
      <c r="AF636" s="677">
        <f t="shared" si="108"/>
        <v>0</v>
      </c>
    </row>
    <row r="637" spans="1:32">
      <c r="A637" s="604">
        <v>627</v>
      </c>
      <c r="B637" s="316" t="s">
        <v>959</v>
      </c>
      <c r="C637" s="316" t="s">
        <v>631</v>
      </c>
      <c r="D637" s="316" t="s">
        <v>1233</v>
      </c>
      <c r="E637" s="589" t="s">
        <v>1776</v>
      </c>
      <c r="F637" s="601">
        <v>-3467.93</v>
      </c>
      <c r="G637" s="601">
        <v>-496.98</v>
      </c>
      <c r="H637" s="601">
        <v>-920.1</v>
      </c>
      <c r="I637" s="601">
        <v>-1318</v>
      </c>
      <c r="J637" s="601">
        <v>-1584.26</v>
      </c>
      <c r="K637" s="601">
        <v>-1767.52</v>
      </c>
      <c r="L637" s="601">
        <v>-1957.05</v>
      </c>
      <c r="M637" s="601">
        <v>-2080.4499999999998</v>
      </c>
      <c r="N637" s="601">
        <v>-2241.88</v>
      </c>
      <c r="O637" s="601">
        <v>-2378.21</v>
      </c>
      <c r="P637" s="601">
        <v>-2752.26</v>
      </c>
      <c r="Q637" s="601">
        <v>-2972.64</v>
      </c>
      <c r="R637" s="601">
        <v>-3356.48</v>
      </c>
      <c r="S637" s="484">
        <f t="shared" si="95"/>
        <v>-1990.1295833333334</v>
      </c>
      <c r="T637" s="604"/>
      <c r="U637" s="642"/>
      <c r="V637" s="679"/>
      <c r="W637" s="679">
        <f t="shared" si="112"/>
        <v>-1990.1295833333334</v>
      </c>
      <c r="X637" s="702"/>
      <c r="Y637" s="679"/>
      <c r="Z637" s="679"/>
      <c r="AA637" s="642"/>
      <c r="AB637" s="679"/>
      <c r="AC637" s="644">
        <f t="shared" si="113"/>
        <v>-1990.1295833333334</v>
      </c>
      <c r="AD637" s="643"/>
      <c r="AE637" s="643"/>
      <c r="AF637" s="677">
        <f t="shared" si="108"/>
        <v>0</v>
      </c>
    </row>
    <row r="638" spans="1:32">
      <c r="A638" s="604">
        <v>628</v>
      </c>
      <c r="B638" s="604" t="s">
        <v>959</v>
      </c>
      <c r="C638" s="316" t="s">
        <v>631</v>
      </c>
      <c r="D638" s="316" t="s">
        <v>1417</v>
      </c>
      <c r="E638" s="589" t="s">
        <v>1777</v>
      </c>
      <c r="F638" s="601">
        <v>-35.46</v>
      </c>
      <c r="G638" s="601">
        <v>-2.1800000000000002</v>
      </c>
      <c r="H638" s="601">
        <v>-2.37</v>
      </c>
      <c r="I638" s="601">
        <v>-2.37</v>
      </c>
      <c r="J638" s="601">
        <v>-2.37</v>
      </c>
      <c r="K638" s="601">
        <v>-5.9</v>
      </c>
      <c r="L638" s="601">
        <v>-10.06</v>
      </c>
      <c r="M638" s="601">
        <v>-10.06</v>
      </c>
      <c r="N638" s="601">
        <v>-14.55</v>
      </c>
      <c r="O638" s="601">
        <v>-14.55</v>
      </c>
      <c r="P638" s="601">
        <v>-25.87</v>
      </c>
      <c r="Q638" s="601">
        <v>-34.6</v>
      </c>
      <c r="R638" s="601">
        <v>-47.51</v>
      </c>
      <c r="S638" s="484">
        <f t="shared" si="95"/>
        <v>-13.863750000000001</v>
      </c>
      <c r="T638" s="604"/>
      <c r="U638" s="642"/>
      <c r="V638" s="679"/>
      <c r="W638" s="679">
        <f t="shared" si="112"/>
        <v>-13.863750000000001</v>
      </c>
      <c r="X638" s="702"/>
      <c r="Y638" s="679"/>
      <c r="Z638" s="679"/>
      <c r="AA638" s="642"/>
      <c r="AB638" s="679"/>
      <c r="AC638" s="644">
        <f t="shared" si="113"/>
        <v>-13.863750000000001</v>
      </c>
      <c r="AD638" s="643"/>
      <c r="AE638" s="643"/>
      <c r="AF638" s="677">
        <f t="shared" si="108"/>
        <v>0</v>
      </c>
    </row>
    <row r="639" spans="1:32">
      <c r="A639" s="604">
        <v>629</v>
      </c>
      <c r="B639" s="604" t="s">
        <v>959</v>
      </c>
      <c r="C639" s="316" t="s">
        <v>631</v>
      </c>
      <c r="D639" s="316" t="s">
        <v>1234</v>
      </c>
      <c r="E639" s="589" t="s">
        <v>1778</v>
      </c>
      <c r="F639" s="601">
        <v>-3266.14</v>
      </c>
      <c r="G639" s="601">
        <v>0</v>
      </c>
      <c r="H639" s="601">
        <v>0</v>
      </c>
      <c r="I639" s="601">
        <v>0</v>
      </c>
      <c r="J639" s="601">
        <v>0</v>
      </c>
      <c r="K639" s="601">
        <v>0</v>
      </c>
      <c r="L639" s="601">
        <v>0</v>
      </c>
      <c r="M639" s="601">
        <v>0</v>
      </c>
      <c r="N639" s="601">
        <v>0</v>
      </c>
      <c r="O639" s="601">
        <v>0</v>
      </c>
      <c r="P639" s="601">
        <v>0</v>
      </c>
      <c r="Q639" s="601">
        <v>0</v>
      </c>
      <c r="R639" s="601">
        <v>0</v>
      </c>
      <c r="S639" s="484">
        <f t="shared" si="95"/>
        <v>-136.08916666666667</v>
      </c>
      <c r="T639" s="604"/>
      <c r="U639" s="642"/>
      <c r="V639" s="679"/>
      <c r="W639" s="679">
        <f t="shared" si="112"/>
        <v>-136.08916666666667</v>
      </c>
      <c r="X639" s="702"/>
      <c r="Y639" s="679"/>
      <c r="Z639" s="679"/>
      <c r="AA639" s="642"/>
      <c r="AB639" s="679"/>
      <c r="AC639" s="644">
        <f t="shared" si="113"/>
        <v>-136.08916666666667</v>
      </c>
      <c r="AD639" s="643"/>
      <c r="AE639" s="643"/>
      <c r="AF639" s="677">
        <f t="shared" si="108"/>
        <v>0</v>
      </c>
    </row>
    <row r="640" spans="1:32">
      <c r="A640" s="604">
        <v>630</v>
      </c>
      <c r="B640" s="604" t="s">
        <v>959</v>
      </c>
      <c r="C640" s="316" t="s">
        <v>631</v>
      </c>
      <c r="D640" s="316" t="s">
        <v>1230</v>
      </c>
      <c r="E640" s="589" t="s">
        <v>1755</v>
      </c>
      <c r="F640" s="601">
        <v>-1213225.9099999999</v>
      </c>
      <c r="G640" s="601">
        <v>-124207.65</v>
      </c>
      <c r="H640" s="601">
        <v>-247565.82</v>
      </c>
      <c r="I640" s="601">
        <v>-376285.15</v>
      </c>
      <c r="J640" s="601">
        <v>-495128.44</v>
      </c>
      <c r="K640" s="601">
        <v>-602311.25</v>
      </c>
      <c r="L640" s="601">
        <v>-682926.34</v>
      </c>
      <c r="M640" s="601">
        <v>-746372.73</v>
      </c>
      <c r="N640" s="601">
        <v>-816340.67</v>
      </c>
      <c r="O640" s="601">
        <v>-870684.71</v>
      </c>
      <c r="P640" s="601">
        <v>-933734.32</v>
      </c>
      <c r="Q640" s="601">
        <v>-1061766.92</v>
      </c>
      <c r="R640" s="601">
        <v>-1202440.45</v>
      </c>
      <c r="S640" s="484">
        <f t="shared" si="95"/>
        <v>-680429.76500000001</v>
      </c>
      <c r="T640" s="604"/>
      <c r="U640" s="642"/>
      <c r="V640" s="679"/>
      <c r="W640" s="679">
        <f t="shared" si="112"/>
        <v>-680429.76500000001</v>
      </c>
      <c r="X640" s="702"/>
      <c r="Y640" s="679"/>
      <c r="Z640" s="679"/>
      <c r="AA640" s="642"/>
      <c r="AB640" s="679"/>
      <c r="AC640" s="644">
        <f t="shared" si="113"/>
        <v>-680429.76500000001</v>
      </c>
      <c r="AD640" s="643"/>
      <c r="AE640" s="643"/>
      <c r="AF640" s="677">
        <f t="shared" si="108"/>
        <v>0</v>
      </c>
    </row>
    <row r="641" spans="1:32">
      <c r="A641" s="604">
        <v>631</v>
      </c>
      <c r="B641" s="316" t="s">
        <v>959</v>
      </c>
      <c r="C641" s="316" t="s">
        <v>631</v>
      </c>
      <c r="D641" s="316" t="s">
        <v>1235</v>
      </c>
      <c r="E641" s="589" t="s">
        <v>1779</v>
      </c>
      <c r="F641" s="601">
        <v>-37768.239999999998</v>
      </c>
      <c r="G641" s="601">
        <v>-6134.82</v>
      </c>
      <c r="H641" s="601">
        <v>-12012.5</v>
      </c>
      <c r="I641" s="601">
        <v>-13324.49</v>
      </c>
      <c r="J641" s="601">
        <v>-16701.689999999999</v>
      </c>
      <c r="K641" s="601">
        <v>-18129.04</v>
      </c>
      <c r="L641" s="601">
        <v>-19178.830000000002</v>
      </c>
      <c r="M641" s="601">
        <v>-18400.28</v>
      </c>
      <c r="N641" s="601">
        <v>-20825.009999999998</v>
      </c>
      <c r="O641" s="601">
        <v>-19444.53</v>
      </c>
      <c r="P641" s="601">
        <v>-36753.32</v>
      </c>
      <c r="Q641" s="601">
        <v>-18014.23</v>
      </c>
      <c r="R641" s="601">
        <v>-20059.57</v>
      </c>
      <c r="S641" s="484">
        <f t="shared" si="95"/>
        <v>-18986.053750000003</v>
      </c>
      <c r="T641" s="604"/>
      <c r="U641" s="642"/>
      <c r="V641" s="679"/>
      <c r="W641" s="679">
        <f t="shared" si="112"/>
        <v>-18986.053750000003</v>
      </c>
      <c r="X641" s="702"/>
      <c r="Y641" s="679"/>
      <c r="Z641" s="679"/>
      <c r="AA641" s="642"/>
      <c r="AB641" s="679"/>
      <c r="AC641" s="644">
        <f t="shared" si="113"/>
        <v>-18986.053750000003</v>
      </c>
      <c r="AD641" s="643"/>
      <c r="AE641" s="643"/>
      <c r="AF641" s="677">
        <f t="shared" si="108"/>
        <v>0</v>
      </c>
    </row>
    <row r="642" spans="1:32">
      <c r="A642" s="604">
        <v>632</v>
      </c>
      <c r="B642" s="316" t="s">
        <v>959</v>
      </c>
      <c r="C642" s="316" t="s">
        <v>631</v>
      </c>
      <c r="D642" s="316" t="s">
        <v>1418</v>
      </c>
      <c r="E642" s="589" t="s">
        <v>1780</v>
      </c>
      <c r="F642" s="601">
        <v>-33021.06</v>
      </c>
      <c r="G642" s="601">
        <v>-7173.67</v>
      </c>
      <c r="H642" s="601">
        <v>-14301.33</v>
      </c>
      <c r="I642" s="601">
        <v>-21742.2</v>
      </c>
      <c r="J642" s="601">
        <v>-28576.12</v>
      </c>
      <c r="K642" s="601">
        <v>-33849.120000000003</v>
      </c>
      <c r="L642" s="601">
        <v>-37766.85</v>
      </c>
      <c r="M642" s="601">
        <v>-40823.43</v>
      </c>
      <c r="N642" s="601">
        <v>-44129.01</v>
      </c>
      <c r="O642" s="601">
        <v>-46707.47</v>
      </c>
      <c r="P642" s="601">
        <v>-49776.58</v>
      </c>
      <c r="Q642" s="601">
        <v>-56188.43</v>
      </c>
      <c r="R642" s="601">
        <v>-62243.55</v>
      </c>
      <c r="S642" s="484">
        <f t="shared" si="95"/>
        <v>-35722.209583333337</v>
      </c>
      <c r="T642" s="604"/>
      <c r="U642" s="642"/>
      <c r="V642" s="679"/>
      <c r="W642" s="679">
        <f t="shared" si="112"/>
        <v>-35722.209583333337</v>
      </c>
      <c r="X642" s="702"/>
      <c r="Y642" s="679"/>
      <c r="Z642" s="679"/>
      <c r="AA642" s="642"/>
      <c r="AB642" s="679"/>
      <c r="AC642" s="644">
        <f t="shared" si="113"/>
        <v>-35722.209583333337</v>
      </c>
      <c r="AD642" s="643"/>
      <c r="AE642" s="643"/>
      <c r="AF642" s="677">
        <f t="shared" si="108"/>
        <v>0</v>
      </c>
    </row>
    <row r="643" spans="1:32">
      <c r="A643" s="604">
        <v>633</v>
      </c>
      <c r="B643" s="316" t="s">
        <v>984</v>
      </c>
      <c r="C643" s="316" t="s">
        <v>632</v>
      </c>
      <c r="D643" s="316" t="s">
        <v>1223</v>
      </c>
      <c r="E643" s="589" t="s">
        <v>1756</v>
      </c>
      <c r="F643" s="601">
        <v>999034.86</v>
      </c>
      <c r="G643" s="601">
        <v>-62177.74</v>
      </c>
      <c r="H643" s="601">
        <v>-410981.96</v>
      </c>
      <c r="I643" s="601">
        <v>998030.61</v>
      </c>
      <c r="J643" s="601">
        <v>1978429.15</v>
      </c>
      <c r="K643" s="601">
        <v>2907179.96</v>
      </c>
      <c r="L643" s="601">
        <v>3123756.83</v>
      </c>
      <c r="M643" s="601">
        <v>3282263.93</v>
      </c>
      <c r="N643" s="601">
        <v>3538652.94</v>
      </c>
      <c r="O643" s="601">
        <v>3142494.99</v>
      </c>
      <c r="P643" s="601">
        <v>1649019.22</v>
      </c>
      <c r="Q643" s="601">
        <v>586257.81000000006</v>
      </c>
      <c r="R643" s="601">
        <v>64063.2600000003</v>
      </c>
      <c r="S643" s="484">
        <f t="shared" si="95"/>
        <v>1772039.5666666664</v>
      </c>
      <c r="T643" s="604"/>
      <c r="U643" s="642"/>
      <c r="V643" s="679"/>
      <c r="W643" s="679">
        <f t="shared" si="112"/>
        <v>1772039.5666666664</v>
      </c>
      <c r="X643" s="702"/>
      <c r="Y643" s="679"/>
      <c r="Z643" s="679"/>
      <c r="AA643" s="642"/>
      <c r="AB643" s="679"/>
      <c r="AC643" s="644">
        <f t="shared" si="113"/>
        <v>1772039.5666666664</v>
      </c>
      <c r="AD643" s="643"/>
      <c r="AE643" s="643"/>
      <c r="AF643" s="677">
        <f t="shared" si="108"/>
        <v>0</v>
      </c>
    </row>
    <row r="644" spans="1:32">
      <c r="A644" s="604">
        <v>634</v>
      </c>
      <c r="B644" s="316" t="s">
        <v>984</v>
      </c>
      <c r="C644" s="316" t="s">
        <v>632</v>
      </c>
      <c r="D644" s="316" t="s">
        <v>1227</v>
      </c>
      <c r="E644" s="589" t="s">
        <v>1757</v>
      </c>
      <c r="F644" s="601">
        <v>550202.9</v>
      </c>
      <c r="G644" s="601">
        <v>24382.080000000002</v>
      </c>
      <c r="H644" s="601">
        <v>-220380.4</v>
      </c>
      <c r="I644" s="601">
        <v>555464.92000000004</v>
      </c>
      <c r="J644" s="601">
        <v>1141879.06</v>
      </c>
      <c r="K644" s="601">
        <v>1624968</v>
      </c>
      <c r="L644" s="601">
        <v>1723115.26</v>
      </c>
      <c r="M644" s="601">
        <v>1750801.68</v>
      </c>
      <c r="N644" s="601">
        <v>1927594.36</v>
      </c>
      <c r="O644" s="601">
        <v>1631275.81</v>
      </c>
      <c r="P644" s="601">
        <v>761588.56</v>
      </c>
      <c r="Q644" s="601">
        <v>-1162.87000000023</v>
      </c>
      <c r="R644" s="601">
        <v>-116275.02</v>
      </c>
      <c r="S644" s="484">
        <f t="shared" si="95"/>
        <v>928040.86666666658</v>
      </c>
      <c r="T644" s="604"/>
      <c r="U644" s="642"/>
      <c r="V644" s="679"/>
      <c r="W644" s="679">
        <f t="shared" si="112"/>
        <v>928040.86666666658</v>
      </c>
      <c r="X644" s="702"/>
      <c r="Y644" s="679"/>
      <c r="Z644" s="679"/>
      <c r="AA644" s="642"/>
      <c r="AB644" s="679"/>
      <c r="AC644" s="644">
        <f t="shared" si="113"/>
        <v>928040.86666666658</v>
      </c>
      <c r="AD644" s="643"/>
      <c r="AE644" s="643"/>
      <c r="AF644" s="677">
        <f t="shared" si="108"/>
        <v>0</v>
      </c>
    </row>
    <row r="645" spans="1:32">
      <c r="A645" s="604">
        <v>635</v>
      </c>
      <c r="B645" s="604" t="s">
        <v>984</v>
      </c>
      <c r="C645" s="316" t="s">
        <v>632</v>
      </c>
      <c r="D645" s="316" t="s">
        <v>1230</v>
      </c>
      <c r="E645" s="589" t="s">
        <v>1758</v>
      </c>
      <c r="F645" s="601">
        <v>47343.45</v>
      </c>
      <c r="G645" s="601">
        <v>-1561.66</v>
      </c>
      <c r="H645" s="601">
        <v>-1964.01</v>
      </c>
      <c r="I645" s="601">
        <v>18406.63</v>
      </c>
      <c r="J645" s="601">
        <v>68118.36</v>
      </c>
      <c r="K645" s="601">
        <v>86737.25</v>
      </c>
      <c r="L645" s="601">
        <v>99234.39</v>
      </c>
      <c r="M645" s="601">
        <v>100444.61</v>
      </c>
      <c r="N645" s="601">
        <v>102851.18</v>
      </c>
      <c r="O645" s="601">
        <v>97749.4</v>
      </c>
      <c r="P645" s="601">
        <v>48261.72</v>
      </c>
      <c r="Q645" s="601">
        <v>-850.15999999998905</v>
      </c>
      <c r="R645" s="601">
        <v>-32783.61</v>
      </c>
      <c r="S645" s="484">
        <f t="shared" si="95"/>
        <v>52058.969166666669</v>
      </c>
      <c r="T645" s="604"/>
      <c r="U645" s="642"/>
      <c r="V645" s="679"/>
      <c r="W645" s="679">
        <f t="shared" si="112"/>
        <v>52058.969166666669</v>
      </c>
      <c r="X645" s="702"/>
      <c r="Y645" s="679"/>
      <c r="Z645" s="679"/>
      <c r="AA645" s="642"/>
      <c r="AB645" s="679"/>
      <c r="AC645" s="644">
        <f t="shared" si="113"/>
        <v>52058.969166666669</v>
      </c>
      <c r="AD645" s="643"/>
      <c r="AE645" s="643"/>
      <c r="AF645" s="677">
        <f t="shared" si="108"/>
        <v>0</v>
      </c>
    </row>
    <row r="646" spans="1:32">
      <c r="A646" s="604">
        <v>636</v>
      </c>
      <c r="B646" s="604" t="s">
        <v>959</v>
      </c>
      <c r="C646" s="316" t="s">
        <v>632</v>
      </c>
      <c r="D646" s="316" t="s">
        <v>1223</v>
      </c>
      <c r="E646" s="589" t="s">
        <v>1756</v>
      </c>
      <c r="F646" s="601">
        <v>3374622.68</v>
      </c>
      <c r="G646" s="601">
        <v>-1344.14</v>
      </c>
      <c r="H646" s="601">
        <v>-2463980.2999999998</v>
      </c>
      <c r="I646" s="601">
        <v>1886464.21</v>
      </c>
      <c r="J646" s="601">
        <v>5241236.08</v>
      </c>
      <c r="K646" s="601">
        <v>7130166.5199999996</v>
      </c>
      <c r="L646" s="601">
        <v>8034036.7699999996</v>
      </c>
      <c r="M646" s="601">
        <v>8135627.71</v>
      </c>
      <c r="N646" s="601">
        <v>8892139.3300000001</v>
      </c>
      <c r="O646" s="601">
        <v>7631615.7800000003</v>
      </c>
      <c r="P646" s="601">
        <v>3903787.65</v>
      </c>
      <c r="Q646" s="601">
        <v>-192516.25</v>
      </c>
      <c r="R646" s="601">
        <v>-2017201.21</v>
      </c>
      <c r="S646" s="484">
        <f t="shared" si="95"/>
        <v>4072995.3412500001</v>
      </c>
      <c r="T646" s="604"/>
      <c r="U646" s="642"/>
      <c r="V646" s="679"/>
      <c r="W646" s="679">
        <f t="shared" si="112"/>
        <v>4072995.3412500001</v>
      </c>
      <c r="X646" s="702"/>
      <c r="Y646" s="679"/>
      <c r="Z646" s="679"/>
      <c r="AA646" s="642"/>
      <c r="AB646" s="679"/>
      <c r="AC646" s="644">
        <f t="shared" si="113"/>
        <v>4072995.3412500001</v>
      </c>
      <c r="AD646" s="643"/>
      <c r="AE646" s="643"/>
      <c r="AF646" s="677">
        <f t="shared" si="108"/>
        <v>0</v>
      </c>
    </row>
    <row r="647" spans="1:32">
      <c r="A647" s="604">
        <v>637</v>
      </c>
      <c r="B647" s="316" t="s">
        <v>959</v>
      </c>
      <c r="C647" s="316" t="s">
        <v>632</v>
      </c>
      <c r="D647" s="316" t="s">
        <v>1227</v>
      </c>
      <c r="E647" s="589" t="s">
        <v>1757</v>
      </c>
      <c r="F647" s="601">
        <v>2090238.1</v>
      </c>
      <c r="G647" s="601">
        <v>16964.689999999999</v>
      </c>
      <c r="H647" s="601">
        <v>-1611473.73</v>
      </c>
      <c r="I647" s="601">
        <v>1033586.64</v>
      </c>
      <c r="J647" s="601">
        <v>3241911.49</v>
      </c>
      <c r="K647" s="601">
        <v>4721962.2</v>
      </c>
      <c r="L647" s="601">
        <v>5158958.49</v>
      </c>
      <c r="M647" s="601">
        <v>5096312.51</v>
      </c>
      <c r="N647" s="601">
        <v>5782423.8700000001</v>
      </c>
      <c r="O647" s="601">
        <v>4516556.3499999996</v>
      </c>
      <c r="P647" s="601">
        <v>1282667.2</v>
      </c>
      <c r="Q647" s="601">
        <v>-2415264.3199999998</v>
      </c>
      <c r="R647" s="601">
        <v>-3501522.79</v>
      </c>
      <c r="S647" s="484">
        <f t="shared" si="95"/>
        <v>2176580.2537499997</v>
      </c>
      <c r="T647" s="604"/>
      <c r="U647" s="642"/>
      <c r="V647" s="679"/>
      <c r="W647" s="679">
        <f t="shared" si="112"/>
        <v>2176580.2537499997</v>
      </c>
      <c r="X647" s="702"/>
      <c r="Y647" s="679"/>
      <c r="Z647" s="679"/>
      <c r="AA647" s="642"/>
      <c r="AB647" s="679"/>
      <c r="AC647" s="644">
        <f t="shared" si="113"/>
        <v>2176580.2537499997</v>
      </c>
      <c r="AD647" s="643"/>
      <c r="AE647" s="643"/>
      <c r="AF647" s="677">
        <f t="shared" si="108"/>
        <v>0</v>
      </c>
    </row>
    <row r="648" spans="1:32">
      <c r="A648" s="604">
        <v>638</v>
      </c>
      <c r="B648" s="316" t="s">
        <v>959</v>
      </c>
      <c r="C648" s="316" t="s">
        <v>632</v>
      </c>
      <c r="D648" s="316" t="s">
        <v>1232</v>
      </c>
      <c r="E648" s="589" t="s">
        <v>1781</v>
      </c>
      <c r="F648" s="601">
        <v>237.33</v>
      </c>
      <c r="G648" s="601">
        <v>45.73</v>
      </c>
      <c r="H648" s="601">
        <v>50.18</v>
      </c>
      <c r="I648" s="601">
        <v>50.18</v>
      </c>
      <c r="J648" s="601">
        <v>-40.89</v>
      </c>
      <c r="K648" s="601">
        <v>-57.24</v>
      </c>
      <c r="L648" s="601">
        <v>50.18</v>
      </c>
      <c r="M648" s="601">
        <v>-65.78</v>
      </c>
      <c r="N648" s="601">
        <v>50.18</v>
      </c>
      <c r="O648" s="601">
        <v>-242.21</v>
      </c>
      <c r="P648" s="601">
        <v>-175.34</v>
      </c>
      <c r="Q648" s="601">
        <v>-322.68</v>
      </c>
      <c r="R648" s="601">
        <v>-148.01</v>
      </c>
      <c r="S648" s="484">
        <f t="shared" si="95"/>
        <v>-51.085833333333341</v>
      </c>
      <c r="T648" s="604"/>
      <c r="U648" s="642"/>
      <c r="V648" s="679"/>
      <c r="W648" s="679">
        <f t="shared" si="112"/>
        <v>-51.085833333333341</v>
      </c>
      <c r="X648" s="702"/>
      <c r="Y648" s="679"/>
      <c r="Z648" s="679"/>
      <c r="AA648" s="642"/>
      <c r="AB648" s="679"/>
      <c r="AC648" s="644">
        <f t="shared" si="113"/>
        <v>-51.085833333333341</v>
      </c>
      <c r="AD648" s="643"/>
      <c r="AE648" s="643"/>
      <c r="AF648" s="677">
        <f t="shared" si="108"/>
        <v>0</v>
      </c>
    </row>
    <row r="649" spans="1:32">
      <c r="A649" s="604">
        <v>639</v>
      </c>
      <c r="B649" s="316" t="s">
        <v>959</v>
      </c>
      <c r="C649" s="316" t="s">
        <v>632</v>
      </c>
      <c r="D649" s="316" t="s">
        <v>1230</v>
      </c>
      <c r="E649" s="589" t="s">
        <v>1758</v>
      </c>
      <c r="F649" s="601">
        <v>13073.21</v>
      </c>
      <c r="G649" s="601">
        <v>810.06</v>
      </c>
      <c r="H649" s="601">
        <v>-4698.57</v>
      </c>
      <c r="I649" s="601">
        <v>6377.51</v>
      </c>
      <c r="J649" s="601">
        <v>19799.46</v>
      </c>
      <c r="K649" s="601">
        <v>47956.29</v>
      </c>
      <c r="L649" s="601">
        <v>65917.63</v>
      </c>
      <c r="M649" s="601">
        <v>59345.55</v>
      </c>
      <c r="N649" s="601">
        <v>75562.240000000005</v>
      </c>
      <c r="O649" s="601">
        <v>65454.82</v>
      </c>
      <c r="P649" s="601">
        <v>-5508.2399999999898</v>
      </c>
      <c r="Q649" s="601">
        <v>-18245.77</v>
      </c>
      <c r="R649" s="601">
        <v>-33675.279999999999</v>
      </c>
      <c r="S649" s="484">
        <f t="shared" si="95"/>
        <v>25205.828750000001</v>
      </c>
      <c r="T649" s="604"/>
      <c r="U649" s="642"/>
      <c r="V649" s="679"/>
      <c r="W649" s="679">
        <f t="shared" si="112"/>
        <v>25205.828750000001</v>
      </c>
      <c r="X649" s="702"/>
      <c r="Y649" s="679"/>
      <c r="Z649" s="679"/>
      <c r="AA649" s="642"/>
      <c r="AB649" s="679"/>
      <c r="AC649" s="644">
        <f t="shared" si="113"/>
        <v>25205.828750000001</v>
      </c>
      <c r="AD649" s="643"/>
      <c r="AE649" s="643"/>
      <c r="AF649" s="677">
        <f t="shared" si="108"/>
        <v>0</v>
      </c>
    </row>
    <row r="650" spans="1:32">
      <c r="A650" s="604">
        <v>640</v>
      </c>
      <c r="B650" s="316" t="s">
        <v>959</v>
      </c>
      <c r="C650" s="316" t="s">
        <v>632</v>
      </c>
      <c r="D650" s="316" t="s">
        <v>1414</v>
      </c>
      <c r="E650" s="589" t="s">
        <v>1926</v>
      </c>
      <c r="F650" s="601">
        <v>0</v>
      </c>
      <c r="G650" s="601">
        <v>0</v>
      </c>
      <c r="H650" s="601">
        <v>-90871.42</v>
      </c>
      <c r="I650" s="601">
        <v>69660.240000000005</v>
      </c>
      <c r="J650" s="601">
        <v>209531.44</v>
      </c>
      <c r="K650" s="601">
        <v>272514.12</v>
      </c>
      <c r="L650" s="601">
        <v>302651.90000000002</v>
      </c>
      <c r="M650" s="601">
        <v>306039.25</v>
      </c>
      <c r="N650" s="601">
        <v>331263.64</v>
      </c>
      <c r="O650" s="601">
        <v>289233.96000000002</v>
      </c>
      <c r="P650" s="601">
        <v>164936.84</v>
      </c>
      <c r="Q650" s="601">
        <v>66133.98</v>
      </c>
      <c r="R650" s="601">
        <v>12218.77</v>
      </c>
      <c r="S650" s="484">
        <f t="shared" si="95"/>
        <v>160600.27791666667</v>
      </c>
      <c r="T650" s="604"/>
      <c r="U650" s="642"/>
      <c r="V650" s="679"/>
      <c r="W650" s="679">
        <f t="shared" si="112"/>
        <v>160600.27791666667</v>
      </c>
      <c r="X650" s="702"/>
      <c r="Y650" s="679"/>
      <c r="Z650" s="679"/>
      <c r="AA650" s="642"/>
      <c r="AB650" s="679"/>
      <c r="AC650" s="644">
        <f t="shared" si="113"/>
        <v>160600.27791666667</v>
      </c>
      <c r="AD650" s="643"/>
      <c r="AE650" s="643"/>
      <c r="AF650" s="677"/>
    </row>
    <row r="651" spans="1:32">
      <c r="A651" s="604">
        <v>641</v>
      </c>
      <c r="B651" s="316" t="s">
        <v>959</v>
      </c>
      <c r="C651" s="316" t="s">
        <v>632</v>
      </c>
      <c r="D651" s="316" t="s">
        <v>1416</v>
      </c>
      <c r="E651" s="589" t="s">
        <v>1927</v>
      </c>
      <c r="F651" s="601">
        <v>0</v>
      </c>
      <c r="G651" s="601">
        <v>1085.6300000000001</v>
      </c>
      <c r="H651" s="601">
        <v>-64218.29</v>
      </c>
      <c r="I651" s="601">
        <v>42371.89</v>
      </c>
      <c r="J651" s="601">
        <v>145269.76000000001</v>
      </c>
      <c r="K651" s="601">
        <v>198404.65</v>
      </c>
      <c r="L651" s="601">
        <v>214108.72</v>
      </c>
      <c r="M651" s="601">
        <v>211886.52</v>
      </c>
      <c r="N651" s="601">
        <v>236651.49</v>
      </c>
      <c r="O651" s="601">
        <v>190966.21</v>
      </c>
      <c r="P651" s="601">
        <v>100995.93</v>
      </c>
      <c r="Q651" s="601">
        <v>9639.0699999999597</v>
      </c>
      <c r="R651" s="601">
        <v>-20097.54</v>
      </c>
      <c r="S651" s="484">
        <f t="shared" si="95"/>
        <v>106426.0675</v>
      </c>
      <c r="T651" s="604"/>
      <c r="U651" s="642"/>
      <c r="V651" s="679"/>
      <c r="W651" s="679">
        <f t="shared" si="112"/>
        <v>106426.0675</v>
      </c>
      <c r="X651" s="702"/>
      <c r="Y651" s="679"/>
      <c r="Z651" s="679"/>
      <c r="AA651" s="642"/>
      <c r="AB651" s="679"/>
      <c r="AC651" s="644">
        <f t="shared" si="113"/>
        <v>106426.0675</v>
      </c>
      <c r="AD651" s="643"/>
      <c r="AE651" s="643"/>
      <c r="AF651" s="677"/>
    </row>
    <row r="652" spans="1:32">
      <c r="A652" s="604">
        <v>642</v>
      </c>
      <c r="B652" s="316" t="s">
        <v>984</v>
      </c>
      <c r="C652" s="316" t="s">
        <v>633</v>
      </c>
      <c r="D652" s="316" t="s">
        <v>1236</v>
      </c>
      <c r="E652" s="589" t="s">
        <v>1759</v>
      </c>
      <c r="F652" s="601">
        <v>-140982.17000000001</v>
      </c>
      <c r="G652" s="601">
        <v>-12256.15</v>
      </c>
      <c r="H652" s="601">
        <v>-26549.47</v>
      </c>
      <c r="I652" s="601">
        <v>-44603.13</v>
      </c>
      <c r="J652" s="601">
        <v>-66606.009999999995</v>
      </c>
      <c r="K652" s="601">
        <v>-86272.63</v>
      </c>
      <c r="L652" s="601">
        <v>-100734.47</v>
      </c>
      <c r="M652" s="601">
        <v>-110497.17</v>
      </c>
      <c r="N652" s="601">
        <v>-119149.39</v>
      </c>
      <c r="O652" s="601">
        <v>-127065.43</v>
      </c>
      <c r="P652" s="601">
        <v>-137027.87</v>
      </c>
      <c r="Q652" s="601">
        <v>-145581.19</v>
      </c>
      <c r="R652" s="601">
        <v>-159699.38</v>
      </c>
      <c r="S652" s="484">
        <f t="shared" si="95"/>
        <v>-93890.307083333333</v>
      </c>
      <c r="T652" s="604"/>
      <c r="U652" s="642"/>
      <c r="V652" s="679"/>
      <c r="W652" s="679">
        <f t="shared" si="112"/>
        <v>-93890.307083333333</v>
      </c>
      <c r="X652" s="702"/>
      <c r="Y652" s="679"/>
      <c r="Z652" s="679"/>
      <c r="AA652" s="642"/>
      <c r="AB652" s="679"/>
      <c r="AC652" s="644">
        <f t="shared" si="113"/>
        <v>-93890.307083333333</v>
      </c>
      <c r="AD652" s="643"/>
      <c r="AE652" s="643"/>
      <c r="AF652" s="677">
        <f t="shared" si="108"/>
        <v>0</v>
      </c>
    </row>
    <row r="653" spans="1:32">
      <c r="A653" s="604">
        <v>643</v>
      </c>
      <c r="B653" s="604" t="s">
        <v>984</v>
      </c>
      <c r="C653" s="316" t="s">
        <v>633</v>
      </c>
      <c r="D653" s="316" t="s">
        <v>1237</v>
      </c>
      <c r="E653" s="589" t="s">
        <v>1760</v>
      </c>
      <c r="F653" s="601">
        <v>-5487.69</v>
      </c>
      <c r="G653" s="601">
        <v>0</v>
      </c>
      <c r="H653" s="601">
        <v>0</v>
      </c>
      <c r="I653" s="601">
        <v>0</v>
      </c>
      <c r="J653" s="601">
        <v>0</v>
      </c>
      <c r="K653" s="601">
        <v>0</v>
      </c>
      <c r="L653" s="601">
        <v>3080</v>
      </c>
      <c r="M653" s="601">
        <v>2286.1</v>
      </c>
      <c r="N653" s="601">
        <v>-456.34</v>
      </c>
      <c r="O653" s="601">
        <v>-3649.39</v>
      </c>
      <c r="P653" s="601">
        <v>-3649.39</v>
      </c>
      <c r="Q653" s="601">
        <v>-4734.2</v>
      </c>
      <c r="R653" s="601">
        <v>-10284.31</v>
      </c>
      <c r="S653" s="484">
        <f t="shared" si="95"/>
        <v>-1250.7683333333332</v>
      </c>
      <c r="T653" s="604"/>
      <c r="U653" s="642"/>
      <c r="V653" s="679"/>
      <c r="W653" s="679">
        <f t="shared" si="112"/>
        <v>-1250.7683333333332</v>
      </c>
      <c r="X653" s="702"/>
      <c r="Y653" s="679"/>
      <c r="Z653" s="679"/>
      <c r="AA653" s="642"/>
      <c r="AB653" s="679"/>
      <c r="AC653" s="644">
        <f t="shared" si="113"/>
        <v>-1250.7683333333332</v>
      </c>
      <c r="AD653" s="643"/>
      <c r="AE653" s="643"/>
      <c r="AF653" s="677">
        <f t="shared" si="108"/>
        <v>0</v>
      </c>
    </row>
    <row r="654" spans="1:32">
      <c r="A654" s="604">
        <v>644</v>
      </c>
      <c r="B654" s="604" t="s">
        <v>959</v>
      </c>
      <c r="C654" s="316" t="s">
        <v>633</v>
      </c>
      <c r="D654" s="316" t="s">
        <v>1242</v>
      </c>
      <c r="E654" s="589" t="s">
        <v>1782</v>
      </c>
      <c r="F654" s="601">
        <v>-11067.2</v>
      </c>
      <c r="G654" s="601">
        <v>0</v>
      </c>
      <c r="H654" s="601">
        <v>2041.34</v>
      </c>
      <c r="I654" s="601">
        <v>2041.34</v>
      </c>
      <c r="J654" s="601">
        <v>2041.34</v>
      </c>
      <c r="K654" s="601">
        <v>2041.34</v>
      </c>
      <c r="L654" s="601">
        <v>2041.34</v>
      </c>
      <c r="M654" s="601">
        <v>1388.54</v>
      </c>
      <c r="N654" s="601">
        <v>-1338.06</v>
      </c>
      <c r="O654" s="601">
        <v>-1338.06</v>
      </c>
      <c r="P654" s="601">
        <v>-5098.68</v>
      </c>
      <c r="Q654" s="601">
        <v>-5098.68</v>
      </c>
      <c r="R654" s="601">
        <v>-6738.68</v>
      </c>
      <c r="S654" s="484">
        <f t="shared" si="95"/>
        <v>-848.43166666666684</v>
      </c>
      <c r="T654" s="604"/>
      <c r="U654" s="642"/>
      <c r="V654" s="679"/>
      <c r="W654" s="679">
        <f t="shared" si="112"/>
        <v>-848.43166666666684</v>
      </c>
      <c r="X654" s="702"/>
      <c r="Y654" s="679"/>
      <c r="Z654" s="679"/>
      <c r="AA654" s="642"/>
      <c r="AB654" s="679"/>
      <c r="AC654" s="644">
        <f t="shared" si="113"/>
        <v>-848.43166666666684</v>
      </c>
      <c r="AD654" s="643"/>
      <c r="AE654" s="643"/>
      <c r="AF654" s="677">
        <f t="shared" si="108"/>
        <v>0</v>
      </c>
    </row>
    <row r="655" spans="1:32">
      <c r="A655" s="604">
        <v>645</v>
      </c>
      <c r="B655" s="316" t="s">
        <v>959</v>
      </c>
      <c r="C655" s="316" t="s">
        <v>633</v>
      </c>
      <c r="D655" s="316" t="s">
        <v>1238</v>
      </c>
      <c r="E655" s="589" t="s">
        <v>1783</v>
      </c>
      <c r="F655" s="601">
        <v>-658.89</v>
      </c>
      <c r="G655" s="601">
        <v>0</v>
      </c>
      <c r="H655" s="601">
        <v>0</v>
      </c>
      <c r="I655" s="601">
        <v>0</v>
      </c>
      <c r="J655" s="601">
        <v>0</v>
      </c>
      <c r="K655" s="601">
        <v>0</v>
      </c>
      <c r="L655" s="601">
        <v>0</v>
      </c>
      <c r="M655" s="601">
        <v>0</v>
      </c>
      <c r="N655" s="601">
        <v>0</v>
      </c>
      <c r="O655" s="601">
        <v>0</v>
      </c>
      <c r="P655" s="601">
        <v>0</v>
      </c>
      <c r="Q655" s="601">
        <v>0</v>
      </c>
      <c r="R655" s="601">
        <v>0</v>
      </c>
      <c r="S655" s="484">
        <f t="shared" si="95"/>
        <v>-27.453749999999999</v>
      </c>
      <c r="T655" s="604"/>
      <c r="U655" s="642"/>
      <c r="V655" s="679"/>
      <c r="W655" s="679">
        <f t="shared" si="112"/>
        <v>-27.453749999999999</v>
      </c>
      <c r="X655" s="702"/>
      <c r="Y655" s="679"/>
      <c r="Z655" s="679"/>
      <c r="AA655" s="642"/>
      <c r="AB655" s="679"/>
      <c r="AC655" s="644">
        <f t="shared" si="113"/>
        <v>-27.453749999999999</v>
      </c>
      <c r="AD655" s="643"/>
      <c r="AE655" s="643"/>
      <c r="AF655" s="677">
        <f t="shared" si="108"/>
        <v>0</v>
      </c>
    </row>
    <row r="656" spans="1:32">
      <c r="A656" s="604">
        <v>646</v>
      </c>
      <c r="B656" s="316" t="s">
        <v>959</v>
      </c>
      <c r="C656" s="316" t="s">
        <v>633</v>
      </c>
      <c r="D656" s="316" t="s">
        <v>1236</v>
      </c>
      <c r="E656" s="589" t="s">
        <v>1759</v>
      </c>
      <c r="F656" s="601">
        <v>-686266.72</v>
      </c>
      <c r="G656" s="601">
        <v>-66421.89</v>
      </c>
      <c r="H656" s="601">
        <v>-129116</v>
      </c>
      <c r="I656" s="601">
        <v>-199295.82</v>
      </c>
      <c r="J656" s="601">
        <v>-259174.85</v>
      </c>
      <c r="K656" s="601">
        <v>-305446.2</v>
      </c>
      <c r="L656" s="601">
        <v>-343104.03</v>
      </c>
      <c r="M656" s="601">
        <v>-371966.42</v>
      </c>
      <c r="N656" s="601">
        <v>-398405.15</v>
      </c>
      <c r="O656" s="601">
        <v>-421188.39</v>
      </c>
      <c r="P656" s="601">
        <v>-453639.51</v>
      </c>
      <c r="Q656" s="601">
        <v>-482862.39</v>
      </c>
      <c r="R656" s="601">
        <v>-521426.68</v>
      </c>
      <c r="S656" s="484">
        <f t="shared" si="95"/>
        <v>-336205.61249999999</v>
      </c>
      <c r="T656" s="604"/>
      <c r="U656" s="642"/>
      <c r="V656" s="679"/>
      <c r="W656" s="679">
        <f t="shared" si="112"/>
        <v>-336205.61249999999</v>
      </c>
      <c r="X656" s="702"/>
      <c r="Y656" s="679"/>
      <c r="Z656" s="679"/>
      <c r="AA656" s="642"/>
      <c r="AB656" s="679"/>
      <c r="AC656" s="644">
        <f t="shared" si="113"/>
        <v>-336205.61249999999</v>
      </c>
      <c r="AD656" s="643"/>
      <c r="AE656" s="643"/>
      <c r="AF656" s="677">
        <f t="shared" si="108"/>
        <v>0</v>
      </c>
    </row>
    <row r="657" spans="1:32">
      <c r="A657" s="604">
        <v>647</v>
      </c>
      <c r="B657" s="316" t="s">
        <v>959</v>
      </c>
      <c r="C657" s="316" t="s">
        <v>633</v>
      </c>
      <c r="D657" s="316" t="s">
        <v>1237</v>
      </c>
      <c r="E657" s="589" t="s">
        <v>1784</v>
      </c>
      <c r="F657" s="601">
        <v>-80723.89</v>
      </c>
      <c r="G657" s="601">
        <v>0</v>
      </c>
      <c r="H657" s="601">
        <v>46008.06</v>
      </c>
      <c r="I657" s="601">
        <v>46228.06</v>
      </c>
      <c r="J657" s="601">
        <v>37914.300000000003</v>
      </c>
      <c r="K657" s="601">
        <v>37914.300000000003</v>
      </c>
      <c r="L657" s="601">
        <v>35449.1</v>
      </c>
      <c r="M657" s="601">
        <v>31109.47</v>
      </c>
      <c r="N657" s="601">
        <v>26315.14</v>
      </c>
      <c r="O657" s="601">
        <v>19593.03</v>
      </c>
      <c r="P657" s="601">
        <v>18050.29</v>
      </c>
      <c r="Q657" s="601">
        <v>5211.08</v>
      </c>
      <c r="R657" s="601">
        <v>495.599999999999</v>
      </c>
      <c r="S657" s="484">
        <f t="shared" si="95"/>
        <v>21973.223749999994</v>
      </c>
      <c r="T657" s="604"/>
      <c r="U657" s="642"/>
      <c r="V657" s="679"/>
      <c r="W657" s="679">
        <f t="shared" si="112"/>
        <v>21973.223749999994</v>
      </c>
      <c r="X657" s="702"/>
      <c r="Y657" s="679"/>
      <c r="Z657" s="679"/>
      <c r="AA657" s="642"/>
      <c r="AB657" s="679"/>
      <c r="AC657" s="644">
        <f t="shared" si="113"/>
        <v>21973.223749999994</v>
      </c>
      <c r="AD657" s="643"/>
      <c r="AE657" s="643"/>
      <c r="AF657" s="677">
        <f t="shared" ref="AF657:AF697" si="114">+U657+V657-AD657</f>
        <v>0</v>
      </c>
    </row>
    <row r="658" spans="1:32">
      <c r="A658" s="604">
        <v>648</v>
      </c>
      <c r="B658" s="604" t="s">
        <v>984</v>
      </c>
      <c r="C658" s="316" t="s">
        <v>123</v>
      </c>
      <c r="D658" s="316" t="s">
        <v>1239</v>
      </c>
      <c r="E658" s="589" t="s">
        <v>1761</v>
      </c>
      <c r="F658" s="601">
        <v>-2711571.86</v>
      </c>
      <c r="G658" s="601">
        <v>-215774.49</v>
      </c>
      <c r="H658" s="601">
        <v>-452141.57</v>
      </c>
      <c r="I658" s="601">
        <v>-671307.46</v>
      </c>
      <c r="J658" s="601">
        <v>-910733.06</v>
      </c>
      <c r="K658" s="601">
        <v>-1144418.47</v>
      </c>
      <c r="L658" s="601">
        <v>-1403989.25</v>
      </c>
      <c r="M658" s="601">
        <v>-1659926.97</v>
      </c>
      <c r="N658" s="601">
        <v>-1907514.43</v>
      </c>
      <c r="O658" s="601">
        <v>-2158251.5699999998</v>
      </c>
      <c r="P658" s="601">
        <v>-2420963.89</v>
      </c>
      <c r="Q658" s="601">
        <v>-2698038.52</v>
      </c>
      <c r="R658" s="601">
        <v>-2947273.72</v>
      </c>
      <c r="S658" s="484">
        <f t="shared" si="95"/>
        <v>-1539373.5391666666</v>
      </c>
      <c r="T658" s="604"/>
      <c r="U658" s="642"/>
      <c r="V658" s="679"/>
      <c r="W658" s="679">
        <f t="shared" si="112"/>
        <v>-1539373.5391666666</v>
      </c>
      <c r="X658" s="702"/>
      <c r="Y658" s="679"/>
      <c r="Z658" s="679"/>
      <c r="AA658" s="642"/>
      <c r="AB658" s="679"/>
      <c r="AC658" s="644">
        <f t="shared" si="113"/>
        <v>-1539373.5391666666</v>
      </c>
      <c r="AD658" s="643"/>
      <c r="AE658" s="643"/>
      <c r="AF658" s="677">
        <f t="shared" si="114"/>
        <v>0</v>
      </c>
    </row>
    <row r="659" spans="1:32">
      <c r="A659" s="604">
        <v>649</v>
      </c>
      <c r="B659" s="316" t="s">
        <v>984</v>
      </c>
      <c r="C659" s="316" t="s">
        <v>123</v>
      </c>
      <c r="D659" s="316" t="s">
        <v>1240</v>
      </c>
      <c r="E659" s="589" t="s">
        <v>1762</v>
      </c>
      <c r="F659" s="601">
        <v>-1423332.79</v>
      </c>
      <c r="G659" s="601">
        <v>-131375.94</v>
      </c>
      <c r="H659" s="601">
        <v>-253228.69</v>
      </c>
      <c r="I659" s="601">
        <v>-380246.18</v>
      </c>
      <c r="J659" s="601">
        <v>-499898.83</v>
      </c>
      <c r="K659" s="601">
        <v>-605392.73</v>
      </c>
      <c r="L659" s="601">
        <v>-706020.67</v>
      </c>
      <c r="M659" s="601">
        <v>-815772.71</v>
      </c>
      <c r="N659" s="601">
        <v>-943469.65</v>
      </c>
      <c r="O659" s="601">
        <v>-1071780.99</v>
      </c>
      <c r="P659" s="601">
        <v>-1197426.67</v>
      </c>
      <c r="Q659" s="601">
        <v>-1326083.8</v>
      </c>
      <c r="R659" s="601">
        <v>-1453712.59</v>
      </c>
      <c r="S659" s="484">
        <f t="shared" si="95"/>
        <v>-780768.2958333334</v>
      </c>
      <c r="T659" s="604"/>
      <c r="U659" s="642"/>
      <c r="V659" s="679"/>
      <c r="W659" s="679">
        <f t="shared" si="112"/>
        <v>-780768.2958333334</v>
      </c>
      <c r="X659" s="702"/>
      <c r="Y659" s="679"/>
      <c r="Z659" s="679"/>
      <c r="AA659" s="642"/>
      <c r="AB659" s="679"/>
      <c r="AC659" s="644">
        <f t="shared" si="113"/>
        <v>-780768.2958333334</v>
      </c>
      <c r="AD659" s="643"/>
      <c r="AE659" s="643"/>
      <c r="AF659" s="677">
        <f t="shared" si="114"/>
        <v>0</v>
      </c>
    </row>
    <row r="660" spans="1:32">
      <c r="A660" s="604">
        <v>650</v>
      </c>
      <c r="B660" s="316" t="s">
        <v>959</v>
      </c>
      <c r="C660" s="316" t="s">
        <v>123</v>
      </c>
      <c r="D660" s="316" t="s">
        <v>1239</v>
      </c>
      <c r="E660" s="589" t="s">
        <v>1761</v>
      </c>
      <c r="F660" s="601">
        <v>-15401260.67</v>
      </c>
      <c r="G660" s="601">
        <v>-1278826.8999999999</v>
      </c>
      <c r="H660" s="601">
        <v>-2638578.7200000002</v>
      </c>
      <c r="I660" s="601">
        <v>-3976110.09</v>
      </c>
      <c r="J660" s="601">
        <v>-5294653.7300000004</v>
      </c>
      <c r="K660" s="601">
        <v>-6560503.7400000002</v>
      </c>
      <c r="L660" s="601">
        <v>-7808074.6100000003</v>
      </c>
      <c r="M660" s="601">
        <v>-9039951.9299999997</v>
      </c>
      <c r="N660" s="601">
        <v>-10249959.119999999</v>
      </c>
      <c r="O660" s="601">
        <v>-11486160.49</v>
      </c>
      <c r="P660" s="601">
        <v>-12814088.75</v>
      </c>
      <c r="Q660" s="601">
        <v>-14180347.17</v>
      </c>
      <c r="R660" s="601">
        <v>-15481019.82</v>
      </c>
      <c r="S660" s="484">
        <f t="shared" si="95"/>
        <v>-8397366.2912499998</v>
      </c>
      <c r="T660" s="604"/>
      <c r="U660" s="642"/>
      <c r="V660" s="679"/>
      <c r="W660" s="679">
        <f t="shared" si="112"/>
        <v>-8397366.2912499998</v>
      </c>
      <c r="X660" s="702"/>
      <c r="Y660" s="679"/>
      <c r="Z660" s="679"/>
      <c r="AA660" s="642"/>
      <c r="AB660" s="679"/>
      <c r="AC660" s="644">
        <f t="shared" si="113"/>
        <v>-8397366.2912499998</v>
      </c>
      <c r="AD660" s="643"/>
      <c r="AE660" s="643"/>
      <c r="AF660" s="677">
        <f t="shared" si="114"/>
        <v>0</v>
      </c>
    </row>
    <row r="661" spans="1:32">
      <c r="A661" s="604">
        <v>651</v>
      </c>
      <c r="B661" s="604" t="s">
        <v>959</v>
      </c>
      <c r="C661" s="316" t="s">
        <v>123</v>
      </c>
      <c r="D661" s="316" t="s">
        <v>1240</v>
      </c>
      <c r="E661" s="589" t="s">
        <v>1762</v>
      </c>
      <c r="F661" s="601">
        <v>-7759181.6299999999</v>
      </c>
      <c r="G661" s="601">
        <v>-673031.52</v>
      </c>
      <c r="H661" s="601">
        <v>-1339174.8500000001</v>
      </c>
      <c r="I661" s="601">
        <v>-2009186.07</v>
      </c>
      <c r="J661" s="601">
        <v>-2666870.58</v>
      </c>
      <c r="K661" s="601">
        <v>-3285795.58</v>
      </c>
      <c r="L661" s="601">
        <v>-3836276.72</v>
      </c>
      <c r="M661" s="601">
        <v>-4442681.8899999997</v>
      </c>
      <c r="N661" s="601">
        <v>-5299607.18</v>
      </c>
      <c r="O661" s="601">
        <v>-6212927.3399999999</v>
      </c>
      <c r="P661" s="601">
        <v>-7050671.2999999998</v>
      </c>
      <c r="Q661" s="601">
        <v>-7703424.7199999997</v>
      </c>
      <c r="R661" s="601">
        <v>-8374092.2400000002</v>
      </c>
      <c r="S661" s="484">
        <f t="shared" si="95"/>
        <v>-4382190.3904166669</v>
      </c>
      <c r="T661" s="604"/>
      <c r="U661" s="642"/>
      <c r="V661" s="679"/>
      <c r="W661" s="679">
        <f t="shared" si="112"/>
        <v>-4382190.3904166669</v>
      </c>
      <c r="X661" s="702"/>
      <c r="Y661" s="679"/>
      <c r="Z661" s="679"/>
      <c r="AA661" s="642"/>
      <c r="AB661" s="679"/>
      <c r="AC661" s="644">
        <f t="shared" si="113"/>
        <v>-4382190.3904166669</v>
      </c>
      <c r="AD661" s="643"/>
      <c r="AE661" s="643"/>
      <c r="AF661" s="677">
        <f t="shared" si="114"/>
        <v>0</v>
      </c>
    </row>
    <row r="662" spans="1:32">
      <c r="A662" s="604">
        <v>652</v>
      </c>
      <c r="B662" s="604" t="s">
        <v>959</v>
      </c>
      <c r="C662" s="316" t="s">
        <v>634</v>
      </c>
      <c r="D662" s="316" t="s">
        <v>1239</v>
      </c>
      <c r="E662" s="589" t="s">
        <v>1763</v>
      </c>
      <c r="F662" s="601">
        <v>110797.96</v>
      </c>
      <c r="G662" s="601">
        <v>-80907.600000000006</v>
      </c>
      <c r="H662" s="601">
        <v>-56293.74</v>
      </c>
      <c r="I662" s="601">
        <v>-40593.620000000003</v>
      </c>
      <c r="J662" s="601">
        <v>12962.06</v>
      </c>
      <c r="K662" s="601">
        <v>32621.7</v>
      </c>
      <c r="L662" s="601">
        <v>46926.77</v>
      </c>
      <c r="M662" s="601">
        <v>72798.12</v>
      </c>
      <c r="N662" s="601">
        <v>46553.53</v>
      </c>
      <c r="O662" s="601">
        <v>6715.47</v>
      </c>
      <c r="P662" s="601">
        <v>-87381.58</v>
      </c>
      <c r="Q662" s="601">
        <v>-19460.04</v>
      </c>
      <c r="R662" s="601">
        <v>-61336.62</v>
      </c>
      <c r="S662" s="484">
        <f t="shared" si="95"/>
        <v>-3444.0216666666661</v>
      </c>
      <c r="T662" s="604"/>
      <c r="U662" s="642"/>
      <c r="V662" s="679"/>
      <c r="W662" s="679">
        <f t="shared" si="112"/>
        <v>-3444.0216666666661</v>
      </c>
      <c r="X662" s="702"/>
      <c r="Y662" s="679"/>
      <c r="Z662" s="679"/>
      <c r="AA662" s="642"/>
      <c r="AB662" s="679"/>
      <c r="AC662" s="644">
        <f t="shared" si="113"/>
        <v>-3444.0216666666661</v>
      </c>
      <c r="AD662" s="643"/>
      <c r="AE662" s="643"/>
      <c r="AF662" s="677"/>
    </row>
    <row r="663" spans="1:32">
      <c r="A663" s="604">
        <v>653</v>
      </c>
      <c r="B663" s="604" t="s">
        <v>959</v>
      </c>
      <c r="C663" s="316" t="s">
        <v>634</v>
      </c>
      <c r="D663" s="316" t="s">
        <v>1240</v>
      </c>
      <c r="E663" s="589" t="s">
        <v>1764</v>
      </c>
      <c r="F663" s="601">
        <v>43315.199999999997</v>
      </c>
      <c r="G663" s="601">
        <v>6890.68</v>
      </c>
      <c r="H663" s="601">
        <v>2966.25</v>
      </c>
      <c r="I663" s="601">
        <v>15287.16</v>
      </c>
      <c r="J663" s="601">
        <v>54019.31</v>
      </c>
      <c r="K663" s="601">
        <v>122421.04</v>
      </c>
      <c r="L663" s="601">
        <v>66594.59</v>
      </c>
      <c r="M663" s="601">
        <v>-183745.92000000001</v>
      </c>
      <c r="N663" s="601">
        <v>-240064.83</v>
      </c>
      <c r="O663" s="601">
        <v>-164574.29999999999</v>
      </c>
      <c r="P663" s="601">
        <v>20215.52</v>
      </c>
      <c r="Q663" s="601">
        <v>2363.7599999999902</v>
      </c>
      <c r="R663" s="601">
        <v>-178179.26</v>
      </c>
      <c r="S663" s="484">
        <f t="shared" si="95"/>
        <v>-30421.56416666666</v>
      </c>
      <c r="T663" s="604"/>
      <c r="U663" s="642"/>
      <c r="V663" s="679"/>
      <c r="W663" s="679">
        <f t="shared" si="112"/>
        <v>-30421.56416666666</v>
      </c>
      <c r="X663" s="702"/>
      <c r="Y663" s="679"/>
      <c r="Z663" s="679"/>
      <c r="AA663" s="642"/>
      <c r="AB663" s="679"/>
      <c r="AC663" s="644">
        <f t="shared" si="113"/>
        <v>-30421.56416666666</v>
      </c>
      <c r="AD663" s="643"/>
      <c r="AE663" s="643"/>
      <c r="AF663" s="677"/>
    </row>
    <row r="664" spans="1:32">
      <c r="A664" s="604">
        <v>654</v>
      </c>
      <c r="B664" s="316" t="s">
        <v>984</v>
      </c>
      <c r="C664" s="316" t="s">
        <v>634</v>
      </c>
      <c r="D664" s="604" t="s">
        <v>1239</v>
      </c>
      <c r="E664" s="589" t="s">
        <v>1763</v>
      </c>
      <c r="F664" s="601">
        <v>14614.39</v>
      </c>
      <c r="G664" s="601">
        <v>-20425.59</v>
      </c>
      <c r="H664" s="601">
        <v>-3444.68</v>
      </c>
      <c r="I664" s="601">
        <v>-22974.99</v>
      </c>
      <c r="J664" s="601">
        <v>-17437.82</v>
      </c>
      <c r="K664" s="601">
        <v>-43341.43</v>
      </c>
      <c r="L664" s="601">
        <v>-39704.26</v>
      </c>
      <c r="M664" s="601">
        <v>-31335.63</v>
      </c>
      <c r="N664" s="601">
        <v>-34483.31</v>
      </c>
      <c r="O664" s="601">
        <v>-46595.040000000001</v>
      </c>
      <c r="P664" s="601">
        <v>-63727.839999999997</v>
      </c>
      <c r="Q664" s="601">
        <v>-35938.35</v>
      </c>
      <c r="R664" s="601">
        <v>-31143.1</v>
      </c>
      <c r="S664" s="484">
        <f t="shared" si="95"/>
        <v>-30639.44125</v>
      </c>
      <c r="T664" s="604"/>
      <c r="U664" s="642"/>
      <c r="V664" s="679"/>
      <c r="W664" s="679">
        <f t="shared" si="112"/>
        <v>-30639.44125</v>
      </c>
      <c r="X664" s="702"/>
      <c r="Y664" s="679"/>
      <c r="Z664" s="679"/>
      <c r="AA664" s="642"/>
      <c r="AB664" s="679"/>
      <c r="AC664" s="644">
        <f t="shared" si="113"/>
        <v>-30639.44125</v>
      </c>
      <c r="AD664" s="643"/>
      <c r="AE664" s="643"/>
      <c r="AF664" s="677">
        <f t="shared" si="114"/>
        <v>0</v>
      </c>
    </row>
    <row r="665" spans="1:32">
      <c r="A665" s="604">
        <v>655</v>
      </c>
      <c r="B665" s="522" t="s">
        <v>984</v>
      </c>
      <c r="C665" s="316" t="s">
        <v>634</v>
      </c>
      <c r="D665" s="604" t="s">
        <v>1240</v>
      </c>
      <c r="E665" s="595" t="s">
        <v>1764</v>
      </c>
      <c r="F665" s="601">
        <v>-5388.73</v>
      </c>
      <c r="G665" s="601">
        <v>9523.19</v>
      </c>
      <c r="H665" s="601">
        <v>4358.45</v>
      </c>
      <c r="I665" s="601">
        <v>11723.29</v>
      </c>
      <c r="J665" s="601">
        <v>25882.04</v>
      </c>
      <c r="K665" s="601">
        <v>30748</v>
      </c>
      <c r="L665" s="601">
        <v>21623.9</v>
      </c>
      <c r="M665" s="601">
        <v>3679</v>
      </c>
      <c r="N665" s="601">
        <v>3064.6</v>
      </c>
      <c r="O665" s="601">
        <v>5730.26</v>
      </c>
      <c r="P665" s="601">
        <v>2718.81</v>
      </c>
      <c r="Q665" s="601">
        <v>3747.15</v>
      </c>
      <c r="R665" s="601">
        <v>-146.91999999999999</v>
      </c>
      <c r="S665" s="484">
        <f t="shared" si="95"/>
        <v>10002.572083333333</v>
      </c>
      <c r="T665" s="604"/>
      <c r="U665" s="642"/>
      <c r="V665" s="679"/>
      <c r="W665" s="679">
        <f t="shared" si="112"/>
        <v>10002.572083333333</v>
      </c>
      <c r="X665" s="702"/>
      <c r="Y665" s="679"/>
      <c r="Z665" s="679"/>
      <c r="AA665" s="642"/>
      <c r="AB665" s="679"/>
      <c r="AC665" s="644">
        <f t="shared" si="113"/>
        <v>10002.572083333333</v>
      </c>
      <c r="AD665" s="643"/>
      <c r="AE665" s="643"/>
      <c r="AF665" s="677">
        <f t="shared" si="114"/>
        <v>0</v>
      </c>
    </row>
    <row r="666" spans="1:32">
      <c r="A666" s="604">
        <v>656</v>
      </c>
      <c r="B666" s="522" t="s">
        <v>984</v>
      </c>
      <c r="C666" s="316" t="s">
        <v>125</v>
      </c>
      <c r="D666" s="604"/>
      <c r="E666" s="595" t="s">
        <v>635</v>
      </c>
      <c r="F666" s="601">
        <v>-11000</v>
      </c>
      <c r="G666" s="601">
        <v>-1000</v>
      </c>
      <c r="H666" s="601">
        <v>-2000</v>
      </c>
      <c r="I666" s="601">
        <v>-4000</v>
      </c>
      <c r="J666" s="601">
        <v>-5000</v>
      </c>
      <c r="K666" s="601">
        <v>-6000</v>
      </c>
      <c r="L666" s="601">
        <v>-7000</v>
      </c>
      <c r="M666" s="601">
        <v>-7000</v>
      </c>
      <c r="N666" s="601">
        <v>-8000</v>
      </c>
      <c r="O666" s="601">
        <v>-9000</v>
      </c>
      <c r="P666" s="601">
        <v>-11000</v>
      </c>
      <c r="Q666" s="601">
        <v>-11000</v>
      </c>
      <c r="R666" s="601">
        <v>-12000</v>
      </c>
      <c r="S666" s="484">
        <f t="shared" si="95"/>
        <v>-6875</v>
      </c>
      <c r="T666" s="604"/>
      <c r="U666" s="642"/>
      <c r="V666" s="679"/>
      <c r="W666" s="679">
        <f t="shared" si="112"/>
        <v>-6875</v>
      </c>
      <c r="X666" s="702"/>
      <c r="Y666" s="679"/>
      <c r="Z666" s="679"/>
      <c r="AA666" s="642"/>
      <c r="AB666" s="679"/>
      <c r="AC666" s="644">
        <f t="shared" si="113"/>
        <v>-6875</v>
      </c>
      <c r="AD666" s="643"/>
      <c r="AE666" s="643"/>
      <c r="AF666" s="677">
        <f t="shared" si="114"/>
        <v>0</v>
      </c>
    </row>
    <row r="667" spans="1:32">
      <c r="A667" s="604">
        <v>657</v>
      </c>
      <c r="B667" s="522" t="s">
        <v>959</v>
      </c>
      <c r="C667" s="316" t="s">
        <v>125</v>
      </c>
      <c r="D667" s="604"/>
      <c r="E667" s="595" t="s">
        <v>635</v>
      </c>
      <c r="F667" s="601">
        <v>-100</v>
      </c>
      <c r="G667" s="601">
        <v>0</v>
      </c>
      <c r="H667" s="601">
        <v>0</v>
      </c>
      <c r="I667" s="601">
        <v>0</v>
      </c>
      <c r="J667" s="601">
        <v>0</v>
      </c>
      <c r="K667" s="601">
        <v>0</v>
      </c>
      <c r="L667" s="601">
        <v>0</v>
      </c>
      <c r="M667" s="601">
        <v>0</v>
      </c>
      <c r="N667" s="601">
        <v>0</v>
      </c>
      <c r="O667" s="601">
        <v>0</v>
      </c>
      <c r="P667" s="601">
        <v>0</v>
      </c>
      <c r="Q667" s="601">
        <v>0</v>
      </c>
      <c r="R667" s="601">
        <v>0</v>
      </c>
      <c r="S667" s="484">
        <f t="shared" si="95"/>
        <v>-4.166666666666667</v>
      </c>
      <c r="T667" s="604"/>
      <c r="U667" s="642"/>
      <c r="V667" s="679"/>
      <c r="W667" s="679">
        <f t="shared" si="112"/>
        <v>-4.166666666666667</v>
      </c>
      <c r="X667" s="702"/>
      <c r="Y667" s="679"/>
      <c r="Z667" s="679"/>
      <c r="AA667" s="642"/>
      <c r="AB667" s="679"/>
      <c r="AC667" s="644">
        <f t="shared" si="113"/>
        <v>-4.166666666666667</v>
      </c>
      <c r="AD667" s="643"/>
      <c r="AE667" s="643"/>
      <c r="AF667" s="677">
        <f t="shared" si="114"/>
        <v>0</v>
      </c>
    </row>
    <row r="668" spans="1:32">
      <c r="A668" s="604">
        <v>658</v>
      </c>
      <c r="B668" s="522" t="s">
        <v>956</v>
      </c>
      <c r="C668" s="316" t="s">
        <v>127</v>
      </c>
      <c r="D668" s="604"/>
      <c r="E668" s="595" t="s">
        <v>128</v>
      </c>
      <c r="F668" s="601">
        <v>-114312</v>
      </c>
      <c r="G668" s="601">
        <v>-14184</v>
      </c>
      <c r="H668" s="601">
        <v>-28368</v>
      </c>
      <c r="I668" s="601">
        <v>-42552</v>
      </c>
      <c r="J668" s="601">
        <v>-56736</v>
      </c>
      <c r="K668" s="601">
        <v>0</v>
      </c>
      <c r="L668" s="601">
        <v>0</v>
      </c>
      <c r="M668" s="601">
        <v>0</v>
      </c>
      <c r="N668" s="601">
        <v>0</v>
      </c>
      <c r="O668" s="601">
        <v>0</v>
      </c>
      <c r="P668" s="601">
        <v>0</v>
      </c>
      <c r="Q668" s="601">
        <v>0</v>
      </c>
      <c r="R668" s="601">
        <v>0</v>
      </c>
      <c r="S668" s="484">
        <f t="shared" si="95"/>
        <v>-16583</v>
      </c>
      <c r="T668" s="604"/>
      <c r="U668" s="642"/>
      <c r="V668" s="679"/>
      <c r="W668" s="679">
        <f t="shared" si="112"/>
        <v>-16583</v>
      </c>
      <c r="X668" s="702"/>
      <c r="Y668" s="679"/>
      <c r="Z668" s="679"/>
      <c r="AA668" s="642"/>
      <c r="AB668" s="679"/>
      <c r="AC668" s="644">
        <f t="shared" si="113"/>
        <v>-16583</v>
      </c>
      <c r="AD668" s="643"/>
      <c r="AE668" s="643"/>
      <c r="AF668" s="677">
        <f t="shared" si="114"/>
        <v>0</v>
      </c>
    </row>
    <row r="669" spans="1:32">
      <c r="A669" s="604">
        <v>659</v>
      </c>
      <c r="B669" s="522" t="s">
        <v>956</v>
      </c>
      <c r="C669" s="316" t="s">
        <v>127</v>
      </c>
      <c r="D669" s="604" t="s">
        <v>1922</v>
      </c>
      <c r="E669" s="595" t="s">
        <v>1923</v>
      </c>
      <c r="F669" s="601">
        <v>0</v>
      </c>
      <c r="G669" s="601">
        <v>0</v>
      </c>
      <c r="H669" s="601">
        <v>0</v>
      </c>
      <c r="I669" s="601">
        <v>0</v>
      </c>
      <c r="J669" s="601">
        <v>0</v>
      </c>
      <c r="K669" s="601">
        <v>-34175</v>
      </c>
      <c r="L669" s="601">
        <v>-41010</v>
      </c>
      <c r="M669" s="601">
        <v>-47845</v>
      </c>
      <c r="N669" s="601">
        <v>-54680</v>
      </c>
      <c r="O669" s="601">
        <v>-61515</v>
      </c>
      <c r="P669" s="601">
        <v>-68350</v>
      </c>
      <c r="Q669" s="601">
        <v>-75185</v>
      </c>
      <c r="R669" s="601">
        <v>-82020</v>
      </c>
      <c r="S669" s="484">
        <f t="shared" si="95"/>
        <v>-35314.166666666664</v>
      </c>
      <c r="T669" s="604"/>
      <c r="U669" s="642"/>
      <c r="V669" s="679"/>
      <c r="W669" s="679">
        <f t="shared" si="112"/>
        <v>-35314.166666666664</v>
      </c>
      <c r="X669" s="702"/>
      <c r="Y669" s="679"/>
      <c r="Z669" s="679"/>
      <c r="AA669" s="642"/>
      <c r="AB669" s="679"/>
      <c r="AC669" s="644">
        <f t="shared" si="113"/>
        <v>-35314.166666666664</v>
      </c>
      <c r="AD669" s="643"/>
      <c r="AE669" s="643"/>
      <c r="AF669" s="677"/>
    </row>
    <row r="670" spans="1:32">
      <c r="A670" s="604">
        <v>660</v>
      </c>
      <c r="B670" s="522" t="s">
        <v>956</v>
      </c>
      <c r="C670" s="316" t="s">
        <v>127</v>
      </c>
      <c r="D670" s="604" t="s">
        <v>1924</v>
      </c>
      <c r="E670" s="595" t="s">
        <v>1925</v>
      </c>
      <c r="F670" s="601">
        <v>0</v>
      </c>
      <c r="G670" s="601">
        <v>0</v>
      </c>
      <c r="H670" s="601">
        <v>0</v>
      </c>
      <c r="I670" s="601">
        <v>0</v>
      </c>
      <c r="J670" s="601">
        <v>0</v>
      </c>
      <c r="K670" s="601">
        <v>-36745</v>
      </c>
      <c r="L670" s="601">
        <v>-44094</v>
      </c>
      <c r="M670" s="601">
        <v>-51443</v>
      </c>
      <c r="N670" s="601">
        <v>-58792</v>
      </c>
      <c r="O670" s="601">
        <v>-66141</v>
      </c>
      <c r="P670" s="601">
        <v>-73490</v>
      </c>
      <c r="Q670" s="601">
        <v>-80839</v>
      </c>
      <c r="R670" s="601">
        <v>-88188</v>
      </c>
      <c r="S670" s="484">
        <f t="shared" si="95"/>
        <v>-37969.833333333336</v>
      </c>
      <c r="T670" s="604"/>
      <c r="U670" s="642"/>
      <c r="V670" s="679"/>
      <c r="W670" s="679">
        <f t="shared" si="112"/>
        <v>-37969.833333333336</v>
      </c>
      <c r="X670" s="702"/>
      <c r="Y670" s="679"/>
      <c r="Z670" s="679"/>
      <c r="AA670" s="642"/>
      <c r="AB670" s="679"/>
      <c r="AC670" s="644">
        <f t="shared" si="113"/>
        <v>-37969.833333333336</v>
      </c>
      <c r="AD670" s="643"/>
      <c r="AE670" s="643"/>
      <c r="AF670" s="677"/>
    </row>
    <row r="671" spans="1:32">
      <c r="A671" s="604">
        <v>661</v>
      </c>
      <c r="B671" s="316" t="s">
        <v>956</v>
      </c>
      <c r="C671" s="316" t="s">
        <v>129</v>
      </c>
      <c r="D671" s="316" t="s">
        <v>1241</v>
      </c>
      <c r="E671" s="589" t="s">
        <v>1747</v>
      </c>
      <c r="F671" s="601">
        <v>-56362.15</v>
      </c>
      <c r="G671" s="601">
        <v>-224.3</v>
      </c>
      <c r="H671" s="601">
        <v>-224.3</v>
      </c>
      <c r="I671" s="601">
        <v>-224.3</v>
      </c>
      <c r="J671" s="601">
        <v>-224.3</v>
      </c>
      <c r="K671" s="601">
        <v>-224.3</v>
      </c>
      <c r="L671" s="601">
        <v>-224.3</v>
      </c>
      <c r="M671" s="601">
        <v>-224.3</v>
      </c>
      <c r="N671" s="601">
        <v>-224.3</v>
      </c>
      <c r="O671" s="601">
        <v>-224.3</v>
      </c>
      <c r="P671" s="601">
        <v>-224.3</v>
      </c>
      <c r="Q671" s="601">
        <v>-224.3</v>
      </c>
      <c r="R671" s="601">
        <v>-224.3</v>
      </c>
      <c r="S671" s="484">
        <f t="shared" si="95"/>
        <v>-2563.3770833333333</v>
      </c>
      <c r="T671" s="604"/>
      <c r="U671" s="642"/>
      <c r="V671" s="679"/>
      <c r="W671" s="679">
        <f t="shared" si="112"/>
        <v>-2563.3770833333333</v>
      </c>
      <c r="X671" s="702"/>
      <c r="Y671" s="679"/>
      <c r="Z671" s="679"/>
      <c r="AA671" s="642"/>
      <c r="AB671" s="679"/>
      <c r="AC671" s="644">
        <f t="shared" si="113"/>
        <v>-2563.3770833333333</v>
      </c>
      <c r="AD671" s="643"/>
      <c r="AE671" s="643"/>
      <c r="AF671" s="677">
        <f t="shared" si="114"/>
        <v>0</v>
      </c>
    </row>
    <row r="672" spans="1:32">
      <c r="A672" s="604">
        <v>662</v>
      </c>
      <c r="B672" s="604" t="s">
        <v>984</v>
      </c>
      <c r="C672" s="316" t="s">
        <v>129</v>
      </c>
      <c r="D672" s="316" t="s">
        <v>1242</v>
      </c>
      <c r="E672" s="589" t="s">
        <v>1765</v>
      </c>
      <c r="F672" s="601">
        <v>0</v>
      </c>
      <c r="G672" s="601">
        <v>0</v>
      </c>
      <c r="H672" s="601">
        <v>0</v>
      </c>
      <c r="I672" s="601">
        <v>0</v>
      </c>
      <c r="J672" s="601">
        <v>0</v>
      </c>
      <c r="K672" s="601">
        <v>0</v>
      </c>
      <c r="L672" s="601">
        <v>0</v>
      </c>
      <c r="M672" s="601">
        <v>0</v>
      </c>
      <c r="N672" s="601">
        <v>0</v>
      </c>
      <c r="O672" s="601">
        <v>0</v>
      </c>
      <c r="P672" s="601">
        <v>0</v>
      </c>
      <c r="Q672" s="601">
        <v>0</v>
      </c>
      <c r="R672" s="601">
        <v>0</v>
      </c>
      <c r="S672" s="484">
        <f t="shared" si="95"/>
        <v>0</v>
      </c>
      <c r="T672" s="604"/>
      <c r="U672" s="642"/>
      <c r="V672" s="679"/>
      <c r="W672" s="679">
        <f t="shared" si="112"/>
        <v>0</v>
      </c>
      <c r="X672" s="702"/>
      <c r="Y672" s="679"/>
      <c r="Z672" s="679"/>
      <c r="AA672" s="642"/>
      <c r="AB672" s="679"/>
      <c r="AC672" s="644">
        <f t="shared" si="113"/>
        <v>0</v>
      </c>
      <c r="AD672" s="643"/>
      <c r="AE672" s="643"/>
      <c r="AF672" s="677">
        <f t="shared" si="114"/>
        <v>0</v>
      </c>
    </row>
    <row r="673" spans="1:32">
      <c r="A673" s="604">
        <v>663</v>
      </c>
      <c r="B673" s="604" t="s">
        <v>984</v>
      </c>
      <c r="C673" s="316" t="s">
        <v>129</v>
      </c>
      <c r="D673" s="316" t="s">
        <v>1241</v>
      </c>
      <c r="E673" s="589" t="s">
        <v>1747</v>
      </c>
      <c r="F673" s="601">
        <v>-973</v>
      </c>
      <c r="G673" s="601">
        <v>-76</v>
      </c>
      <c r="H673" s="601">
        <v>-76</v>
      </c>
      <c r="I673" s="601">
        <v>-76</v>
      </c>
      <c r="J673" s="601">
        <v>-615</v>
      </c>
      <c r="K673" s="601">
        <v>-615</v>
      </c>
      <c r="L673" s="601">
        <v>-615</v>
      </c>
      <c r="M673" s="601">
        <v>-615</v>
      </c>
      <c r="N673" s="601">
        <v>-615</v>
      </c>
      <c r="O673" s="601">
        <v>-615</v>
      </c>
      <c r="P673" s="601">
        <v>-615</v>
      </c>
      <c r="Q673" s="601">
        <v>-615</v>
      </c>
      <c r="R673" s="601">
        <v>-615</v>
      </c>
      <c r="S673" s="484">
        <f t="shared" si="95"/>
        <v>-495.16666666666669</v>
      </c>
      <c r="T673" s="604"/>
      <c r="U673" s="642"/>
      <c r="V673" s="679"/>
      <c r="W673" s="679">
        <f t="shared" si="112"/>
        <v>-495.16666666666669</v>
      </c>
      <c r="X673" s="702"/>
      <c r="Y673" s="679"/>
      <c r="Z673" s="679"/>
      <c r="AA673" s="642"/>
      <c r="AB673" s="679"/>
      <c r="AC673" s="644">
        <f t="shared" si="113"/>
        <v>-495.16666666666669</v>
      </c>
      <c r="AD673" s="643"/>
      <c r="AE673" s="643"/>
      <c r="AF673" s="677">
        <f t="shared" si="114"/>
        <v>0</v>
      </c>
    </row>
    <row r="674" spans="1:32">
      <c r="A674" s="604">
        <v>664</v>
      </c>
      <c r="B674" s="604" t="s">
        <v>984</v>
      </c>
      <c r="C674" s="316" t="s">
        <v>129</v>
      </c>
      <c r="D674" s="316" t="s">
        <v>1238</v>
      </c>
      <c r="E674" s="589" t="s">
        <v>1766</v>
      </c>
      <c r="F674" s="601">
        <v>-715.4</v>
      </c>
      <c r="G674" s="601">
        <v>0</v>
      </c>
      <c r="H674" s="601">
        <v>-27.02</v>
      </c>
      <c r="I674" s="601">
        <v>-27.02</v>
      </c>
      <c r="J674" s="601">
        <v>-250.22</v>
      </c>
      <c r="K674" s="601">
        <v>-250.22</v>
      </c>
      <c r="L674" s="601">
        <v>-250.22</v>
      </c>
      <c r="M674" s="601">
        <v>-371.32</v>
      </c>
      <c r="N674" s="601">
        <v>-459.07</v>
      </c>
      <c r="O674" s="601">
        <v>-459.07</v>
      </c>
      <c r="P674" s="601">
        <v>-459.07</v>
      </c>
      <c r="Q674" s="601">
        <v>-459.07</v>
      </c>
      <c r="R674" s="601">
        <v>-459.07</v>
      </c>
      <c r="S674" s="484">
        <f t="shared" si="95"/>
        <v>-299.96125000000001</v>
      </c>
      <c r="T674" s="604"/>
      <c r="U674" s="642"/>
      <c r="V674" s="679"/>
      <c r="W674" s="679">
        <f t="shared" si="112"/>
        <v>-299.96125000000001</v>
      </c>
      <c r="X674" s="702"/>
      <c r="Y674" s="679"/>
      <c r="Z674" s="679"/>
      <c r="AA674" s="642"/>
      <c r="AB674" s="679"/>
      <c r="AC674" s="644">
        <f t="shared" si="113"/>
        <v>-299.96125000000001</v>
      </c>
      <c r="AD674" s="643"/>
      <c r="AE674" s="643"/>
      <c r="AF674" s="677">
        <f t="shared" si="114"/>
        <v>0</v>
      </c>
    </row>
    <row r="675" spans="1:32">
      <c r="A675" s="604">
        <v>665</v>
      </c>
      <c r="B675" s="604" t="s">
        <v>984</v>
      </c>
      <c r="C675" s="316" t="s">
        <v>129</v>
      </c>
      <c r="D675" s="316" t="s">
        <v>1237</v>
      </c>
      <c r="E675" s="589" t="s">
        <v>1767</v>
      </c>
      <c r="F675" s="601">
        <v>-35828.370000000003</v>
      </c>
      <c r="G675" s="601">
        <v>0</v>
      </c>
      <c r="H675" s="601">
        <v>-5142.38</v>
      </c>
      <c r="I675" s="601">
        <v>-3526.64</v>
      </c>
      <c r="J675" s="601">
        <v>-4666.45</v>
      </c>
      <c r="K675" s="601">
        <v>-4666.45</v>
      </c>
      <c r="L675" s="601">
        <v>-11442.12</v>
      </c>
      <c r="M675" s="601">
        <v>-12362.01</v>
      </c>
      <c r="N675" s="601">
        <v>-12362.01</v>
      </c>
      <c r="O675" s="601">
        <v>-12362.01</v>
      </c>
      <c r="P675" s="601">
        <v>-12362.01</v>
      </c>
      <c r="Q675" s="601">
        <v>-12362.01</v>
      </c>
      <c r="R675" s="601">
        <v>-12362.01</v>
      </c>
      <c r="S675" s="484">
        <f t="shared" si="95"/>
        <v>-9612.44</v>
      </c>
      <c r="T675" s="604"/>
      <c r="U675" s="642"/>
      <c r="V675" s="679"/>
      <c r="W675" s="679">
        <f t="shared" si="112"/>
        <v>-9612.44</v>
      </c>
      <c r="X675" s="702"/>
      <c r="Y675" s="679"/>
      <c r="Z675" s="679"/>
      <c r="AA675" s="642"/>
      <c r="AB675" s="679"/>
      <c r="AC675" s="644">
        <f t="shared" si="113"/>
        <v>-9612.44</v>
      </c>
      <c r="AD675" s="643"/>
      <c r="AE675" s="643"/>
      <c r="AF675" s="677">
        <f t="shared" si="114"/>
        <v>0</v>
      </c>
    </row>
    <row r="676" spans="1:32">
      <c r="A676" s="604">
        <v>666</v>
      </c>
      <c r="B676" s="604" t="s">
        <v>959</v>
      </c>
      <c r="C676" s="316" t="s">
        <v>129</v>
      </c>
      <c r="D676" s="316" t="s">
        <v>1242</v>
      </c>
      <c r="E676" s="589" t="s">
        <v>1765</v>
      </c>
      <c r="F676" s="601">
        <v>-4831.1899999999996</v>
      </c>
      <c r="G676" s="601">
        <v>0</v>
      </c>
      <c r="H676" s="601">
        <v>2249.67</v>
      </c>
      <c r="I676" s="601">
        <v>2249.67</v>
      </c>
      <c r="J676" s="601">
        <v>2249.67</v>
      </c>
      <c r="K676" s="601">
        <v>-328.31</v>
      </c>
      <c r="L676" s="601">
        <v>-2548.41</v>
      </c>
      <c r="M676" s="601">
        <v>-7661.83</v>
      </c>
      <c r="N676" s="601">
        <v>-15556.23</v>
      </c>
      <c r="O676" s="601">
        <v>-15556.23</v>
      </c>
      <c r="P676" s="601">
        <v>-15556.23</v>
      </c>
      <c r="Q676" s="601">
        <v>-42033.75</v>
      </c>
      <c r="R676" s="601">
        <v>-44223.51</v>
      </c>
      <c r="S676" s="484">
        <f t="shared" si="95"/>
        <v>-9751.6108333333341</v>
      </c>
      <c r="T676" s="604"/>
      <c r="U676" s="642"/>
      <c r="V676" s="679"/>
      <c r="W676" s="679">
        <f t="shared" si="112"/>
        <v>-9751.6108333333341</v>
      </c>
      <c r="X676" s="702"/>
      <c r="Y676" s="679"/>
      <c r="Z676" s="679"/>
      <c r="AA676" s="642"/>
      <c r="AB676" s="679"/>
      <c r="AC676" s="644">
        <f t="shared" si="113"/>
        <v>-9751.6108333333341</v>
      </c>
      <c r="AD676" s="643"/>
      <c r="AE676" s="643"/>
      <c r="AF676" s="677">
        <f t="shared" si="114"/>
        <v>0</v>
      </c>
    </row>
    <row r="677" spans="1:32">
      <c r="A677" s="604">
        <v>667</v>
      </c>
      <c r="B677" s="604" t="s">
        <v>959</v>
      </c>
      <c r="C677" s="316" t="s">
        <v>129</v>
      </c>
      <c r="D677" s="316" t="s">
        <v>1241</v>
      </c>
      <c r="E677" s="589" t="s">
        <v>1747</v>
      </c>
      <c r="F677" s="601">
        <v>-4853.8900000000003</v>
      </c>
      <c r="G677" s="601">
        <v>-590</v>
      </c>
      <c r="H677" s="601">
        <v>-1180</v>
      </c>
      <c r="I677" s="601">
        <v>-1770</v>
      </c>
      <c r="J677" s="601">
        <v>-3683.08</v>
      </c>
      <c r="K677" s="601">
        <v>-10038.27</v>
      </c>
      <c r="L677" s="601">
        <v>-10678.27</v>
      </c>
      <c r="M677" s="601">
        <v>-11318.27</v>
      </c>
      <c r="N677" s="601">
        <v>-12463.11</v>
      </c>
      <c r="O677" s="601">
        <v>-14116.62</v>
      </c>
      <c r="P677" s="601">
        <v>-14756.62</v>
      </c>
      <c r="Q677" s="601">
        <v>-15396.62</v>
      </c>
      <c r="R677" s="601">
        <v>-15446.62</v>
      </c>
      <c r="S677" s="484">
        <f t="shared" si="95"/>
        <v>-8845.0929166666665</v>
      </c>
      <c r="T677" s="604"/>
      <c r="U677" s="642"/>
      <c r="V677" s="679"/>
      <c r="W677" s="679">
        <f t="shared" si="112"/>
        <v>-8845.0929166666665</v>
      </c>
      <c r="X677" s="702"/>
      <c r="Y677" s="679"/>
      <c r="Z677" s="679"/>
      <c r="AA677" s="642"/>
      <c r="AB677" s="679"/>
      <c r="AC677" s="644">
        <f t="shared" si="113"/>
        <v>-8845.0929166666665</v>
      </c>
      <c r="AD677" s="643"/>
      <c r="AE677" s="643"/>
      <c r="AF677" s="677">
        <f t="shared" si="114"/>
        <v>0</v>
      </c>
    </row>
    <row r="678" spans="1:32">
      <c r="A678" s="604">
        <v>668</v>
      </c>
      <c r="B678" s="604" t="s">
        <v>959</v>
      </c>
      <c r="C678" s="316" t="s">
        <v>129</v>
      </c>
      <c r="D678" s="316" t="s">
        <v>1238</v>
      </c>
      <c r="E678" s="589" t="s">
        <v>1766</v>
      </c>
      <c r="F678" s="601">
        <v>-2511.16</v>
      </c>
      <c r="G678" s="601">
        <v>0</v>
      </c>
      <c r="H678" s="601">
        <v>-245.39</v>
      </c>
      <c r="I678" s="601">
        <v>-245.39</v>
      </c>
      <c r="J678" s="601">
        <v>-245.39</v>
      </c>
      <c r="K678" s="601">
        <v>-1093.49</v>
      </c>
      <c r="L678" s="601">
        <v>-1737.34</v>
      </c>
      <c r="M678" s="601">
        <v>-1957.19</v>
      </c>
      <c r="N678" s="601">
        <v>-2489.61</v>
      </c>
      <c r="O678" s="601">
        <v>-2490.52</v>
      </c>
      <c r="P678" s="601">
        <v>-2626.9</v>
      </c>
      <c r="Q678" s="601">
        <v>-2626.9</v>
      </c>
      <c r="R678" s="601">
        <v>-2784.79</v>
      </c>
      <c r="S678" s="484">
        <f t="shared" si="95"/>
        <v>-1533.8412500000002</v>
      </c>
      <c r="T678" s="604"/>
      <c r="U678" s="642"/>
      <c r="V678" s="679"/>
      <c r="W678" s="679">
        <f t="shared" si="112"/>
        <v>-1533.8412500000002</v>
      </c>
      <c r="X678" s="702"/>
      <c r="Y678" s="679"/>
      <c r="Z678" s="679"/>
      <c r="AA678" s="642"/>
      <c r="AB678" s="679"/>
      <c r="AC678" s="644">
        <f t="shared" si="113"/>
        <v>-1533.8412500000002</v>
      </c>
      <c r="AD678" s="643"/>
      <c r="AE678" s="643"/>
      <c r="AF678" s="677">
        <f t="shared" si="114"/>
        <v>0</v>
      </c>
    </row>
    <row r="679" spans="1:32">
      <c r="A679" s="604">
        <v>669</v>
      </c>
      <c r="B679" s="604" t="s">
        <v>959</v>
      </c>
      <c r="C679" s="316" t="s">
        <v>129</v>
      </c>
      <c r="D679" s="316" t="s">
        <v>1237</v>
      </c>
      <c r="E679" s="589" t="s">
        <v>1767</v>
      </c>
      <c r="F679" s="601">
        <v>-18478</v>
      </c>
      <c r="G679" s="601">
        <v>0</v>
      </c>
      <c r="H679" s="601">
        <v>0</v>
      </c>
      <c r="I679" s="601">
        <v>0</v>
      </c>
      <c r="J679" s="601">
        <v>-1980.35</v>
      </c>
      <c r="K679" s="601">
        <v>-2110.35</v>
      </c>
      <c r="L679" s="601">
        <v>-7357.95</v>
      </c>
      <c r="M679" s="601">
        <v>-7940.26</v>
      </c>
      <c r="N679" s="601">
        <v>-9463.67</v>
      </c>
      <c r="O679" s="601">
        <v>-9463.67</v>
      </c>
      <c r="P679" s="601">
        <v>-12512.1</v>
      </c>
      <c r="Q679" s="601">
        <v>-16089.16</v>
      </c>
      <c r="R679" s="601">
        <v>-28833.91</v>
      </c>
      <c r="S679" s="484">
        <f t="shared" si="95"/>
        <v>-7547.7887499999997</v>
      </c>
      <c r="T679" s="604"/>
      <c r="U679" s="642"/>
      <c r="V679" s="679"/>
      <c r="W679" s="679">
        <f t="shared" si="112"/>
        <v>-7547.7887499999997</v>
      </c>
      <c r="X679" s="702"/>
      <c r="Y679" s="679"/>
      <c r="Z679" s="679"/>
      <c r="AA679" s="642"/>
      <c r="AB679" s="679"/>
      <c r="AC679" s="644">
        <f t="shared" si="113"/>
        <v>-7547.7887499999997</v>
      </c>
      <c r="AD679" s="643"/>
      <c r="AE679" s="643"/>
      <c r="AF679" s="677">
        <f t="shared" si="114"/>
        <v>0</v>
      </c>
    </row>
    <row r="680" spans="1:32">
      <c r="A680" s="604">
        <v>670</v>
      </c>
      <c r="B680" s="604" t="s">
        <v>959</v>
      </c>
      <c r="C680" s="316">
        <v>4962</v>
      </c>
      <c r="D680" s="316"/>
      <c r="E680" s="589" t="s">
        <v>1768</v>
      </c>
      <c r="F680" s="601">
        <v>2764815.37</v>
      </c>
      <c r="G680" s="601">
        <v>-280982.87</v>
      </c>
      <c r="H680" s="601">
        <v>-665675.09</v>
      </c>
      <c r="I680" s="601">
        <v>-921322.2</v>
      </c>
      <c r="J680" s="601">
        <v>-924164.05</v>
      </c>
      <c r="K680" s="601">
        <v>-846390.45</v>
      </c>
      <c r="L680" s="601">
        <v>-714598.13</v>
      </c>
      <c r="M680" s="601">
        <v>-582529.80000000005</v>
      </c>
      <c r="N680" s="601">
        <v>-419848.05</v>
      </c>
      <c r="O680" s="601">
        <v>-418430.1</v>
      </c>
      <c r="P680" s="601">
        <v>-472174.9</v>
      </c>
      <c r="Q680" s="601">
        <v>-533440.56000000006</v>
      </c>
      <c r="R680" s="601">
        <v>-171784.99</v>
      </c>
      <c r="S680" s="484">
        <f t="shared" si="95"/>
        <v>-456920.08416666667</v>
      </c>
      <c r="T680" s="604"/>
      <c r="U680" s="642"/>
      <c r="V680" s="679"/>
      <c r="W680" s="679">
        <f t="shared" si="112"/>
        <v>-456920.08416666667</v>
      </c>
      <c r="X680" s="702"/>
      <c r="Y680" s="679"/>
      <c r="Z680" s="679"/>
      <c r="AA680" s="642"/>
      <c r="AB680" s="679"/>
      <c r="AC680" s="644">
        <f t="shared" si="113"/>
        <v>-456920.08416666667</v>
      </c>
      <c r="AD680" s="643"/>
      <c r="AE680" s="643"/>
      <c r="AF680" s="677">
        <f t="shared" si="114"/>
        <v>0</v>
      </c>
    </row>
    <row r="681" spans="1:32">
      <c r="A681" s="604">
        <v>671</v>
      </c>
      <c r="B681" s="604" t="s">
        <v>959</v>
      </c>
      <c r="C681" s="316">
        <v>4962</v>
      </c>
      <c r="D681" s="316">
        <v>1</v>
      </c>
      <c r="E681" s="589" t="s">
        <v>1785</v>
      </c>
      <c r="F681" s="601">
        <v>-340090.29</v>
      </c>
      <c r="G681" s="601">
        <v>-73314.78</v>
      </c>
      <c r="H681" s="601">
        <v>-137130.63</v>
      </c>
      <c r="I681" s="601">
        <v>-198957.22</v>
      </c>
      <c r="J681" s="601">
        <v>-254405.82</v>
      </c>
      <c r="K681" s="601">
        <v>-306680.53000000003</v>
      </c>
      <c r="L681" s="601">
        <v>-369131.22</v>
      </c>
      <c r="M681" s="601">
        <v>-456366</v>
      </c>
      <c r="N681" s="601">
        <v>-557780.61</v>
      </c>
      <c r="O681" s="601">
        <v>-654771.38</v>
      </c>
      <c r="P681" s="601">
        <v>-723450.44</v>
      </c>
      <c r="Q681" s="601">
        <v>-770696.42</v>
      </c>
      <c r="R681" s="601">
        <v>-829904.01</v>
      </c>
      <c r="S681" s="484">
        <f t="shared" si="95"/>
        <v>-423973.51666666666</v>
      </c>
      <c r="T681" s="604"/>
      <c r="U681" s="642"/>
      <c r="V681" s="679"/>
      <c r="W681" s="679">
        <f t="shared" si="112"/>
        <v>-423973.51666666666</v>
      </c>
      <c r="X681" s="702"/>
      <c r="Y681" s="679"/>
      <c r="Z681" s="679"/>
      <c r="AA681" s="642"/>
      <c r="AB681" s="679"/>
      <c r="AC681" s="644">
        <f t="shared" si="113"/>
        <v>-423973.51666666666</v>
      </c>
      <c r="AD681" s="643"/>
      <c r="AE681" s="643"/>
      <c r="AF681" s="677">
        <f t="shared" si="114"/>
        <v>0</v>
      </c>
    </row>
    <row r="682" spans="1:32">
      <c r="A682" s="604">
        <v>672</v>
      </c>
      <c r="B682" s="604" t="s">
        <v>984</v>
      </c>
      <c r="C682" s="316" t="s">
        <v>1928</v>
      </c>
      <c r="D682" s="604"/>
      <c r="E682" s="589" t="s">
        <v>1768</v>
      </c>
      <c r="F682" s="601">
        <v>1558019.97</v>
      </c>
      <c r="G682" s="601">
        <v>249016.3</v>
      </c>
      <c r="H682" s="601">
        <v>450949.83</v>
      </c>
      <c r="I682" s="601">
        <v>621635.15</v>
      </c>
      <c r="J682" s="601">
        <v>489060.61</v>
      </c>
      <c r="K682" s="601">
        <v>569478.41</v>
      </c>
      <c r="L682" s="601">
        <v>607869.43000000005</v>
      </c>
      <c r="M682" s="601">
        <v>647160.75</v>
      </c>
      <c r="N682" s="601">
        <v>687361.43</v>
      </c>
      <c r="O682" s="601">
        <v>698023.77</v>
      </c>
      <c r="P682" s="601">
        <v>698636.72</v>
      </c>
      <c r="Q682" s="601">
        <v>522111.3</v>
      </c>
      <c r="R682" s="601">
        <v>299675.57</v>
      </c>
      <c r="S682" s="484">
        <f>((F682+R682)+((G682+H682+I682+J682+K682+L682+M682+N682+O682+P682+Q682)*2))/24</f>
        <v>597512.62249999994</v>
      </c>
      <c r="T682" s="604"/>
      <c r="U682" s="642"/>
      <c r="V682" s="679"/>
      <c r="W682" s="679">
        <f t="shared" si="112"/>
        <v>597512.62249999994</v>
      </c>
      <c r="X682" s="702"/>
      <c r="Y682" s="679"/>
      <c r="Z682" s="679"/>
      <c r="AA682" s="642"/>
      <c r="AB682" s="679"/>
      <c r="AC682" s="644">
        <f t="shared" si="113"/>
        <v>597512.62249999994</v>
      </c>
      <c r="AD682" s="643"/>
      <c r="AE682" s="643"/>
      <c r="AF682" s="677">
        <f t="shared" si="114"/>
        <v>0</v>
      </c>
    </row>
    <row r="683" spans="1:32">
      <c r="A683" s="604">
        <v>673</v>
      </c>
      <c r="B683" s="604" t="s">
        <v>984</v>
      </c>
      <c r="C683" s="316" t="s">
        <v>1928</v>
      </c>
      <c r="D683" s="604" t="s">
        <v>515</v>
      </c>
      <c r="E683" s="589" t="s">
        <v>1785</v>
      </c>
      <c r="F683" s="601">
        <v>0</v>
      </c>
      <c r="G683" s="601">
        <v>0</v>
      </c>
      <c r="H683" s="601">
        <v>0</v>
      </c>
      <c r="I683" s="601">
        <v>0</v>
      </c>
      <c r="J683" s="601">
        <v>-550.71</v>
      </c>
      <c r="K683" s="601">
        <v>-1222.68</v>
      </c>
      <c r="L683" s="601">
        <v>-1905.55</v>
      </c>
      <c r="M683" s="601">
        <v>-2585.9699999999998</v>
      </c>
      <c r="N683" s="601">
        <v>-3255.41</v>
      </c>
      <c r="O683" s="601">
        <v>-3923.66</v>
      </c>
      <c r="P683" s="601">
        <v>-7672.7</v>
      </c>
      <c r="Q683" s="601">
        <v>-19523.88</v>
      </c>
      <c r="R683" s="601">
        <v>-31522.11</v>
      </c>
      <c r="S683" s="484">
        <f>((F683+R683)+((G683+H683+I683+J683+K683+L683+M683+N683+O683+P683+Q683)*2))/24</f>
        <v>-4700.1345833333335</v>
      </c>
      <c r="T683" s="604"/>
      <c r="U683" s="642"/>
      <c r="V683" s="679"/>
      <c r="W683" s="679">
        <f t="shared" si="112"/>
        <v>-4700.1345833333335</v>
      </c>
      <c r="X683" s="702"/>
      <c r="Y683" s="679"/>
      <c r="Z683" s="679"/>
      <c r="AA683" s="642"/>
      <c r="AB683" s="679"/>
      <c r="AC683" s="644">
        <f t="shared" si="113"/>
        <v>-4700.1345833333335</v>
      </c>
      <c r="AD683" s="643"/>
      <c r="AE683" s="643"/>
      <c r="AF683" s="677"/>
    </row>
    <row r="684" spans="1:32">
      <c r="A684" s="604">
        <v>674</v>
      </c>
      <c r="B684" s="604" t="s">
        <v>369</v>
      </c>
      <c r="C684" s="316" t="s">
        <v>636</v>
      </c>
      <c r="D684" s="604" t="s">
        <v>369</v>
      </c>
      <c r="E684" s="589" t="s">
        <v>637</v>
      </c>
      <c r="F684" s="303">
        <v>0</v>
      </c>
      <c r="G684" s="303">
        <v>0</v>
      </c>
      <c r="H684" s="303">
        <v>0</v>
      </c>
      <c r="I684" s="303">
        <v>0</v>
      </c>
      <c r="J684" s="303">
        <v>0</v>
      </c>
      <c r="K684" s="303">
        <v>0</v>
      </c>
      <c r="L684" s="303">
        <v>0</v>
      </c>
      <c r="M684" s="303">
        <v>0</v>
      </c>
      <c r="N684" s="303">
        <v>0</v>
      </c>
      <c r="O684" s="303">
        <v>0</v>
      </c>
      <c r="P684" s="303">
        <v>0</v>
      </c>
      <c r="Q684" s="303">
        <v>0</v>
      </c>
      <c r="R684" s="303">
        <v>0</v>
      </c>
      <c r="S684" s="484">
        <f t="shared" si="95"/>
        <v>0</v>
      </c>
      <c r="T684" s="604"/>
      <c r="U684" s="642"/>
      <c r="V684" s="679"/>
      <c r="W684" s="679">
        <f t="shared" si="112"/>
        <v>0</v>
      </c>
      <c r="X684" s="702"/>
      <c r="Y684" s="679"/>
      <c r="Z684" s="679"/>
      <c r="AA684" s="642"/>
      <c r="AB684" s="679"/>
      <c r="AC684" s="644">
        <f>+S684</f>
        <v>0</v>
      </c>
      <c r="AD684" s="643"/>
      <c r="AE684" s="643"/>
      <c r="AF684" s="677">
        <f t="shared" si="114"/>
        <v>0</v>
      </c>
    </row>
    <row r="685" spans="1:32">
      <c r="A685" s="604">
        <v>675</v>
      </c>
      <c r="B685" s="604"/>
      <c r="C685" s="604"/>
      <c r="D685" s="604"/>
      <c r="E685" s="589" t="s">
        <v>638</v>
      </c>
      <c r="F685" s="295">
        <f>SUM(F617:F684)</f>
        <v>-286825672.86999995</v>
      </c>
      <c r="G685" s="295">
        <f t="shared" ref="G685:R685" si="115">SUM(G617:G684)</f>
        <v>-40243392.660000004</v>
      </c>
      <c r="H685" s="295">
        <f t="shared" si="115"/>
        <v>-81998266.249999955</v>
      </c>
      <c r="I685" s="295">
        <f t="shared" si="115"/>
        <v>-115278818.35999994</v>
      </c>
      <c r="J685" s="295">
        <f t="shared" si="115"/>
        <v>-137104015.16</v>
      </c>
      <c r="K685" s="295">
        <f t="shared" si="115"/>
        <v>-151942097.19000003</v>
      </c>
      <c r="L685" s="295">
        <f t="shared" si="115"/>
        <v>-163827574.58999997</v>
      </c>
      <c r="M685" s="295">
        <f t="shared" si="115"/>
        <v>-175584823.07999995</v>
      </c>
      <c r="N685" s="295">
        <f t="shared" si="115"/>
        <v>-185596413.00999999</v>
      </c>
      <c r="O685" s="295">
        <f t="shared" si="115"/>
        <v>-199825338.64000005</v>
      </c>
      <c r="P685" s="295">
        <f t="shared" si="115"/>
        <v>-226710493.77999997</v>
      </c>
      <c r="Q685" s="295">
        <f t="shared" si="115"/>
        <v>-266190130.81999996</v>
      </c>
      <c r="R685" s="295">
        <f t="shared" si="115"/>
        <v>-314395576.48000008</v>
      </c>
      <c r="S685" s="486">
        <f>SUM(S617:S684)</f>
        <v>-170409332.35125008</v>
      </c>
      <c r="T685" s="604"/>
      <c r="U685" s="642"/>
      <c r="V685" s="679"/>
      <c r="W685" s="679"/>
      <c r="X685" s="702"/>
      <c r="Y685" s="679"/>
      <c r="Z685" s="679"/>
      <c r="AA685" s="642"/>
      <c r="AB685" s="679"/>
      <c r="AC685" s="643"/>
      <c r="AD685" s="643"/>
      <c r="AE685" s="643"/>
      <c r="AF685" s="677">
        <f t="shared" si="114"/>
        <v>0</v>
      </c>
    </row>
    <row r="686" spans="1:32">
      <c r="A686" s="604">
        <v>676</v>
      </c>
      <c r="B686" s="604"/>
      <c r="C686" s="604"/>
      <c r="D686" s="604"/>
      <c r="E686" s="589"/>
      <c r="F686" s="603"/>
      <c r="G686" s="314"/>
      <c r="H686" s="305"/>
      <c r="I686" s="305"/>
      <c r="J686" s="306"/>
      <c r="K686" s="307"/>
      <c r="L686" s="308"/>
      <c r="M686" s="309"/>
      <c r="N686" s="310"/>
      <c r="O686" s="590"/>
      <c r="P686" s="311"/>
      <c r="Q686" s="315"/>
      <c r="R686" s="603"/>
      <c r="S686" s="294"/>
      <c r="T686" s="604"/>
      <c r="U686" s="642"/>
      <c r="V686" s="679"/>
      <c r="W686" s="679"/>
      <c r="X686" s="702"/>
      <c r="Y686" s="679"/>
      <c r="Z686" s="679"/>
      <c r="AA686" s="642"/>
      <c r="AB686" s="679"/>
      <c r="AC686" s="643"/>
      <c r="AD686" s="643"/>
      <c r="AE686" s="643"/>
      <c r="AF686" s="677">
        <f t="shared" si="114"/>
        <v>0</v>
      </c>
    </row>
    <row r="687" spans="1:32">
      <c r="A687" s="604">
        <v>677</v>
      </c>
      <c r="B687" s="604" t="s">
        <v>956</v>
      </c>
      <c r="C687" s="604" t="s">
        <v>643</v>
      </c>
      <c r="D687" s="604"/>
      <c r="E687" s="589" t="s">
        <v>644</v>
      </c>
      <c r="F687" s="603">
        <v>-8686.9500000000007</v>
      </c>
      <c r="G687" s="314">
        <v>-1902.08</v>
      </c>
      <c r="H687" s="305">
        <v>-2909.11</v>
      </c>
      <c r="I687" s="305">
        <v>-3701.7</v>
      </c>
      <c r="J687" s="306">
        <v>-5088.7700000000004</v>
      </c>
      <c r="K687" s="307">
        <v>-5413.93</v>
      </c>
      <c r="L687" s="308">
        <v>-5821.58</v>
      </c>
      <c r="M687" s="309">
        <v>-6604.72</v>
      </c>
      <c r="N687" s="310">
        <v>-6604.72</v>
      </c>
      <c r="O687" s="590">
        <v>-6604.72</v>
      </c>
      <c r="P687" s="311">
        <v>-6937.53</v>
      </c>
      <c r="Q687" s="315">
        <v>-7240.98</v>
      </c>
      <c r="R687" s="603">
        <v>-8173.8</v>
      </c>
      <c r="S687" s="484">
        <f t="shared" ref="S687:S697" si="116">((F687+R687)+((G687+H687+I687+J687+K687+L687+M687+N687+O687+P687+Q687)*2))/24</f>
        <v>-5605.0179166666667</v>
      </c>
      <c r="T687" s="604"/>
      <c r="U687" s="642"/>
      <c r="V687" s="679"/>
      <c r="W687" s="679">
        <f>+S687</f>
        <v>-5605.0179166666667</v>
      </c>
      <c r="X687" s="702"/>
      <c r="Y687" s="679"/>
      <c r="Z687" s="679"/>
      <c r="AA687" s="642"/>
      <c r="AB687" s="679"/>
      <c r="AC687" s="644">
        <f>+S687</f>
        <v>-5605.0179166666667</v>
      </c>
      <c r="AD687" s="643"/>
      <c r="AE687" s="643"/>
      <c r="AF687" s="677"/>
    </row>
    <row r="688" spans="1:32">
      <c r="A688" s="604">
        <v>678</v>
      </c>
      <c r="B688" s="316" t="s">
        <v>956</v>
      </c>
      <c r="C688" s="316" t="s">
        <v>639</v>
      </c>
      <c r="D688" s="316" t="s">
        <v>1243</v>
      </c>
      <c r="E688" s="595" t="s">
        <v>325</v>
      </c>
      <c r="F688" s="601">
        <v>-3011.09</v>
      </c>
      <c r="G688" s="601">
        <v>-2.21</v>
      </c>
      <c r="H688" s="601">
        <v>-5.3</v>
      </c>
      <c r="I688" s="601">
        <v>-7.29</v>
      </c>
      <c r="J688" s="601">
        <v>-10.130000000000001</v>
      </c>
      <c r="K688" s="601">
        <v>-12.8</v>
      </c>
      <c r="L688" s="601">
        <v>-15.56</v>
      </c>
      <c r="M688" s="601">
        <v>-31.15</v>
      </c>
      <c r="N688" s="601">
        <v>-33.909999999999997</v>
      </c>
      <c r="O688" s="601">
        <v>-36.67</v>
      </c>
      <c r="P688" s="601">
        <v>-39.340000000000003</v>
      </c>
      <c r="Q688" s="601">
        <v>-44.08</v>
      </c>
      <c r="R688" s="601">
        <v>-45.93</v>
      </c>
      <c r="S688" s="484">
        <f t="shared" si="116"/>
        <v>-147.24583333333334</v>
      </c>
      <c r="T688" s="604"/>
      <c r="U688" s="642"/>
      <c r="V688" s="679"/>
      <c r="W688" s="679">
        <f>+S688</f>
        <v>-147.24583333333334</v>
      </c>
      <c r="X688" s="702"/>
      <c r="Y688" s="679"/>
      <c r="Z688" s="679"/>
      <c r="AA688" s="642"/>
      <c r="AB688" s="679"/>
      <c r="AC688" s="644">
        <f>+S688</f>
        <v>-147.24583333333334</v>
      </c>
      <c r="AD688" s="643"/>
      <c r="AE688" s="643"/>
      <c r="AF688" s="677">
        <f t="shared" si="114"/>
        <v>0</v>
      </c>
    </row>
    <row r="689" spans="1:32">
      <c r="A689" s="604">
        <v>679</v>
      </c>
      <c r="B689" s="316" t="s">
        <v>956</v>
      </c>
      <c r="C689" s="316" t="s">
        <v>639</v>
      </c>
      <c r="D689" s="316" t="s">
        <v>276</v>
      </c>
      <c r="E689" s="595" t="s">
        <v>1786</v>
      </c>
      <c r="F689" s="601">
        <v>-859.68</v>
      </c>
      <c r="G689" s="601">
        <v>-3040.72</v>
      </c>
      <c r="H689" s="601">
        <v>-3568.82</v>
      </c>
      <c r="I689" s="601">
        <v>-8187.51</v>
      </c>
      <c r="J689" s="601">
        <v>-8889.35</v>
      </c>
      <c r="K689" s="601">
        <v>-17552.66</v>
      </c>
      <c r="L689" s="601">
        <v>-27829.040000000001</v>
      </c>
      <c r="M689" s="601">
        <v>-28285.03</v>
      </c>
      <c r="N689" s="601">
        <v>-36630.01</v>
      </c>
      <c r="O689" s="601">
        <v>-39414.699999999997</v>
      </c>
      <c r="P689" s="601">
        <v>-45606.73</v>
      </c>
      <c r="Q689" s="601">
        <v>-48047.77</v>
      </c>
      <c r="R689" s="601">
        <v>-50576.59</v>
      </c>
      <c r="S689" s="484">
        <f t="shared" si="116"/>
        <v>-24397.539583333335</v>
      </c>
      <c r="T689" s="604"/>
      <c r="U689" s="642"/>
      <c r="V689" s="679"/>
      <c r="W689" s="679">
        <f>+S689</f>
        <v>-24397.539583333335</v>
      </c>
      <c r="X689" s="702"/>
      <c r="Y689" s="679"/>
      <c r="Z689" s="679"/>
      <c r="AA689" s="642"/>
      <c r="AB689" s="679"/>
      <c r="AC689" s="644">
        <f t="shared" ref="AC689:AC697" si="117">+S689</f>
        <v>-24397.539583333335</v>
      </c>
      <c r="AD689" s="643"/>
      <c r="AE689" s="643"/>
      <c r="AF689" s="677">
        <f t="shared" si="114"/>
        <v>0</v>
      </c>
    </row>
    <row r="690" spans="1:32">
      <c r="A690" s="604">
        <v>680</v>
      </c>
      <c r="B690" s="316" t="s">
        <v>984</v>
      </c>
      <c r="C690" s="316" t="s">
        <v>639</v>
      </c>
      <c r="D690" s="316" t="s">
        <v>1113</v>
      </c>
      <c r="E690" s="595" t="s">
        <v>1789</v>
      </c>
      <c r="F690" s="601">
        <v>-36347.879999999997</v>
      </c>
      <c r="G690" s="601">
        <v>-455.26</v>
      </c>
      <c r="H690" s="601">
        <v>-842.9</v>
      </c>
      <c r="I690" s="601">
        <v>-24246.53</v>
      </c>
      <c r="J690" s="601">
        <v>-33614.74</v>
      </c>
      <c r="K690" s="601">
        <v>-34273.769999999997</v>
      </c>
      <c r="L690" s="601">
        <v>-40796.589999999997</v>
      </c>
      <c r="M690" s="601">
        <v>-42080.53</v>
      </c>
      <c r="N690" s="601">
        <v>-45378.37</v>
      </c>
      <c r="O690" s="601">
        <v>-48246.91</v>
      </c>
      <c r="P690" s="601">
        <v>-52939.5</v>
      </c>
      <c r="Q690" s="601">
        <v>-55862.38</v>
      </c>
      <c r="R690" s="601">
        <v>-57922.16</v>
      </c>
      <c r="S690" s="484">
        <f t="shared" si="116"/>
        <v>-35489.375</v>
      </c>
      <c r="T690" s="604"/>
      <c r="U690" s="642"/>
      <c r="V690" s="679"/>
      <c r="W690" s="679">
        <f t="shared" ref="W690:W697" si="118">+S690</f>
        <v>-35489.375</v>
      </c>
      <c r="X690" s="702"/>
      <c r="Y690" s="679"/>
      <c r="Z690" s="679"/>
      <c r="AA690" s="642"/>
      <c r="AB690" s="679"/>
      <c r="AC690" s="644">
        <f t="shared" si="117"/>
        <v>-35489.375</v>
      </c>
      <c r="AD690" s="643"/>
      <c r="AE690" s="643"/>
      <c r="AF690" s="677">
        <f t="shared" si="114"/>
        <v>0</v>
      </c>
    </row>
    <row r="691" spans="1:32">
      <c r="A691" s="604">
        <v>681</v>
      </c>
      <c r="B691" s="316" t="s">
        <v>984</v>
      </c>
      <c r="C691" s="316" t="s">
        <v>639</v>
      </c>
      <c r="D691" s="316" t="s">
        <v>1244</v>
      </c>
      <c r="E691" s="595" t="s">
        <v>1790</v>
      </c>
      <c r="F691" s="601">
        <v>-48958.11</v>
      </c>
      <c r="G691" s="601">
        <v>-15345.72</v>
      </c>
      <c r="H691" s="601">
        <v>-24031.27</v>
      </c>
      <c r="I691" s="601">
        <v>-41781.269999999997</v>
      </c>
      <c r="J691" s="601">
        <v>-63424.37</v>
      </c>
      <c r="K691" s="601">
        <v>-89261.28</v>
      </c>
      <c r="L691" s="601">
        <v>-116170.82</v>
      </c>
      <c r="M691" s="601">
        <v>-145760.34</v>
      </c>
      <c r="N691" s="601">
        <v>-177943.42</v>
      </c>
      <c r="O691" s="601">
        <v>-214903.77</v>
      </c>
      <c r="P691" s="601">
        <v>-243170.11</v>
      </c>
      <c r="Q691" s="601">
        <v>-257003.67</v>
      </c>
      <c r="R691" s="601">
        <v>-272944.33</v>
      </c>
      <c r="S691" s="484">
        <f t="shared" si="116"/>
        <v>-129145.605</v>
      </c>
      <c r="T691" s="604"/>
      <c r="U691" s="642"/>
      <c r="V691" s="679"/>
      <c r="W691" s="679">
        <f t="shared" si="118"/>
        <v>-129145.605</v>
      </c>
      <c r="X691" s="702"/>
      <c r="Y691" s="679"/>
      <c r="Z691" s="679"/>
      <c r="AA691" s="642"/>
      <c r="AB691" s="679"/>
      <c r="AC691" s="644">
        <f t="shared" si="117"/>
        <v>-129145.605</v>
      </c>
      <c r="AD691" s="643"/>
      <c r="AE691" s="643"/>
      <c r="AF691" s="677">
        <f t="shared" si="114"/>
        <v>0</v>
      </c>
    </row>
    <row r="692" spans="1:32">
      <c r="A692" s="604">
        <v>682</v>
      </c>
      <c r="B692" s="316" t="s">
        <v>959</v>
      </c>
      <c r="C692" s="316" t="s">
        <v>639</v>
      </c>
      <c r="D692" s="316" t="s">
        <v>1113</v>
      </c>
      <c r="E692" s="595" t="s">
        <v>1789</v>
      </c>
      <c r="F692" s="601">
        <v>-91231.87</v>
      </c>
      <c r="G692" s="601">
        <v>-280.89999999999998</v>
      </c>
      <c r="H692" s="601">
        <v>-2902.45</v>
      </c>
      <c r="I692" s="601">
        <v>-24331.4</v>
      </c>
      <c r="J692" s="601">
        <v>-27446.55</v>
      </c>
      <c r="K692" s="601">
        <v>-32005.73</v>
      </c>
      <c r="L692" s="601">
        <v>-32880.769999999997</v>
      </c>
      <c r="M692" s="601">
        <v>-39606.519999999997</v>
      </c>
      <c r="N692" s="601">
        <v>-75710.539999999994</v>
      </c>
      <c r="O692" s="601">
        <v>-99548.37</v>
      </c>
      <c r="P692" s="601">
        <v>-101812.08</v>
      </c>
      <c r="Q692" s="601">
        <v>-117810.33</v>
      </c>
      <c r="R692" s="601">
        <v>-127456.02</v>
      </c>
      <c r="S692" s="484">
        <f t="shared" si="116"/>
        <v>-55306.63208333333</v>
      </c>
      <c r="T692" s="604"/>
      <c r="U692" s="642"/>
      <c r="V692" s="679"/>
      <c r="W692" s="679">
        <f t="shared" si="118"/>
        <v>-55306.63208333333</v>
      </c>
      <c r="X692" s="702"/>
      <c r="Y692" s="679"/>
      <c r="Z692" s="679"/>
      <c r="AA692" s="642"/>
      <c r="AB692" s="679"/>
      <c r="AC692" s="644">
        <f t="shared" si="117"/>
        <v>-55306.63208333333</v>
      </c>
      <c r="AD692" s="643"/>
      <c r="AE692" s="643"/>
      <c r="AF692" s="677">
        <f t="shared" si="114"/>
        <v>0</v>
      </c>
    </row>
    <row r="693" spans="1:32">
      <c r="A693" s="604">
        <v>683</v>
      </c>
      <c r="B693" s="316" t="s">
        <v>959</v>
      </c>
      <c r="C693" s="316" t="s">
        <v>639</v>
      </c>
      <c r="D693" s="316" t="s">
        <v>1244</v>
      </c>
      <c r="E693" s="595" t="s">
        <v>1790</v>
      </c>
      <c r="F693" s="601">
        <v>-333259.12</v>
      </c>
      <c r="G693" s="601">
        <v>-193561.47</v>
      </c>
      <c r="H693" s="601">
        <v>-401513.57</v>
      </c>
      <c r="I693" s="601">
        <v>-702540.04</v>
      </c>
      <c r="J693" s="601">
        <v>-1025192.68</v>
      </c>
      <c r="K693" s="601">
        <v>-1512761.49</v>
      </c>
      <c r="L693" s="601">
        <v>-1918089.91</v>
      </c>
      <c r="M693" s="601">
        <v>-2352378.36</v>
      </c>
      <c r="N693" s="601">
        <v>-2797749.95</v>
      </c>
      <c r="O693" s="601">
        <v>-3244603.12</v>
      </c>
      <c r="P693" s="601">
        <v>-3673229.92</v>
      </c>
      <c r="Q693" s="601">
        <v>-4086669.6</v>
      </c>
      <c r="R693" s="601">
        <v>-4504936.62</v>
      </c>
      <c r="S693" s="484">
        <f t="shared" si="116"/>
        <v>-2027282.3316666668</v>
      </c>
      <c r="T693" s="604"/>
      <c r="U693" s="642"/>
      <c r="V693" s="679"/>
      <c r="W693" s="679">
        <f t="shared" si="118"/>
        <v>-2027282.3316666668</v>
      </c>
      <c r="X693" s="702"/>
      <c r="Y693" s="679"/>
      <c r="Z693" s="679"/>
      <c r="AA693" s="642"/>
      <c r="AB693" s="679"/>
      <c r="AC693" s="644">
        <f t="shared" si="117"/>
        <v>-2027282.3316666668</v>
      </c>
      <c r="AD693" s="643"/>
      <c r="AE693" s="643"/>
      <c r="AF693" s="677">
        <f t="shared" si="114"/>
        <v>0</v>
      </c>
    </row>
    <row r="694" spans="1:32">
      <c r="A694" s="604">
        <v>684</v>
      </c>
      <c r="B694" s="316" t="s">
        <v>956</v>
      </c>
      <c r="C694" s="316" t="s">
        <v>640</v>
      </c>
      <c r="D694" s="604"/>
      <c r="E694" s="589" t="s">
        <v>641</v>
      </c>
      <c r="F694" s="601">
        <v>-555.79999999999995</v>
      </c>
      <c r="G694" s="601">
        <v>-418.9</v>
      </c>
      <c r="H694" s="601">
        <v>-458.49</v>
      </c>
      <c r="I694" s="601">
        <v>-579.49</v>
      </c>
      <c r="J694" s="601">
        <v>-900.44</v>
      </c>
      <c r="K694" s="601">
        <v>-900.44</v>
      </c>
      <c r="L694" s="601">
        <v>-900.44</v>
      </c>
      <c r="M694" s="601">
        <v>-1206.08</v>
      </c>
      <c r="N694" s="601">
        <v>-1206.08</v>
      </c>
      <c r="O694" s="601">
        <v>-1206.21</v>
      </c>
      <c r="P694" s="601">
        <v>-1511.72</v>
      </c>
      <c r="Q694" s="601">
        <v>-1511.72</v>
      </c>
      <c r="R694" s="601">
        <v>-1511.72</v>
      </c>
      <c r="S694" s="484">
        <f t="shared" si="116"/>
        <v>-986.14750000000004</v>
      </c>
      <c r="T694" s="604"/>
      <c r="U694" s="642"/>
      <c r="V694" s="679"/>
      <c r="W694" s="679">
        <f t="shared" si="118"/>
        <v>-986.14750000000004</v>
      </c>
      <c r="X694" s="702"/>
      <c r="Y694" s="679"/>
      <c r="Z694" s="679"/>
      <c r="AA694" s="642"/>
      <c r="AB694" s="679"/>
      <c r="AC694" s="644">
        <f t="shared" si="117"/>
        <v>-986.14750000000004</v>
      </c>
      <c r="AD694" s="643"/>
      <c r="AE694" s="643"/>
      <c r="AF694" s="677">
        <f t="shared" si="114"/>
        <v>0</v>
      </c>
    </row>
    <row r="695" spans="1:32">
      <c r="A695" s="604">
        <v>685</v>
      </c>
      <c r="B695" s="316" t="s">
        <v>956</v>
      </c>
      <c r="C695" s="316" t="s">
        <v>640</v>
      </c>
      <c r="D695" s="316" t="s">
        <v>1245</v>
      </c>
      <c r="E695" s="589" t="s">
        <v>1788</v>
      </c>
      <c r="F695" s="601">
        <v>-25320.63</v>
      </c>
      <c r="G695" s="601">
        <v>-8.3000000000000007</v>
      </c>
      <c r="H695" s="601">
        <v>-515.21</v>
      </c>
      <c r="I695" s="601">
        <v>-524.01</v>
      </c>
      <c r="J695" s="601">
        <v>-1324.65</v>
      </c>
      <c r="K695" s="601">
        <v>-1351.29</v>
      </c>
      <c r="L695" s="601">
        <v>-1862.76</v>
      </c>
      <c r="M695" s="601">
        <v>-2073.5500000000002</v>
      </c>
      <c r="N695" s="601">
        <v>-2277.0100000000002</v>
      </c>
      <c r="O695" s="601">
        <v>-2611.1</v>
      </c>
      <c r="P695" s="601">
        <v>-3018.85</v>
      </c>
      <c r="Q695" s="601">
        <v>-3038.46</v>
      </c>
      <c r="R695" s="601">
        <v>-3222.37</v>
      </c>
      <c r="S695" s="484">
        <f t="shared" si="116"/>
        <v>-2739.7241666666669</v>
      </c>
      <c r="T695" s="604"/>
      <c r="U695" s="642"/>
      <c r="V695" s="679"/>
      <c r="W695" s="679">
        <f t="shared" si="118"/>
        <v>-2739.7241666666669</v>
      </c>
      <c r="X695" s="702"/>
      <c r="Y695" s="679"/>
      <c r="Z695" s="679"/>
      <c r="AA695" s="642"/>
      <c r="AB695" s="679"/>
      <c r="AC695" s="644">
        <f t="shared" si="117"/>
        <v>-2739.7241666666669</v>
      </c>
      <c r="AD695" s="643"/>
      <c r="AE695" s="643"/>
      <c r="AF695" s="677">
        <f t="shared" si="114"/>
        <v>0</v>
      </c>
    </row>
    <row r="696" spans="1:32">
      <c r="A696" s="604">
        <v>686</v>
      </c>
      <c r="B696" s="316" t="s">
        <v>956</v>
      </c>
      <c r="C696" s="316" t="s">
        <v>642</v>
      </c>
      <c r="D696" s="604"/>
      <c r="E696" s="589" t="s">
        <v>1787</v>
      </c>
      <c r="F696" s="601">
        <v>-291152.65999999997</v>
      </c>
      <c r="G696" s="601">
        <v>-49036.05</v>
      </c>
      <c r="H696" s="601">
        <v>-93798.09</v>
      </c>
      <c r="I696" s="601">
        <v>-140846.35</v>
      </c>
      <c r="J696" s="601">
        <v>-181318.27</v>
      </c>
      <c r="K696" s="601">
        <v>-208200.92</v>
      </c>
      <c r="L696" s="601">
        <v>-247435.96</v>
      </c>
      <c r="M696" s="601">
        <v>-287914.62</v>
      </c>
      <c r="N696" s="601">
        <v>-346399.22</v>
      </c>
      <c r="O696" s="601">
        <v>-410815.07</v>
      </c>
      <c r="P696" s="601">
        <v>-486926.18</v>
      </c>
      <c r="Q696" s="601">
        <v>-563043.57999999996</v>
      </c>
      <c r="R696" s="601">
        <v>-649294.52</v>
      </c>
      <c r="S696" s="484">
        <f t="shared" si="116"/>
        <v>-290496.49166666664</v>
      </c>
      <c r="T696" s="604"/>
      <c r="U696" s="642"/>
      <c r="V696" s="679"/>
      <c r="W696" s="679">
        <f t="shared" si="118"/>
        <v>-290496.49166666664</v>
      </c>
      <c r="X696" s="702"/>
      <c r="Y696" s="679"/>
      <c r="Z696" s="679"/>
      <c r="AA696" s="642"/>
      <c r="AB696" s="679"/>
      <c r="AC696" s="644">
        <f t="shared" si="117"/>
        <v>-290496.49166666664</v>
      </c>
      <c r="AD696" s="643"/>
      <c r="AE696" s="643"/>
      <c r="AF696" s="677">
        <f t="shared" si="114"/>
        <v>0</v>
      </c>
    </row>
    <row r="697" spans="1:32">
      <c r="A697" s="604">
        <v>687</v>
      </c>
      <c r="B697" s="316" t="s">
        <v>956</v>
      </c>
      <c r="C697" s="316" t="s">
        <v>642</v>
      </c>
      <c r="D697" s="604"/>
      <c r="E697" s="589" t="s">
        <v>1787</v>
      </c>
      <c r="F697" s="601">
        <v>-47519.35</v>
      </c>
      <c r="G697" s="601">
        <v>0</v>
      </c>
      <c r="H697" s="601">
        <v>0</v>
      </c>
      <c r="I697" s="601">
        <v>0</v>
      </c>
      <c r="J697" s="601">
        <v>0</v>
      </c>
      <c r="K697" s="601">
        <v>0</v>
      </c>
      <c r="L697" s="601">
        <v>0</v>
      </c>
      <c r="M697" s="601">
        <v>16.91</v>
      </c>
      <c r="N697" s="601">
        <v>16.91</v>
      </c>
      <c r="O697" s="601">
        <v>16.91</v>
      </c>
      <c r="P697" s="601">
        <v>16.91</v>
      </c>
      <c r="Q697" s="601">
        <v>104.97</v>
      </c>
      <c r="R697" s="601">
        <v>104.97</v>
      </c>
      <c r="S697" s="484">
        <f t="shared" si="116"/>
        <v>-1961.2149999999999</v>
      </c>
      <c r="T697" s="604"/>
      <c r="U697" s="642"/>
      <c r="V697" s="679"/>
      <c r="W697" s="679">
        <f t="shared" si="118"/>
        <v>-1961.2149999999999</v>
      </c>
      <c r="X697" s="702"/>
      <c r="Y697" s="679"/>
      <c r="Z697" s="679"/>
      <c r="AA697" s="642"/>
      <c r="AB697" s="679"/>
      <c r="AC697" s="644">
        <f t="shared" si="117"/>
        <v>-1961.2149999999999</v>
      </c>
      <c r="AD697" s="643"/>
      <c r="AE697" s="643"/>
      <c r="AF697" s="677">
        <f t="shared" si="114"/>
        <v>0</v>
      </c>
    </row>
    <row r="698" spans="1:32">
      <c r="A698" s="604">
        <v>689</v>
      </c>
      <c r="B698" s="604"/>
      <c r="C698" s="604"/>
      <c r="D698" s="604"/>
      <c r="E698" s="589" t="s">
        <v>645</v>
      </c>
      <c r="F698" s="486">
        <f t="shared" ref="F698:S698" si="119">SUM(F687:F697)</f>
        <v>-886903.13999999978</v>
      </c>
      <c r="G698" s="486">
        <f t="shared" si="119"/>
        <v>-264051.61</v>
      </c>
      <c r="H698" s="486">
        <f t="shared" si="119"/>
        <v>-530545.21</v>
      </c>
      <c r="I698" s="486">
        <f t="shared" si="119"/>
        <v>-946745.59</v>
      </c>
      <c r="J698" s="486">
        <f t="shared" si="119"/>
        <v>-1347209.95</v>
      </c>
      <c r="K698" s="486">
        <f t="shared" si="119"/>
        <v>-1901734.3099999998</v>
      </c>
      <c r="L698" s="486">
        <f t="shared" si="119"/>
        <v>-2391803.4299999997</v>
      </c>
      <c r="M698" s="486">
        <f t="shared" si="119"/>
        <v>-2905923.9899999998</v>
      </c>
      <c r="N698" s="486">
        <f t="shared" si="119"/>
        <v>-3489916.3200000003</v>
      </c>
      <c r="O698" s="486">
        <f t="shared" si="119"/>
        <v>-4067973.73</v>
      </c>
      <c r="P698" s="486">
        <f t="shared" si="119"/>
        <v>-4615175.05</v>
      </c>
      <c r="Q698" s="486">
        <f t="shared" si="119"/>
        <v>-5140167.6000000006</v>
      </c>
      <c r="R698" s="486">
        <f t="shared" si="119"/>
        <v>-5675979.0900000008</v>
      </c>
      <c r="S698" s="486">
        <f t="shared" si="119"/>
        <v>-2573557.3254166665</v>
      </c>
      <c r="T698" s="604"/>
      <c r="U698" s="642"/>
      <c r="V698" s="679"/>
      <c r="W698" s="679"/>
      <c r="X698" s="702"/>
      <c r="Y698" s="679"/>
      <c r="Z698" s="679"/>
      <c r="AA698" s="642"/>
      <c r="AB698" s="679"/>
      <c r="AC698" s="643"/>
      <c r="AD698" s="643"/>
      <c r="AE698" s="643"/>
    </row>
    <row r="699" spans="1:32">
      <c r="A699" s="604">
        <v>690</v>
      </c>
      <c r="B699" s="604"/>
      <c r="C699" s="604"/>
      <c r="D699" s="604"/>
      <c r="E699" s="589"/>
      <c r="F699" s="603"/>
      <c r="G699" s="314"/>
      <c r="H699" s="305"/>
      <c r="I699" s="305"/>
      <c r="J699" s="306"/>
      <c r="K699" s="307"/>
      <c r="L699" s="308"/>
      <c r="M699" s="309"/>
      <c r="N699" s="310"/>
      <c r="O699" s="590"/>
      <c r="P699" s="311"/>
      <c r="Q699" s="315"/>
      <c r="R699" s="603"/>
      <c r="S699" s="294"/>
      <c r="T699" s="604"/>
      <c r="U699" s="642"/>
      <c r="V699" s="679"/>
      <c r="W699" s="679"/>
      <c r="X699" s="702"/>
      <c r="Y699" s="679"/>
      <c r="Z699" s="679"/>
      <c r="AA699" s="642"/>
      <c r="AB699" s="679"/>
      <c r="AC699" s="643"/>
      <c r="AD699" s="643"/>
      <c r="AE699" s="643"/>
    </row>
    <row r="700" spans="1:32" ht="15" thickBot="1">
      <c r="A700" s="604">
        <v>691</v>
      </c>
      <c r="B700" s="527"/>
      <c r="C700" s="527"/>
      <c r="D700" s="527"/>
      <c r="E700" s="596" t="s">
        <v>646</v>
      </c>
      <c r="F700" s="322">
        <f t="shared" ref="F700:S700" si="120">+F698+F685+F615+F588+F546+F459+F419+F399</f>
        <v>-1117173255.4099998</v>
      </c>
      <c r="G700" s="322">
        <f t="shared" si="120"/>
        <v>-874125722.08000004</v>
      </c>
      <c r="H700" s="322">
        <f t="shared" si="120"/>
        <v>-939569369.36000013</v>
      </c>
      <c r="I700" s="322">
        <f t="shared" si="120"/>
        <v>-996037968.96000004</v>
      </c>
      <c r="J700" s="322">
        <f t="shared" si="120"/>
        <v>-998465333.85000002</v>
      </c>
      <c r="K700" s="322">
        <f t="shared" si="120"/>
        <v>-1006979612.15</v>
      </c>
      <c r="L700" s="322">
        <f t="shared" si="120"/>
        <v>-1026172554.4399999</v>
      </c>
      <c r="M700" s="322">
        <f t="shared" si="120"/>
        <v>-1052630814.3600001</v>
      </c>
      <c r="N700" s="322">
        <f t="shared" si="120"/>
        <v>-1077947351.52</v>
      </c>
      <c r="O700" s="322">
        <f t="shared" si="120"/>
        <v>-1095026663.54</v>
      </c>
      <c r="P700" s="322">
        <f t="shared" si="120"/>
        <v>-1143148336.5699997</v>
      </c>
      <c r="Q700" s="322">
        <f t="shared" si="120"/>
        <v>-1193037825.9899998</v>
      </c>
      <c r="R700" s="322">
        <f t="shared" si="120"/>
        <v>-1262198971.3000002</v>
      </c>
      <c r="S700" s="322">
        <f t="shared" si="120"/>
        <v>-1049402305.5145833</v>
      </c>
      <c r="T700" s="527"/>
      <c r="U700" s="647"/>
      <c r="V700" s="680"/>
      <c r="W700" s="680"/>
      <c r="X700" s="705"/>
      <c r="Y700" s="680"/>
      <c r="Z700" s="680"/>
      <c r="AA700" s="647"/>
      <c r="AB700" s="680"/>
      <c r="AC700" s="648"/>
      <c r="AD700" s="648"/>
      <c r="AE700" s="648"/>
    </row>
    <row r="701" spans="1:32" ht="15" thickTop="1">
      <c r="A701" s="604">
        <v>692</v>
      </c>
      <c r="B701" s="604"/>
      <c r="C701" s="604"/>
      <c r="D701" s="604"/>
      <c r="E701" s="604"/>
      <c r="F701" s="604"/>
      <c r="G701" s="604"/>
      <c r="H701" s="604"/>
      <c r="I701" s="604"/>
      <c r="J701" s="604"/>
      <c r="K701" s="604"/>
      <c r="L701" s="604"/>
      <c r="M701" s="604"/>
      <c r="N701" s="604"/>
      <c r="O701" s="604"/>
      <c r="P701" s="604"/>
      <c r="Q701" s="604"/>
      <c r="R701" s="604"/>
      <c r="S701" s="317"/>
      <c r="T701" s="604"/>
      <c r="U701" s="708"/>
      <c r="V701" s="709"/>
      <c r="W701" s="709"/>
      <c r="X701" s="709"/>
      <c r="Y701" s="709"/>
      <c r="Z701" s="709"/>
      <c r="AA701" s="708"/>
      <c r="AB701" s="709"/>
      <c r="AC701" s="710"/>
      <c r="AD701" s="710"/>
      <c r="AE701" s="710"/>
    </row>
    <row r="702" spans="1:32">
      <c r="A702" s="604">
        <v>693</v>
      </c>
      <c r="B702" s="604"/>
      <c r="C702" s="604"/>
      <c r="D702" s="604"/>
      <c r="E702" s="604"/>
      <c r="F702" s="604"/>
      <c r="G702" s="604"/>
      <c r="H702" s="604"/>
      <c r="I702" s="604"/>
      <c r="J702" s="604"/>
      <c r="K702" s="604"/>
      <c r="L702" s="604"/>
      <c r="M702" s="604"/>
      <c r="N702" s="604"/>
      <c r="O702" s="604"/>
      <c r="P702" s="604"/>
      <c r="Q702" s="604"/>
      <c r="R702" s="604"/>
      <c r="S702" s="317"/>
      <c r="T702" s="604"/>
      <c r="U702" s="317"/>
      <c r="V702" s="694"/>
      <c r="W702" s="694"/>
      <c r="X702" s="694"/>
      <c r="Y702" s="694"/>
      <c r="Z702" s="694"/>
      <c r="AA702" s="317"/>
      <c r="AB702" s="694"/>
      <c r="AC702" s="604"/>
      <c r="AD702" s="604"/>
      <c r="AE702" s="604"/>
    </row>
    <row r="703" spans="1:32">
      <c r="A703" s="604">
        <v>694</v>
      </c>
      <c r="B703" s="604"/>
      <c r="C703" s="604"/>
      <c r="D703" s="604"/>
      <c r="E703" s="527" t="s">
        <v>1246</v>
      </c>
      <c r="F703" s="604"/>
      <c r="G703" s="604"/>
      <c r="H703" s="604"/>
      <c r="I703" s="604"/>
      <c r="J703" s="604"/>
      <c r="K703" s="604"/>
      <c r="L703" s="604"/>
      <c r="M703" s="604"/>
      <c r="N703" s="604"/>
      <c r="O703" s="604"/>
      <c r="P703" s="604"/>
      <c r="Q703" s="604"/>
      <c r="R703" s="604"/>
      <c r="S703" s="317"/>
      <c r="T703" s="604"/>
      <c r="U703" s="334">
        <f t="shared" ref="U703:AD703" si="121">SUM(U15:U698)</f>
        <v>226453054.14000002</v>
      </c>
      <c r="V703" s="681">
        <f t="shared" si="121"/>
        <v>-213982709.2083334</v>
      </c>
      <c r="W703" s="681">
        <f t="shared" si="121"/>
        <v>-608665589.31624961</v>
      </c>
      <c r="X703" s="681">
        <f t="shared" si="121"/>
        <v>596195244.38458323</v>
      </c>
      <c r="Y703" s="681">
        <f t="shared" si="121"/>
        <v>361675908.75521296</v>
      </c>
      <c r="Z703" s="681">
        <f t="shared" si="121"/>
        <v>116788178.80603699</v>
      </c>
      <c r="AA703" s="334">
        <f t="shared" si="121"/>
        <v>0</v>
      </c>
      <c r="AB703" s="681">
        <f t="shared" si="121"/>
        <v>117731156.8233334</v>
      </c>
      <c r="AC703" s="711">
        <f t="shared" si="121"/>
        <v>-608665589.31624961</v>
      </c>
      <c r="AD703" s="711">
        <f t="shared" si="121"/>
        <v>12470344.931666918</v>
      </c>
      <c r="AE703" s="318">
        <f>+AB703+Z703+Y703</f>
        <v>596195244.38458335</v>
      </c>
    </row>
    <row r="704" spans="1:32">
      <c r="A704" s="604">
        <v>695</v>
      </c>
      <c r="B704" s="604"/>
      <c r="C704" s="604"/>
      <c r="D704" s="604"/>
      <c r="E704" s="604" t="s">
        <v>1247</v>
      </c>
      <c r="F704" s="604"/>
      <c r="G704" s="604"/>
      <c r="H704" s="604"/>
      <c r="I704" s="604"/>
      <c r="J704" s="604"/>
      <c r="K704" s="604"/>
      <c r="L704" s="604"/>
      <c r="M704" s="604"/>
      <c r="N704" s="604"/>
      <c r="O704" s="604"/>
      <c r="P704" s="604"/>
      <c r="Q704" s="604"/>
      <c r="R704" s="604"/>
      <c r="S704" s="317"/>
      <c r="T704" s="604"/>
      <c r="U704" s="698" t="s">
        <v>1248</v>
      </c>
      <c r="V704" s="681">
        <f>+U703+V703</f>
        <v>12470344.931666613</v>
      </c>
      <c r="W704" s="699" t="s">
        <v>1249</v>
      </c>
      <c r="X704" s="694">
        <f>-W703-X703</f>
        <v>12470344.931666374</v>
      </c>
      <c r="Y704" s="694"/>
      <c r="Z704" s="694"/>
      <c r="AA704" s="317"/>
      <c r="AB704" s="694"/>
      <c r="AC704" s="318">
        <f>+AB703+Z703+Y703</f>
        <v>596195244.38458335</v>
      </c>
      <c r="AD704" s="604"/>
      <c r="AE704" s="318">
        <f>+AE703-X703</f>
        <v>0</v>
      </c>
    </row>
    <row r="705" spans="1:31">
      <c r="A705" s="604">
        <v>696</v>
      </c>
      <c r="B705" s="604"/>
      <c r="C705" s="604"/>
      <c r="D705" s="604"/>
      <c r="E705" s="604"/>
      <c r="F705" s="604"/>
      <c r="G705" s="604"/>
      <c r="H705" s="604"/>
      <c r="I705" s="604"/>
      <c r="J705" s="604"/>
      <c r="K705" s="604"/>
      <c r="L705" s="604"/>
      <c r="M705" s="604"/>
      <c r="N705" s="604"/>
      <c r="O705" s="604"/>
      <c r="P705" s="604"/>
      <c r="Q705" s="604"/>
      <c r="R705" s="604"/>
      <c r="S705" s="317"/>
      <c r="T705" s="604"/>
      <c r="U705" s="317"/>
      <c r="V705" s="694"/>
      <c r="W705" s="694"/>
      <c r="X705" s="681">
        <f>+X704-V704</f>
        <v>-2.384185791015625E-7</v>
      </c>
      <c r="Y705" s="694"/>
      <c r="Z705" s="694"/>
      <c r="AA705" s="317">
        <f>+Y703+Z703+AB703-X703</f>
        <v>0</v>
      </c>
      <c r="AB705" s="694"/>
      <c r="AC705" s="604"/>
      <c r="AD705" s="318"/>
      <c r="AE705" s="604"/>
    </row>
    <row r="706" spans="1:31">
      <c r="A706" s="604">
        <v>697</v>
      </c>
      <c r="B706" s="604"/>
      <c r="C706" s="604"/>
      <c r="D706" s="604"/>
      <c r="E706" s="604" t="s">
        <v>1250</v>
      </c>
      <c r="F706" s="604"/>
      <c r="G706" s="604"/>
      <c r="H706" s="604"/>
      <c r="I706" s="604"/>
      <c r="J706" s="604"/>
      <c r="K706" s="604"/>
      <c r="L706" s="604"/>
      <c r="M706" s="604"/>
      <c r="N706" s="604"/>
      <c r="O706" s="604"/>
      <c r="P706" s="604"/>
      <c r="Q706" s="604"/>
      <c r="R706" s="604"/>
      <c r="S706" s="317"/>
      <c r="T706" s="604"/>
      <c r="U706" s="317"/>
      <c r="V706" s="694"/>
      <c r="W706" s="694"/>
      <c r="X706" s="694">
        <f>+X703-Y703-Z703-AB703</f>
        <v>-1.1920928955078125E-7</v>
      </c>
      <c r="Y706" s="641">
        <f>+Y703/AC704</f>
        <v>0.60664004310961817</v>
      </c>
      <c r="Z706" s="641">
        <f>+Z703/AC704</f>
        <v>0.19588914857345169</v>
      </c>
      <c r="AA706" s="641"/>
      <c r="AB706" s="641">
        <f>+AB703/AC704</f>
        <v>0.19747080831693017</v>
      </c>
      <c r="AC706" s="604"/>
      <c r="AD706" s="604"/>
      <c r="AE706" s="604"/>
    </row>
    <row r="707" spans="1:31">
      <c r="A707" s="604">
        <v>698</v>
      </c>
      <c r="B707" s="604"/>
      <c r="C707" s="604"/>
      <c r="D707" s="604"/>
      <c r="E707" s="604"/>
      <c r="F707" s="604"/>
      <c r="G707" s="604"/>
      <c r="H707" s="604"/>
      <c r="I707" s="604"/>
      <c r="J707" s="604"/>
      <c r="K707" s="604"/>
      <c r="L707" s="604"/>
      <c r="M707" s="604"/>
      <c r="N707" s="604"/>
      <c r="O707" s="604"/>
      <c r="P707" s="604"/>
      <c r="Q707" s="604"/>
      <c r="R707" s="604"/>
      <c r="S707" s="317"/>
      <c r="T707" s="604"/>
      <c r="U707" s="317"/>
      <c r="V707" s="694"/>
      <c r="W707" s="694"/>
      <c r="X707" s="694"/>
      <c r="Y707" s="694"/>
      <c r="Z707" s="694"/>
      <c r="AA707" s="317"/>
      <c r="AB707" s="694"/>
      <c r="AC707" s="604"/>
      <c r="AD707" s="604"/>
      <c r="AE707" s="604"/>
    </row>
    <row r="708" spans="1:31">
      <c r="A708" s="604">
        <v>699</v>
      </c>
      <c r="B708" s="604"/>
      <c r="C708" s="604"/>
      <c r="D708" s="604"/>
      <c r="E708" s="604" t="s">
        <v>1251</v>
      </c>
      <c r="F708" s="604"/>
      <c r="G708" s="604"/>
      <c r="H708" s="604"/>
      <c r="I708" s="604"/>
      <c r="J708" s="604"/>
      <c r="K708" s="604"/>
      <c r="L708" s="604"/>
      <c r="M708" s="604"/>
      <c r="N708" s="604"/>
      <c r="O708" s="604"/>
      <c r="P708" s="604"/>
      <c r="Q708" s="604"/>
      <c r="R708" s="604"/>
      <c r="S708" s="317"/>
      <c r="T708" s="604"/>
      <c r="U708" s="317"/>
      <c r="V708" s="694"/>
      <c r="W708" s="694"/>
      <c r="X708" s="694"/>
      <c r="Y708" s="712">
        <f>+X704*Y706</f>
        <v>7565010.5869378978</v>
      </c>
      <c r="Z708" s="694">
        <f>+X704*Z706</f>
        <v>2442805.2510813847</v>
      </c>
      <c r="AA708" s="317"/>
      <c r="AB708" s="694">
        <f>+X704*AB706</f>
        <v>2462529.0936470921</v>
      </c>
      <c r="AC708" s="604"/>
      <c r="AD708" s="604"/>
      <c r="AE708" s="604"/>
    </row>
    <row r="709" spans="1:31">
      <c r="A709" s="604"/>
      <c r="B709" s="604"/>
      <c r="C709" s="604"/>
      <c r="D709" s="604"/>
      <c r="E709" s="604"/>
      <c r="F709" s="604"/>
      <c r="G709" s="604"/>
      <c r="H709" s="604"/>
      <c r="I709" s="604"/>
      <c r="J709" s="604"/>
      <c r="K709" s="604"/>
      <c r="L709" s="604"/>
      <c r="M709" s="604"/>
      <c r="N709" s="604"/>
      <c r="O709" s="604"/>
      <c r="P709" s="604"/>
      <c r="Q709" s="604"/>
      <c r="R709" s="604"/>
      <c r="S709" s="317"/>
      <c r="T709" s="604"/>
      <c r="U709" s="317"/>
      <c r="V709" s="694"/>
      <c r="W709" s="694"/>
      <c r="X709" s="694"/>
      <c r="Y709" s="694"/>
      <c r="Z709" s="694"/>
      <c r="AA709" s="317"/>
      <c r="AB709" s="694"/>
      <c r="AC709" s="604"/>
      <c r="AD709" s="604"/>
      <c r="AE709" s="604"/>
    </row>
    <row r="710" spans="1:31">
      <c r="A710" s="604"/>
      <c r="B710" s="604"/>
      <c r="C710" s="604"/>
      <c r="D710" s="604"/>
      <c r="E710" s="604"/>
      <c r="F710" s="604"/>
      <c r="G710" s="604"/>
      <c r="H710" s="604"/>
      <c r="I710" s="604"/>
      <c r="J710" s="604"/>
      <c r="K710" s="604"/>
      <c r="L710" s="604"/>
      <c r="M710" s="604"/>
      <c r="N710" s="604"/>
      <c r="O710" s="604"/>
      <c r="P710" s="604"/>
      <c r="Q710" s="604"/>
      <c r="R710" s="604"/>
      <c r="S710" s="317"/>
      <c r="T710" s="604"/>
      <c r="U710" s="317"/>
      <c r="V710" s="694"/>
      <c r="W710" s="694"/>
      <c r="X710" s="694"/>
      <c r="Y710" s="694"/>
      <c r="Z710" s="694"/>
      <c r="AA710" s="317"/>
      <c r="AB710" s="694"/>
      <c r="AC710" s="604"/>
      <c r="AD710" s="604"/>
      <c r="AE710" s="604"/>
    </row>
    <row r="711" spans="1:31">
      <c r="A711" s="604"/>
      <c r="B711" s="604"/>
      <c r="C711" s="604"/>
      <c r="D711" s="604"/>
      <c r="E711" s="604"/>
      <c r="F711" s="604"/>
      <c r="G711" s="604"/>
      <c r="H711" s="604"/>
      <c r="I711" s="604"/>
      <c r="J711" s="604"/>
      <c r="K711" s="604"/>
      <c r="L711" s="604"/>
      <c r="M711" s="604"/>
      <c r="N711" s="604"/>
      <c r="O711" s="604"/>
      <c r="P711" s="604"/>
      <c r="Q711" s="604"/>
      <c r="R711" s="604"/>
      <c r="S711" s="317"/>
      <c r="T711" s="604"/>
      <c r="U711" s="317"/>
      <c r="V711" s="694"/>
      <c r="W711" s="694"/>
      <c r="X711" s="694"/>
      <c r="Y711" s="694"/>
      <c r="Z711" s="694"/>
      <c r="AA711" s="317"/>
      <c r="AB711" s="694"/>
      <c r="AC711" s="604"/>
      <c r="AD711" s="604"/>
      <c r="AE711" s="604"/>
    </row>
    <row r="712" spans="1:31">
      <c r="A712" s="604"/>
      <c r="B712" s="604"/>
      <c r="C712" s="604"/>
      <c r="D712" s="604"/>
      <c r="E712" s="604"/>
      <c r="F712" s="604"/>
      <c r="G712" s="604"/>
      <c r="H712" s="604"/>
      <c r="I712" s="604"/>
      <c r="J712" s="604"/>
      <c r="K712" s="604"/>
      <c r="L712" s="604"/>
      <c r="M712" s="604"/>
      <c r="N712" s="604"/>
      <c r="O712" s="604"/>
      <c r="P712" s="604"/>
      <c r="Q712" s="604"/>
      <c r="R712" s="604"/>
      <c r="S712" s="317"/>
      <c r="T712" s="604"/>
      <c r="U712" s="317"/>
      <c r="V712" s="694"/>
      <c r="W712" s="694"/>
      <c r="X712" s="694"/>
      <c r="Y712" s="694"/>
      <c r="Z712" s="694"/>
      <c r="AA712" s="317"/>
      <c r="AB712" s="694"/>
      <c r="AC712" s="604"/>
      <c r="AD712" s="604"/>
      <c r="AE712" s="604"/>
    </row>
    <row r="713" spans="1:31">
      <c r="A713" s="604"/>
      <c r="B713" s="604"/>
      <c r="C713" s="604"/>
      <c r="D713" s="604"/>
      <c r="E713" s="604"/>
      <c r="F713" s="604"/>
      <c r="G713" s="604"/>
      <c r="H713" s="604"/>
      <c r="I713" s="604"/>
      <c r="J713" s="604"/>
      <c r="K713" s="604"/>
      <c r="L713" s="604"/>
      <c r="M713" s="604"/>
      <c r="N713" s="604"/>
      <c r="O713" s="604"/>
      <c r="P713" s="604"/>
      <c r="Q713" s="604"/>
      <c r="R713" s="604"/>
      <c r="S713" s="317"/>
      <c r="T713" s="604"/>
      <c r="U713" s="317"/>
      <c r="V713" s="694"/>
      <c r="W713" s="694"/>
      <c r="X713" s="694"/>
      <c r="Y713" s="694"/>
      <c r="Z713" s="694"/>
      <c r="AA713" s="317"/>
      <c r="AB713" s="694"/>
      <c r="AC713" s="604"/>
      <c r="AD713" s="604"/>
      <c r="AE713" s="604"/>
    </row>
    <row r="714" spans="1:31">
      <c r="A714" s="604"/>
      <c r="B714" s="604"/>
      <c r="C714" s="604"/>
      <c r="D714" s="604"/>
      <c r="E714" s="604"/>
      <c r="F714" s="604"/>
      <c r="G714" s="604"/>
      <c r="H714" s="604"/>
      <c r="I714" s="604"/>
      <c r="J714" s="604"/>
      <c r="K714" s="604"/>
      <c r="L714" s="604"/>
      <c r="M714" s="604"/>
      <c r="N714" s="604"/>
      <c r="O714" s="604"/>
      <c r="P714" s="604"/>
      <c r="Q714" s="604"/>
      <c r="R714" s="604"/>
      <c r="S714" s="317"/>
      <c r="T714" s="604"/>
      <c r="U714" s="317"/>
      <c r="V714" s="694"/>
      <c r="W714" s="694"/>
      <c r="X714" s="694"/>
      <c r="Y714" s="694"/>
      <c r="Z714" s="694"/>
      <c r="AA714" s="317"/>
      <c r="AB714" s="694"/>
      <c r="AC714" s="604"/>
      <c r="AD714" s="604"/>
      <c r="AE714" s="604"/>
    </row>
    <row r="715" spans="1:31">
      <c r="A715" s="604"/>
      <c r="B715" s="604"/>
      <c r="C715" s="604"/>
      <c r="D715" s="604"/>
      <c r="E715" s="604"/>
      <c r="F715" s="604"/>
      <c r="G715" s="604"/>
      <c r="H715" s="604"/>
      <c r="I715" s="604"/>
      <c r="J715" s="604"/>
      <c r="K715" s="604"/>
      <c r="L715" s="604"/>
      <c r="M715" s="604"/>
      <c r="N715" s="604"/>
      <c r="O715" s="604"/>
      <c r="P715" s="604"/>
      <c r="Q715" s="604"/>
      <c r="R715" s="604"/>
      <c r="S715" s="317"/>
      <c r="T715" s="604"/>
      <c r="U715" s="317"/>
      <c r="V715" s="694"/>
      <c r="W715" s="694"/>
      <c r="X715" s="694"/>
      <c r="Y715" s="694"/>
      <c r="Z715" s="694"/>
      <c r="AA715" s="317"/>
      <c r="AB715" s="694"/>
      <c r="AC715" s="604"/>
      <c r="AD715" s="604"/>
      <c r="AE715" s="604"/>
    </row>
    <row r="716" spans="1:31">
      <c r="A716" s="604"/>
      <c r="B716" s="604"/>
      <c r="C716" s="604"/>
      <c r="D716" s="604"/>
      <c r="E716" s="604"/>
      <c r="F716" s="604"/>
      <c r="G716" s="604"/>
      <c r="H716" s="604"/>
      <c r="I716" s="604"/>
      <c r="J716" s="604"/>
      <c r="K716" s="604"/>
      <c r="L716" s="604"/>
      <c r="M716" s="604"/>
      <c r="N716" s="604"/>
      <c r="O716" s="604"/>
      <c r="P716" s="604"/>
      <c r="Q716" s="604"/>
      <c r="R716" s="604"/>
      <c r="S716" s="317"/>
      <c r="T716" s="604"/>
      <c r="U716" s="317"/>
      <c r="V716" s="694"/>
      <c r="W716" s="694"/>
      <c r="X716" s="694"/>
      <c r="Y716" s="694"/>
      <c r="Z716" s="694"/>
      <c r="AA716" s="317"/>
      <c r="AB716" s="694"/>
      <c r="AC716" s="604"/>
      <c r="AD716" s="604"/>
      <c r="AE716" s="604"/>
    </row>
    <row r="717" spans="1:31">
      <c r="A717" s="604"/>
      <c r="B717" s="604"/>
      <c r="C717" s="604"/>
      <c r="D717" s="604"/>
      <c r="E717" s="604"/>
      <c r="F717" s="604"/>
      <c r="G717" s="604"/>
      <c r="H717" s="604"/>
      <c r="I717" s="604"/>
      <c r="J717" s="604"/>
      <c r="K717" s="604"/>
      <c r="L717" s="604"/>
      <c r="M717" s="604"/>
      <c r="N717" s="604"/>
      <c r="O717" s="604"/>
      <c r="P717" s="604"/>
      <c r="Q717" s="604"/>
      <c r="R717" s="604"/>
      <c r="S717" s="317"/>
      <c r="T717" s="604"/>
      <c r="U717" s="317"/>
      <c r="V717" s="694"/>
      <c r="W717" s="694"/>
      <c r="X717" s="694"/>
      <c r="Y717" s="694"/>
      <c r="Z717" s="694"/>
      <c r="AA717" s="317"/>
      <c r="AB717" s="694"/>
      <c r="AC717" s="604"/>
      <c r="AD717" s="604"/>
      <c r="AE717" s="604"/>
    </row>
    <row r="718" spans="1:31">
      <c r="A718" s="604"/>
      <c r="B718" s="604"/>
      <c r="C718" s="604"/>
      <c r="D718" s="604"/>
      <c r="E718" s="604"/>
      <c r="F718" s="604"/>
      <c r="G718" s="604"/>
      <c r="H718" s="604"/>
      <c r="I718" s="604"/>
      <c r="J718" s="604"/>
      <c r="K718" s="604"/>
      <c r="L718" s="604"/>
      <c r="M718" s="604"/>
      <c r="N718" s="604"/>
      <c r="O718" s="604"/>
      <c r="P718" s="604"/>
      <c r="Q718" s="604"/>
      <c r="R718" s="604"/>
      <c r="S718" s="317"/>
      <c r="T718" s="604"/>
      <c r="U718" s="317"/>
      <c r="V718" s="694"/>
      <c r="W718" s="694"/>
      <c r="X718" s="694"/>
      <c r="Y718" s="694"/>
      <c r="Z718" s="694"/>
      <c r="AA718" s="317"/>
      <c r="AB718" s="694"/>
      <c r="AC718" s="604"/>
      <c r="AD718" s="604"/>
      <c r="AE718" s="604"/>
    </row>
    <row r="719" spans="1:31">
      <c r="A719" s="604"/>
      <c r="B719" s="604"/>
      <c r="C719" s="604"/>
      <c r="D719" s="604"/>
      <c r="E719" s="604"/>
      <c r="F719" s="604"/>
      <c r="G719" s="604"/>
      <c r="H719" s="604"/>
      <c r="I719" s="604"/>
      <c r="J719" s="604"/>
      <c r="K719" s="604"/>
      <c r="L719" s="604"/>
      <c r="M719" s="604"/>
      <c r="N719" s="604"/>
      <c r="O719" s="604"/>
      <c r="P719" s="604"/>
      <c r="Q719" s="604"/>
      <c r="R719" s="604"/>
      <c r="S719" s="317"/>
      <c r="T719" s="604"/>
      <c r="U719" s="317"/>
      <c r="V719" s="694"/>
      <c r="W719" s="694"/>
      <c r="X719" s="694"/>
      <c r="Y719" s="694"/>
      <c r="Z719" s="694"/>
      <c r="AA719" s="317"/>
      <c r="AB719" s="694"/>
      <c r="AC719" s="604"/>
      <c r="AD719" s="604"/>
      <c r="AE719" s="604"/>
    </row>
    <row r="720" spans="1:31">
      <c r="A720" s="604"/>
      <c r="B720" s="604"/>
      <c r="C720" s="604"/>
      <c r="D720" s="604"/>
      <c r="E720" s="604"/>
      <c r="F720" s="604"/>
      <c r="G720" s="604"/>
      <c r="H720" s="604"/>
      <c r="I720" s="604"/>
      <c r="J720" s="604"/>
      <c r="K720" s="604"/>
      <c r="L720" s="604"/>
      <c r="M720" s="604"/>
      <c r="N720" s="604"/>
      <c r="O720" s="604"/>
      <c r="P720" s="604"/>
      <c r="Q720" s="604"/>
      <c r="R720" s="604"/>
      <c r="S720" s="317"/>
      <c r="T720" s="604"/>
      <c r="U720" s="317"/>
      <c r="V720" s="694"/>
      <c r="W720" s="694"/>
      <c r="X720" s="694"/>
      <c r="Y720" s="694"/>
      <c r="Z720" s="694"/>
      <c r="AA720" s="317"/>
      <c r="AB720" s="694"/>
      <c r="AC720" s="604"/>
      <c r="AD720" s="604"/>
      <c r="AE720" s="604"/>
    </row>
    <row r="721" spans="1:31">
      <c r="A721" s="604"/>
      <c r="B721" s="604"/>
      <c r="C721" s="604"/>
      <c r="D721" s="604"/>
      <c r="E721" s="604"/>
      <c r="F721" s="604"/>
      <c r="G721" s="604"/>
      <c r="H721" s="604"/>
      <c r="I721" s="604"/>
      <c r="J721" s="604"/>
      <c r="K721" s="604"/>
      <c r="L721" s="604"/>
      <c r="M721" s="604"/>
      <c r="N721" s="604"/>
      <c r="O721" s="604"/>
      <c r="P721" s="604"/>
      <c r="Q721" s="604"/>
      <c r="R721" s="604"/>
      <c r="S721" s="317"/>
      <c r="T721" s="604"/>
      <c r="U721" s="317"/>
      <c r="V721" s="694"/>
      <c r="W721" s="694"/>
      <c r="X721" s="694"/>
      <c r="Y721" s="694"/>
      <c r="Z721" s="694"/>
      <c r="AA721" s="317"/>
      <c r="AB721" s="694"/>
      <c r="AC721" s="604"/>
      <c r="AD721" s="604"/>
      <c r="AE721" s="604"/>
    </row>
    <row r="722" spans="1:31">
      <c r="A722" s="604"/>
      <c r="B722" s="604"/>
      <c r="C722" s="604"/>
      <c r="D722" s="604"/>
      <c r="E722" s="604"/>
      <c r="F722" s="604"/>
      <c r="G722" s="604"/>
      <c r="H722" s="604"/>
      <c r="I722" s="604"/>
      <c r="J722" s="604"/>
      <c r="K722" s="604"/>
      <c r="L722" s="604"/>
      <c r="M722" s="604"/>
      <c r="N722" s="604"/>
      <c r="O722" s="604"/>
      <c r="P722" s="604"/>
      <c r="Q722" s="604"/>
      <c r="R722" s="604"/>
      <c r="S722" s="317"/>
      <c r="T722" s="604"/>
      <c r="U722" s="317"/>
      <c r="V722" s="694"/>
      <c r="W722" s="694"/>
      <c r="X722" s="694"/>
      <c r="Y722" s="694"/>
      <c r="Z722" s="694"/>
      <c r="AA722" s="317"/>
      <c r="AB722" s="694"/>
      <c r="AC722" s="604"/>
      <c r="AD722" s="604"/>
      <c r="AE722" s="604"/>
    </row>
    <row r="723" spans="1:31">
      <c r="A723" s="604"/>
      <c r="B723" s="604"/>
      <c r="C723" s="604"/>
      <c r="D723" s="604"/>
      <c r="E723" s="604"/>
      <c r="F723" s="604"/>
      <c r="G723" s="604"/>
      <c r="H723" s="604"/>
      <c r="I723" s="604"/>
      <c r="J723" s="604"/>
      <c r="K723" s="604"/>
      <c r="L723" s="604"/>
      <c r="M723" s="604"/>
      <c r="N723" s="604"/>
      <c r="O723" s="604"/>
      <c r="P723" s="604"/>
      <c r="Q723" s="604"/>
      <c r="R723" s="604"/>
      <c r="S723" s="317"/>
      <c r="T723" s="604"/>
      <c r="U723" s="317"/>
      <c r="V723" s="694"/>
      <c r="W723" s="694"/>
      <c r="X723" s="694"/>
      <c r="Y723" s="694"/>
      <c r="Z723" s="694"/>
      <c r="AA723" s="317"/>
      <c r="AB723" s="694"/>
      <c r="AC723" s="604"/>
      <c r="AD723" s="604"/>
      <c r="AE723" s="604"/>
    </row>
    <row r="724" spans="1:31">
      <c r="A724" s="604"/>
      <c r="B724" s="604"/>
      <c r="C724" s="604"/>
      <c r="D724" s="604"/>
      <c r="E724" s="604"/>
      <c r="F724" s="604"/>
      <c r="G724" s="604"/>
      <c r="H724" s="604"/>
      <c r="I724" s="604"/>
      <c r="J724" s="604"/>
      <c r="K724" s="604"/>
      <c r="L724" s="604"/>
      <c r="M724" s="604"/>
      <c r="N724" s="604"/>
      <c r="O724" s="604"/>
      <c r="P724" s="604"/>
      <c r="Q724" s="604"/>
      <c r="R724" s="604"/>
      <c r="S724" s="317"/>
      <c r="T724" s="604"/>
      <c r="U724" s="317"/>
      <c r="V724" s="694"/>
      <c r="W724" s="694"/>
      <c r="X724" s="694"/>
      <c r="Y724" s="694"/>
      <c r="Z724" s="694"/>
      <c r="AA724" s="317"/>
      <c r="AB724" s="694"/>
      <c r="AC724" s="604"/>
      <c r="AD724" s="604"/>
      <c r="AE724" s="604"/>
    </row>
    <row r="725" spans="1:31">
      <c r="A725" s="604"/>
      <c r="B725" s="604"/>
      <c r="C725" s="604"/>
      <c r="D725" s="604"/>
      <c r="E725" s="604"/>
      <c r="F725" s="604"/>
      <c r="G725" s="604"/>
      <c r="H725" s="604"/>
      <c r="I725" s="604"/>
      <c r="J725" s="604"/>
      <c r="K725" s="604"/>
      <c r="L725" s="604"/>
      <c r="M725" s="604"/>
      <c r="N725" s="604"/>
      <c r="O725" s="604"/>
      <c r="P725" s="604"/>
      <c r="Q725" s="604"/>
      <c r="R725" s="604"/>
      <c r="S725" s="317"/>
      <c r="T725" s="604"/>
      <c r="U725" s="317"/>
      <c r="V725" s="694"/>
      <c r="W725" s="694"/>
      <c r="X725" s="694"/>
      <c r="Y725" s="694"/>
      <c r="Z725" s="694"/>
      <c r="AA725" s="317"/>
      <c r="AB725" s="694"/>
      <c r="AC725" s="604"/>
      <c r="AD725" s="604"/>
      <c r="AE725" s="604"/>
    </row>
    <row r="726" spans="1:31">
      <c r="A726" s="604"/>
      <c r="B726" s="604"/>
      <c r="C726" s="604"/>
      <c r="D726" s="604"/>
      <c r="E726" s="604"/>
      <c r="F726" s="604"/>
      <c r="G726" s="604"/>
      <c r="H726" s="604"/>
      <c r="I726" s="604"/>
      <c r="J726" s="604"/>
      <c r="K726" s="604"/>
      <c r="L726" s="604"/>
      <c r="M726" s="604"/>
      <c r="N726" s="604"/>
      <c r="O726" s="604"/>
      <c r="P726" s="604"/>
      <c r="Q726" s="604"/>
      <c r="R726" s="604"/>
      <c r="S726" s="317"/>
      <c r="T726" s="604"/>
      <c r="U726" s="317"/>
      <c r="V726" s="694"/>
      <c r="W726" s="694"/>
      <c r="X726" s="694"/>
      <c r="Y726" s="694"/>
      <c r="Z726" s="694"/>
      <c r="AA726" s="317"/>
      <c r="AB726" s="694"/>
      <c r="AC726" s="604"/>
      <c r="AD726" s="604"/>
      <c r="AE726" s="604"/>
    </row>
    <row r="727" spans="1:31">
      <c r="A727" s="604"/>
      <c r="B727" s="604"/>
      <c r="C727" s="604"/>
      <c r="D727" s="604"/>
      <c r="E727" s="604"/>
      <c r="F727" s="604"/>
      <c r="G727" s="604"/>
      <c r="H727" s="604"/>
      <c r="I727" s="604"/>
      <c r="J727" s="604"/>
      <c r="K727" s="604"/>
      <c r="L727" s="604"/>
      <c r="M727" s="604"/>
      <c r="N727" s="604"/>
      <c r="O727" s="604"/>
      <c r="P727" s="604"/>
      <c r="Q727" s="604"/>
      <c r="R727" s="604"/>
      <c r="S727" s="317"/>
      <c r="T727" s="604"/>
      <c r="U727" s="317"/>
      <c r="V727" s="694"/>
      <c r="W727" s="694"/>
      <c r="X727" s="694"/>
      <c r="Y727" s="694"/>
      <c r="Z727" s="694"/>
      <c r="AA727" s="317"/>
      <c r="AB727" s="694"/>
      <c r="AC727" s="604"/>
      <c r="AD727" s="604"/>
      <c r="AE727" s="604"/>
    </row>
    <row r="728" spans="1:31">
      <c r="A728" s="604"/>
      <c r="B728" s="604"/>
      <c r="C728" s="604"/>
      <c r="D728" s="604"/>
      <c r="E728" s="604"/>
      <c r="F728" s="604"/>
      <c r="G728" s="604"/>
      <c r="H728" s="604"/>
      <c r="I728" s="604"/>
      <c r="J728" s="604"/>
      <c r="K728" s="604"/>
      <c r="L728" s="604"/>
      <c r="M728" s="604"/>
      <c r="N728" s="604"/>
      <c r="O728" s="604"/>
      <c r="P728" s="604"/>
      <c r="Q728" s="604"/>
      <c r="R728" s="604"/>
      <c r="S728" s="317"/>
      <c r="T728" s="604"/>
      <c r="U728" s="317"/>
      <c r="V728" s="694"/>
      <c r="W728" s="694"/>
      <c r="X728" s="694"/>
      <c r="Y728" s="694"/>
      <c r="Z728" s="694"/>
      <c r="AA728" s="317"/>
      <c r="AB728" s="694"/>
      <c r="AC728" s="604"/>
      <c r="AD728" s="604"/>
      <c r="AE728" s="604"/>
    </row>
    <row r="729" spans="1:31">
      <c r="A729" s="604"/>
      <c r="B729" s="604"/>
      <c r="C729" s="604"/>
      <c r="D729" s="604"/>
      <c r="E729" s="604"/>
      <c r="F729" s="604"/>
      <c r="G729" s="604"/>
      <c r="H729" s="604"/>
      <c r="I729" s="604"/>
      <c r="J729" s="604"/>
      <c r="K729" s="604"/>
      <c r="L729" s="604"/>
      <c r="M729" s="604"/>
      <c r="N729" s="604"/>
      <c r="O729" s="604"/>
      <c r="P729" s="604"/>
      <c r="Q729" s="604"/>
      <c r="R729" s="604"/>
      <c r="S729" s="317"/>
      <c r="T729" s="604"/>
      <c r="U729" s="317"/>
      <c r="V729" s="694"/>
      <c r="W729" s="694"/>
      <c r="X729" s="694"/>
      <c r="Y729" s="694"/>
      <c r="Z729" s="694"/>
      <c r="AA729" s="317"/>
      <c r="AB729" s="694"/>
      <c r="AC729" s="604"/>
      <c r="AD729" s="604"/>
      <c r="AE729" s="604"/>
    </row>
    <row r="730" spans="1:31">
      <c r="A730" s="604"/>
      <c r="B730" s="604"/>
      <c r="C730" s="604"/>
      <c r="D730" s="604"/>
      <c r="E730" s="604"/>
      <c r="F730" s="604"/>
      <c r="G730" s="604"/>
      <c r="H730" s="604"/>
      <c r="I730" s="604"/>
      <c r="J730" s="604"/>
      <c r="K730" s="604"/>
      <c r="L730" s="604"/>
      <c r="M730" s="604"/>
      <c r="N730" s="604"/>
      <c r="O730" s="604"/>
      <c r="P730" s="604"/>
      <c r="Q730" s="604"/>
      <c r="R730" s="604"/>
      <c r="S730" s="317"/>
      <c r="T730" s="604"/>
      <c r="U730" s="317"/>
      <c r="V730" s="694"/>
      <c r="W730" s="694"/>
      <c r="X730" s="694"/>
      <c r="Y730" s="694"/>
      <c r="Z730" s="694"/>
      <c r="AA730" s="317"/>
      <c r="AB730" s="694"/>
      <c r="AC730" s="604"/>
      <c r="AD730" s="604"/>
      <c r="AE730" s="604"/>
    </row>
    <row r="731" spans="1:31">
      <c r="A731" s="604"/>
      <c r="B731" s="604"/>
      <c r="C731" s="604"/>
      <c r="D731" s="604"/>
      <c r="E731" s="604"/>
      <c r="F731" s="604"/>
      <c r="G731" s="604"/>
      <c r="H731" s="604"/>
      <c r="I731" s="604"/>
      <c r="J731" s="604"/>
      <c r="K731" s="604"/>
      <c r="L731" s="604"/>
      <c r="M731" s="604"/>
      <c r="N731" s="604"/>
      <c r="O731" s="604"/>
      <c r="P731" s="604"/>
      <c r="Q731" s="604"/>
      <c r="R731" s="604"/>
      <c r="S731" s="317"/>
      <c r="T731" s="604"/>
      <c r="U731" s="317"/>
      <c r="V731" s="694"/>
      <c r="W731" s="694"/>
      <c r="X731" s="694"/>
      <c r="Y731" s="694"/>
      <c r="Z731" s="694"/>
      <c r="AA731" s="317"/>
      <c r="AB731" s="694"/>
      <c r="AC731" s="604"/>
      <c r="AD731" s="604"/>
      <c r="AE731" s="604"/>
    </row>
    <row r="732" spans="1:31">
      <c r="A732" s="604"/>
      <c r="B732" s="604"/>
      <c r="C732" s="604"/>
      <c r="D732" s="604"/>
      <c r="E732" s="604"/>
      <c r="F732" s="604"/>
      <c r="G732" s="604"/>
      <c r="H732" s="604"/>
      <c r="I732" s="604"/>
      <c r="J732" s="604"/>
      <c r="K732" s="604"/>
      <c r="L732" s="604"/>
      <c r="M732" s="604"/>
      <c r="N732" s="604"/>
      <c r="O732" s="604"/>
      <c r="P732" s="604"/>
      <c r="Q732" s="604"/>
      <c r="R732" s="604"/>
      <c r="S732" s="317"/>
      <c r="T732" s="604"/>
      <c r="U732" s="317"/>
      <c r="V732" s="694"/>
      <c r="W732" s="694"/>
      <c r="X732" s="694"/>
      <c r="Y732" s="694"/>
      <c r="Z732" s="694"/>
      <c r="AA732" s="317"/>
      <c r="AB732" s="694"/>
      <c r="AC732" s="604"/>
      <c r="AD732" s="604"/>
      <c r="AE732" s="604"/>
    </row>
    <row r="733" spans="1:31">
      <c r="A733" s="604"/>
      <c r="B733" s="604"/>
      <c r="C733" s="604"/>
      <c r="D733" s="604"/>
      <c r="E733" s="604"/>
      <c r="F733" s="604"/>
      <c r="G733" s="604"/>
      <c r="H733" s="604"/>
      <c r="I733" s="604"/>
      <c r="J733" s="604"/>
      <c r="K733" s="604"/>
      <c r="L733" s="604"/>
      <c r="M733" s="604"/>
      <c r="N733" s="604"/>
      <c r="O733" s="604"/>
      <c r="P733" s="604"/>
      <c r="Q733" s="604"/>
      <c r="R733" s="604"/>
      <c r="S733" s="317"/>
      <c r="T733" s="604"/>
      <c r="U733" s="317"/>
      <c r="V733" s="694"/>
      <c r="W733" s="694"/>
      <c r="X733" s="694"/>
      <c r="Y733" s="694"/>
      <c r="Z733" s="694"/>
      <c r="AA733" s="317"/>
      <c r="AB733" s="694"/>
      <c r="AC733" s="604"/>
      <c r="AD733" s="604"/>
      <c r="AE733" s="604"/>
    </row>
    <row r="734" spans="1:31">
      <c r="A734" s="604"/>
      <c r="B734" s="604"/>
      <c r="C734" s="604"/>
      <c r="D734" s="604"/>
      <c r="E734" s="604"/>
      <c r="F734" s="604"/>
      <c r="G734" s="604"/>
      <c r="H734" s="604"/>
      <c r="I734" s="604"/>
      <c r="J734" s="604"/>
      <c r="K734" s="604"/>
      <c r="L734" s="604"/>
      <c r="M734" s="604"/>
      <c r="N734" s="604"/>
      <c r="O734" s="604"/>
      <c r="P734" s="604"/>
      <c r="Q734" s="604"/>
      <c r="R734" s="604"/>
      <c r="S734" s="317"/>
      <c r="T734" s="604"/>
      <c r="U734" s="317"/>
      <c r="V734" s="694"/>
      <c r="W734" s="694"/>
      <c r="X734" s="694"/>
      <c r="Y734" s="694"/>
      <c r="Z734" s="694"/>
      <c r="AA734" s="317"/>
      <c r="AB734" s="694"/>
      <c r="AC734" s="604"/>
      <c r="AD734" s="604"/>
      <c r="AE734" s="604"/>
    </row>
    <row r="735" spans="1:31">
      <c r="A735" s="604"/>
      <c r="B735" s="604"/>
      <c r="C735" s="604"/>
      <c r="D735" s="604"/>
      <c r="E735" s="604"/>
      <c r="F735" s="604"/>
      <c r="G735" s="604"/>
      <c r="H735" s="604"/>
      <c r="I735" s="604"/>
      <c r="J735" s="604"/>
      <c r="K735" s="604"/>
      <c r="L735" s="604"/>
      <c r="M735" s="604"/>
      <c r="N735" s="604"/>
      <c r="O735" s="604"/>
      <c r="P735" s="604"/>
      <c r="Q735" s="604"/>
      <c r="R735" s="604"/>
      <c r="S735" s="317"/>
      <c r="T735" s="604"/>
      <c r="U735" s="317"/>
      <c r="V735" s="694"/>
      <c r="W735" s="694"/>
      <c r="X735" s="694"/>
      <c r="Y735" s="694"/>
      <c r="Z735" s="694"/>
      <c r="AA735" s="317"/>
      <c r="AB735" s="694"/>
      <c r="AC735" s="604"/>
      <c r="AD735" s="604"/>
      <c r="AE735" s="604"/>
    </row>
    <row r="736" spans="1:31">
      <c r="A736" s="604"/>
      <c r="B736" s="604"/>
      <c r="C736" s="604"/>
      <c r="D736" s="604"/>
      <c r="E736" s="604"/>
      <c r="F736" s="604"/>
      <c r="G736" s="604"/>
      <c r="H736" s="604"/>
      <c r="I736" s="604"/>
      <c r="J736" s="604"/>
      <c r="K736" s="604"/>
      <c r="L736" s="604"/>
      <c r="M736" s="604"/>
      <c r="N736" s="604"/>
      <c r="O736" s="604"/>
      <c r="P736" s="604"/>
      <c r="Q736" s="604"/>
      <c r="R736" s="604"/>
      <c r="S736" s="317"/>
      <c r="T736" s="604"/>
      <c r="U736" s="317"/>
      <c r="V736" s="694"/>
      <c r="W736" s="694"/>
      <c r="X736" s="694"/>
      <c r="Y736" s="694"/>
      <c r="Z736" s="694"/>
      <c r="AA736" s="317"/>
      <c r="AB736" s="694"/>
      <c r="AC736" s="604"/>
      <c r="AD736" s="604"/>
      <c r="AE736" s="604"/>
    </row>
    <row r="737" spans="1:31">
      <c r="A737" s="604"/>
      <c r="B737" s="604"/>
      <c r="C737" s="604"/>
      <c r="D737" s="604"/>
      <c r="E737" s="604"/>
      <c r="F737" s="604"/>
      <c r="G737" s="604"/>
      <c r="H737" s="604"/>
      <c r="I737" s="604"/>
      <c r="J737" s="604"/>
      <c r="K737" s="604"/>
      <c r="L737" s="604"/>
      <c r="M737" s="604"/>
      <c r="N737" s="604"/>
      <c r="O737" s="604"/>
      <c r="P737" s="604"/>
      <c r="Q737" s="604"/>
      <c r="R737" s="604"/>
      <c r="S737" s="317"/>
      <c r="T737" s="604"/>
      <c r="U737" s="317"/>
      <c r="V737" s="694"/>
      <c r="W737" s="694"/>
      <c r="X737" s="694"/>
      <c r="Y737" s="694"/>
      <c r="Z737" s="694"/>
      <c r="AA737" s="317"/>
      <c r="AB737" s="694"/>
      <c r="AC737" s="604"/>
      <c r="AD737" s="604"/>
      <c r="AE737" s="604"/>
    </row>
    <row r="738" spans="1:31">
      <c r="A738" s="604"/>
      <c r="B738" s="604"/>
      <c r="C738" s="604"/>
      <c r="D738" s="604"/>
      <c r="E738" s="604"/>
      <c r="F738" s="604"/>
      <c r="G738" s="604"/>
      <c r="H738" s="604"/>
      <c r="I738" s="604"/>
      <c r="J738" s="604"/>
      <c r="K738" s="604"/>
      <c r="L738" s="604"/>
      <c r="M738" s="604"/>
      <c r="N738" s="604"/>
      <c r="O738" s="604"/>
      <c r="P738" s="604"/>
      <c r="Q738" s="604"/>
      <c r="R738" s="604"/>
      <c r="S738" s="317"/>
      <c r="T738" s="604"/>
      <c r="U738" s="317"/>
      <c r="V738" s="694"/>
      <c r="W738" s="694"/>
      <c r="X738" s="694"/>
      <c r="Y738" s="694"/>
      <c r="Z738" s="694"/>
      <c r="AA738" s="317"/>
      <c r="AB738" s="694"/>
      <c r="AC738" s="604"/>
      <c r="AD738" s="604"/>
      <c r="AE738" s="604"/>
    </row>
    <row r="739" spans="1:31">
      <c r="A739" s="604"/>
      <c r="B739" s="604"/>
      <c r="C739" s="604"/>
      <c r="D739" s="604"/>
      <c r="E739" s="604"/>
      <c r="F739" s="604"/>
      <c r="G739" s="604"/>
      <c r="H739" s="604"/>
      <c r="I739" s="604"/>
      <c r="J739" s="604"/>
      <c r="K739" s="604"/>
      <c r="L739" s="604"/>
      <c r="M739" s="604"/>
      <c r="N739" s="604"/>
      <c r="O739" s="604"/>
      <c r="P739" s="604"/>
      <c r="Q739" s="604"/>
      <c r="R739" s="604"/>
      <c r="S739" s="317"/>
      <c r="T739" s="604"/>
      <c r="U739" s="317"/>
      <c r="V739" s="694"/>
      <c r="W739" s="694"/>
      <c r="X739" s="694"/>
      <c r="Y739" s="694"/>
      <c r="Z739" s="694"/>
      <c r="AA739" s="317"/>
      <c r="AB739" s="694"/>
      <c r="AC739" s="604"/>
      <c r="AD739" s="604"/>
      <c r="AE739" s="604"/>
    </row>
    <row r="740" spans="1:31">
      <c r="A740" s="604"/>
      <c r="B740" s="604"/>
      <c r="C740" s="604"/>
      <c r="D740" s="604"/>
      <c r="E740" s="604"/>
      <c r="F740" s="604"/>
      <c r="G740" s="604"/>
      <c r="H740" s="604"/>
      <c r="I740" s="604"/>
      <c r="J740" s="604"/>
      <c r="K740" s="604"/>
      <c r="L740" s="604"/>
      <c r="M740" s="604"/>
      <c r="N740" s="604"/>
      <c r="O740" s="604"/>
      <c r="P740" s="604"/>
      <c r="Q740" s="604"/>
      <c r="R740" s="604"/>
      <c r="S740" s="317"/>
      <c r="T740" s="604"/>
      <c r="U740" s="317"/>
      <c r="V740" s="694"/>
      <c r="W740" s="694"/>
      <c r="X740" s="694"/>
      <c r="Y740" s="694"/>
      <c r="Z740" s="694"/>
      <c r="AA740" s="317"/>
      <c r="AB740" s="694"/>
      <c r="AC740" s="604"/>
      <c r="AD740" s="604"/>
      <c r="AE740" s="604"/>
    </row>
    <row r="741" spans="1:31">
      <c r="A741" s="604"/>
      <c r="B741" s="604"/>
      <c r="C741" s="604"/>
      <c r="D741" s="604"/>
      <c r="E741" s="604"/>
      <c r="F741" s="604"/>
      <c r="G741" s="604"/>
      <c r="H741" s="604"/>
      <c r="I741" s="604"/>
      <c r="J741" s="604"/>
      <c r="K741" s="604"/>
      <c r="L741" s="604"/>
      <c r="M741" s="604"/>
      <c r="N741" s="604"/>
      <c r="O741" s="604"/>
      <c r="P741" s="604"/>
      <c r="Q741" s="604"/>
      <c r="R741" s="604"/>
      <c r="S741" s="317"/>
      <c r="T741" s="604"/>
      <c r="U741" s="317"/>
      <c r="V741" s="694"/>
      <c r="W741" s="694"/>
      <c r="X741" s="694"/>
      <c r="Y741" s="694"/>
      <c r="Z741" s="694"/>
      <c r="AA741" s="317"/>
      <c r="AB741" s="694"/>
      <c r="AC741" s="604"/>
      <c r="AD741" s="604"/>
      <c r="AE741" s="604"/>
    </row>
    <row r="742" spans="1:31">
      <c r="A742" s="604"/>
      <c r="B742" s="604"/>
      <c r="C742" s="604"/>
      <c r="D742" s="604"/>
      <c r="E742" s="604"/>
      <c r="F742" s="604"/>
      <c r="G742" s="604"/>
      <c r="H742" s="604"/>
      <c r="I742" s="604"/>
      <c r="J742" s="604"/>
      <c r="K742" s="604"/>
      <c r="L742" s="604"/>
      <c r="M742" s="604"/>
      <c r="N742" s="604"/>
      <c r="O742" s="604"/>
      <c r="P742" s="604"/>
      <c r="Q742" s="604"/>
      <c r="R742" s="604"/>
      <c r="S742" s="317"/>
      <c r="T742" s="604"/>
      <c r="U742" s="317"/>
      <c r="V742" s="694"/>
      <c r="W742" s="694"/>
      <c r="X742" s="694"/>
      <c r="Y742" s="694"/>
      <c r="Z742" s="694"/>
      <c r="AA742" s="317"/>
      <c r="AB742" s="694"/>
      <c r="AC742" s="604"/>
      <c r="AD742" s="604"/>
      <c r="AE742" s="604"/>
    </row>
    <row r="743" spans="1:31">
      <c r="A743" s="604"/>
      <c r="B743" s="604"/>
      <c r="C743" s="604"/>
      <c r="D743" s="604"/>
      <c r="E743" s="604"/>
      <c r="F743" s="604"/>
      <c r="G743" s="604"/>
      <c r="H743" s="604"/>
      <c r="I743" s="604"/>
      <c r="J743" s="604"/>
      <c r="K743" s="604"/>
      <c r="L743" s="604"/>
      <c r="M743" s="604"/>
      <c r="N743" s="604"/>
      <c r="O743" s="604"/>
      <c r="P743" s="604"/>
      <c r="Q743" s="604"/>
      <c r="R743" s="604"/>
      <c r="S743" s="317"/>
      <c r="T743" s="604"/>
      <c r="U743" s="317"/>
      <c r="V743" s="694"/>
      <c r="W743" s="694"/>
      <c r="X743" s="694"/>
      <c r="Y743" s="694"/>
      <c r="Z743" s="694"/>
      <c r="AA743" s="317"/>
      <c r="AB743" s="694"/>
      <c r="AC743" s="604"/>
      <c r="AD743" s="604"/>
      <c r="AE743" s="604"/>
    </row>
    <row r="744" spans="1:31">
      <c r="A744" s="604"/>
      <c r="B744" s="604"/>
      <c r="C744" s="604"/>
      <c r="D744" s="604"/>
      <c r="E744" s="604"/>
      <c r="F744" s="604"/>
      <c r="G744" s="604"/>
      <c r="H744" s="604"/>
      <c r="I744" s="604"/>
      <c r="J744" s="604"/>
      <c r="K744" s="604"/>
      <c r="L744" s="604"/>
      <c r="M744" s="604"/>
      <c r="N744" s="604"/>
      <c r="O744" s="604"/>
      <c r="P744" s="604"/>
      <c r="Q744" s="604"/>
      <c r="R744" s="604"/>
      <c r="S744" s="317"/>
      <c r="T744" s="604"/>
      <c r="U744" s="317"/>
      <c r="V744" s="694"/>
      <c r="W744" s="694"/>
      <c r="X744" s="694"/>
      <c r="Y744" s="694"/>
      <c r="Z744" s="694"/>
      <c r="AA744" s="317"/>
      <c r="AB744" s="694"/>
      <c r="AC744" s="604"/>
      <c r="AD744" s="604"/>
      <c r="AE744" s="604"/>
    </row>
    <row r="745" spans="1:31">
      <c r="A745" s="604"/>
      <c r="B745" s="604"/>
      <c r="C745" s="604"/>
      <c r="D745" s="604"/>
      <c r="E745" s="604"/>
      <c r="F745" s="604"/>
      <c r="G745" s="604"/>
      <c r="H745" s="604"/>
      <c r="I745" s="604"/>
      <c r="J745" s="604"/>
      <c r="K745" s="604"/>
      <c r="L745" s="604"/>
      <c r="M745" s="604"/>
      <c r="N745" s="604"/>
      <c r="O745" s="604"/>
      <c r="P745" s="604"/>
      <c r="Q745" s="604"/>
      <c r="R745" s="604"/>
      <c r="S745" s="317"/>
      <c r="T745" s="604"/>
      <c r="U745" s="317"/>
      <c r="V745" s="694"/>
      <c r="W745" s="694"/>
      <c r="X745" s="694"/>
      <c r="Y745" s="694"/>
      <c r="Z745" s="694"/>
      <c r="AA745" s="317"/>
      <c r="AB745" s="694"/>
      <c r="AC745" s="604"/>
      <c r="AD745" s="604"/>
      <c r="AE745" s="604"/>
    </row>
    <row r="746" spans="1:31">
      <c r="A746" s="604"/>
      <c r="B746" s="604"/>
      <c r="C746" s="604"/>
      <c r="D746" s="604"/>
      <c r="E746" s="604"/>
      <c r="F746" s="604"/>
      <c r="G746" s="604"/>
      <c r="H746" s="604"/>
      <c r="I746" s="604"/>
      <c r="J746" s="604"/>
      <c r="K746" s="604"/>
      <c r="L746" s="604"/>
      <c r="M746" s="604"/>
      <c r="N746" s="604"/>
      <c r="O746" s="604"/>
      <c r="P746" s="604"/>
      <c r="Q746" s="604"/>
      <c r="R746" s="604"/>
      <c r="S746" s="317"/>
      <c r="T746" s="604"/>
      <c r="U746" s="317"/>
      <c r="V746" s="694"/>
      <c r="W746" s="694"/>
      <c r="X746" s="694"/>
      <c r="Y746" s="694"/>
      <c r="Z746" s="694"/>
      <c r="AA746" s="317"/>
      <c r="AB746" s="694"/>
      <c r="AC746" s="604"/>
      <c r="AD746" s="604"/>
      <c r="AE746" s="604"/>
    </row>
    <row r="747" spans="1:31">
      <c r="A747" s="604"/>
      <c r="B747" s="604"/>
      <c r="C747" s="604"/>
      <c r="D747" s="604"/>
      <c r="E747" s="604"/>
      <c r="F747" s="604"/>
      <c r="G747" s="604"/>
      <c r="H747" s="604"/>
      <c r="I747" s="604"/>
      <c r="J747" s="604"/>
      <c r="K747" s="604"/>
      <c r="L747" s="604"/>
      <c r="M747" s="604"/>
      <c r="N747" s="604"/>
      <c r="O747" s="604"/>
      <c r="P747" s="604"/>
      <c r="Q747" s="604"/>
      <c r="R747" s="604"/>
      <c r="S747" s="317"/>
      <c r="T747" s="604"/>
      <c r="U747" s="317"/>
      <c r="V747" s="694"/>
      <c r="W747" s="694"/>
      <c r="X747" s="694"/>
      <c r="Y747" s="694"/>
      <c r="Z747" s="694"/>
      <c r="AA747" s="317"/>
      <c r="AB747" s="694"/>
      <c r="AC747" s="604"/>
      <c r="AD747" s="604"/>
      <c r="AE747" s="604"/>
    </row>
    <row r="748" spans="1:31">
      <c r="A748" s="604"/>
      <c r="B748" s="604"/>
      <c r="C748" s="604"/>
      <c r="D748" s="604"/>
      <c r="E748" s="604"/>
      <c r="F748" s="604"/>
      <c r="G748" s="604"/>
      <c r="H748" s="604"/>
      <c r="I748" s="604"/>
      <c r="J748" s="604"/>
      <c r="K748" s="604"/>
      <c r="L748" s="604"/>
      <c r="M748" s="604"/>
      <c r="N748" s="604"/>
      <c r="O748" s="604"/>
      <c r="P748" s="604"/>
      <c r="Q748" s="604"/>
      <c r="R748" s="604"/>
      <c r="S748" s="317"/>
      <c r="T748" s="604"/>
      <c r="U748" s="317"/>
      <c r="V748" s="694"/>
      <c r="W748" s="694"/>
      <c r="X748" s="694"/>
      <c r="Y748" s="694"/>
      <c r="Z748" s="694"/>
      <c r="AA748" s="317"/>
      <c r="AB748" s="694"/>
      <c r="AC748" s="604"/>
      <c r="AD748" s="604"/>
      <c r="AE748" s="604"/>
    </row>
    <row r="749" spans="1:31">
      <c r="A749" s="604"/>
      <c r="B749" s="604"/>
      <c r="C749" s="604"/>
      <c r="D749" s="604"/>
      <c r="E749" s="604"/>
      <c r="F749" s="604"/>
      <c r="G749" s="604"/>
      <c r="H749" s="604"/>
      <c r="I749" s="604"/>
      <c r="J749" s="604"/>
      <c r="K749" s="604"/>
      <c r="L749" s="604"/>
      <c r="M749" s="604"/>
      <c r="N749" s="604"/>
      <c r="O749" s="604"/>
      <c r="P749" s="604"/>
      <c r="Q749" s="604"/>
      <c r="R749" s="604"/>
      <c r="S749" s="317"/>
      <c r="T749" s="604"/>
      <c r="U749" s="317"/>
      <c r="V749" s="694"/>
      <c r="W749" s="694"/>
      <c r="X749" s="694"/>
      <c r="Y749" s="694"/>
      <c r="Z749" s="694"/>
      <c r="AA749" s="317"/>
      <c r="AB749" s="694"/>
      <c r="AC749" s="604"/>
      <c r="AD749" s="604"/>
      <c r="AE749" s="604"/>
    </row>
    <row r="750" spans="1:31">
      <c r="A750" s="604"/>
      <c r="B750" s="604"/>
      <c r="C750" s="604"/>
      <c r="D750" s="604"/>
      <c r="E750" s="604"/>
      <c r="F750" s="604"/>
      <c r="G750" s="604"/>
      <c r="H750" s="604"/>
      <c r="I750" s="604"/>
      <c r="J750" s="604"/>
      <c r="K750" s="604"/>
      <c r="L750" s="604"/>
      <c r="M750" s="604"/>
      <c r="N750" s="604"/>
      <c r="O750" s="604"/>
      <c r="P750" s="604"/>
      <c r="Q750" s="604"/>
      <c r="R750" s="604"/>
      <c r="S750" s="317"/>
      <c r="T750" s="604"/>
      <c r="U750" s="317"/>
      <c r="V750" s="694"/>
      <c r="W750" s="694"/>
      <c r="X750" s="694"/>
      <c r="Y750" s="694"/>
      <c r="Z750" s="694"/>
      <c r="AA750" s="317"/>
      <c r="AB750" s="694"/>
      <c r="AC750" s="604"/>
      <c r="AD750" s="604"/>
      <c r="AE750" s="604"/>
    </row>
    <row r="751" spans="1:31">
      <c r="A751" s="604"/>
      <c r="B751" s="604"/>
      <c r="C751" s="604"/>
      <c r="D751" s="604"/>
      <c r="E751" s="604"/>
      <c r="F751" s="604"/>
      <c r="G751" s="604"/>
      <c r="H751" s="604"/>
      <c r="I751" s="604"/>
      <c r="J751" s="604"/>
      <c r="K751" s="604"/>
      <c r="L751" s="604"/>
      <c r="M751" s="604"/>
      <c r="N751" s="604"/>
      <c r="O751" s="604"/>
      <c r="P751" s="604"/>
      <c r="Q751" s="604"/>
      <c r="R751" s="604"/>
      <c r="S751" s="317"/>
      <c r="T751" s="604"/>
      <c r="U751" s="317"/>
      <c r="V751" s="694"/>
      <c r="W751" s="694"/>
      <c r="X751" s="694"/>
      <c r="Y751" s="694"/>
      <c r="Z751" s="694"/>
      <c r="AA751" s="317"/>
      <c r="AB751" s="694"/>
      <c r="AC751" s="604"/>
      <c r="AD751" s="604"/>
      <c r="AE751" s="604"/>
    </row>
    <row r="752" spans="1:31">
      <c r="A752" s="604"/>
      <c r="B752" s="604"/>
      <c r="C752" s="604"/>
      <c r="D752" s="604"/>
      <c r="E752" s="604"/>
      <c r="F752" s="604"/>
      <c r="G752" s="604"/>
      <c r="H752" s="604"/>
      <c r="I752" s="604"/>
      <c r="J752" s="604"/>
      <c r="K752" s="604"/>
      <c r="L752" s="604"/>
      <c r="M752" s="604"/>
      <c r="N752" s="604"/>
      <c r="O752" s="604"/>
      <c r="P752" s="604"/>
      <c r="Q752" s="604"/>
      <c r="R752" s="604"/>
      <c r="S752" s="317"/>
      <c r="T752" s="604"/>
      <c r="U752" s="317"/>
      <c r="V752" s="694"/>
      <c r="W752" s="694"/>
      <c r="X752" s="694"/>
      <c r="Y752" s="694"/>
      <c r="Z752" s="694"/>
      <c r="AA752" s="317"/>
      <c r="AB752" s="694"/>
      <c r="AC752" s="604"/>
      <c r="AD752" s="604"/>
      <c r="AE752" s="604"/>
    </row>
    <row r="753" spans="1:31">
      <c r="A753" s="604"/>
      <c r="B753" s="604"/>
      <c r="C753" s="604"/>
      <c r="D753" s="604"/>
      <c r="E753" s="604"/>
      <c r="F753" s="604"/>
      <c r="G753" s="604"/>
      <c r="H753" s="604"/>
      <c r="I753" s="604"/>
      <c r="J753" s="604"/>
      <c r="K753" s="604"/>
      <c r="L753" s="604"/>
      <c r="M753" s="604"/>
      <c r="N753" s="604"/>
      <c r="O753" s="604"/>
      <c r="P753" s="604"/>
      <c r="Q753" s="604"/>
      <c r="R753" s="604"/>
      <c r="S753" s="317"/>
      <c r="T753" s="604"/>
      <c r="U753" s="317"/>
      <c r="V753" s="694"/>
      <c r="W753" s="694"/>
      <c r="X753" s="694"/>
      <c r="Y753" s="694"/>
      <c r="Z753" s="694"/>
      <c r="AA753" s="317"/>
      <c r="AB753" s="694"/>
      <c r="AC753" s="604"/>
      <c r="AD753" s="604"/>
      <c r="AE753" s="604"/>
    </row>
    <row r="754" spans="1:31">
      <c r="A754" s="604"/>
      <c r="B754" s="604"/>
      <c r="C754" s="604"/>
      <c r="D754" s="604"/>
      <c r="E754" s="604"/>
      <c r="F754" s="604"/>
      <c r="G754" s="604"/>
      <c r="H754" s="604"/>
      <c r="I754" s="604"/>
      <c r="J754" s="604"/>
      <c r="K754" s="604"/>
      <c r="L754" s="604"/>
      <c r="M754" s="604"/>
      <c r="N754" s="604"/>
      <c r="O754" s="604"/>
      <c r="P754" s="604"/>
      <c r="Q754" s="604"/>
      <c r="R754" s="604"/>
      <c r="S754" s="317"/>
      <c r="T754" s="604"/>
      <c r="U754" s="317"/>
      <c r="V754" s="694"/>
      <c r="W754" s="694"/>
      <c r="X754" s="694"/>
      <c r="Y754" s="694"/>
      <c r="Z754" s="694"/>
      <c r="AA754" s="317"/>
      <c r="AB754" s="694"/>
      <c r="AC754" s="604"/>
      <c r="AD754" s="604"/>
      <c r="AE754" s="604"/>
    </row>
    <row r="755" spans="1:31">
      <c r="A755" s="604"/>
      <c r="B755" s="604"/>
      <c r="C755" s="604"/>
      <c r="D755" s="604"/>
      <c r="E755" s="604"/>
      <c r="F755" s="604"/>
      <c r="G755" s="604"/>
      <c r="H755" s="604"/>
      <c r="I755" s="604"/>
      <c r="J755" s="604"/>
      <c r="K755" s="604"/>
      <c r="L755" s="604"/>
      <c r="M755" s="604"/>
      <c r="N755" s="604"/>
      <c r="O755" s="604"/>
      <c r="P755" s="604"/>
      <c r="Q755" s="604"/>
      <c r="R755" s="604"/>
      <c r="S755" s="317"/>
      <c r="T755" s="604"/>
      <c r="U755" s="317"/>
      <c r="V755" s="694"/>
      <c r="W755" s="694"/>
      <c r="X755" s="694"/>
      <c r="Y755" s="694"/>
      <c r="Z755" s="694"/>
      <c r="AA755" s="317"/>
      <c r="AB755" s="694"/>
      <c r="AC755" s="604"/>
      <c r="AD755" s="604"/>
      <c r="AE755" s="604"/>
    </row>
    <row r="756" spans="1:31">
      <c r="A756" s="604"/>
      <c r="B756" s="604"/>
      <c r="C756" s="604"/>
      <c r="D756" s="604"/>
      <c r="E756" s="604"/>
      <c r="F756" s="604"/>
      <c r="G756" s="604"/>
      <c r="H756" s="604"/>
      <c r="I756" s="604"/>
      <c r="J756" s="604"/>
      <c r="K756" s="604"/>
      <c r="L756" s="604"/>
      <c r="M756" s="604"/>
      <c r="N756" s="604"/>
      <c r="O756" s="604"/>
      <c r="P756" s="604"/>
      <c r="Q756" s="604"/>
      <c r="R756" s="604"/>
      <c r="S756" s="317"/>
      <c r="T756" s="604"/>
      <c r="U756" s="317"/>
      <c r="V756" s="694"/>
      <c r="W756" s="694"/>
      <c r="X756" s="694"/>
      <c r="Y756" s="694"/>
      <c r="Z756" s="694"/>
      <c r="AA756" s="317"/>
      <c r="AB756" s="694"/>
      <c r="AC756" s="604"/>
      <c r="AD756" s="604"/>
      <c r="AE756" s="604"/>
    </row>
    <row r="757" spans="1:31">
      <c r="A757" s="604"/>
      <c r="B757" s="604"/>
      <c r="C757" s="604"/>
      <c r="D757" s="604"/>
      <c r="E757" s="604"/>
      <c r="F757" s="604"/>
      <c r="G757" s="604"/>
      <c r="H757" s="604"/>
      <c r="I757" s="604"/>
      <c r="J757" s="604"/>
      <c r="K757" s="604"/>
      <c r="L757" s="604"/>
      <c r="M757" s="604"/>
      <c r="N757" s="604"/>
      <c r="O757" s="604"/>
      <c r="P757" s="604"/>
      <c r="Q757" s="604"/>
      <c r="R757" s="604"/>
      <c r="S757" s="317"/>
      <c r="T757" s="604"/>
      <c r="U757" s="317"/>
      <c r="V757" s="694"/>
      <c r="W757" s="694"/>
      <c r="X757" s="694"/>
      <c r="Y757" s="694"/>
      <c r="Z757" s="694"/>
      <c r="AA757" s="317"/>
      <c r="AB757" s="694"/>
      <c r="AC757" s="604"/>
      <c r="AD757" s="604"/>
      <c r="AE757" s="604"/>
    </row>
    <row r="758" spans="1:31">
      <c r="A758" s="604"/>
      <c r="B758" s="604"/>
      <c r="C758" s="604"/>
      <c r="D758" s="604"/>
      <c r="E758" s="604"/>
      <c r="F758" s="604"/>
      <c r="G758" s="604"/>
      <c r="H758" s="604"/>
      <c r="I758" s="604"/>
      <c r="J758" s="604"/>
      <c r="K758" s="604"/>
      <c r="L758" s="604"/>
      <c r="M758" s="604"/>
      <c r="N758" s="604"/>
      <c r="O758" s="604"/>
      <c r="P758" s="604"/>
      <c r="Q758" s="604"/>
      <c r="R758" s="604"/>
      <c r="S758" s="317"/>
      <c r="T758" s="604"/>
      <c r="U758" s="317"/>
      <c r="V758" s="694"/>
      <c r="W758" s="694"/>
      <c r="X758" s="694"/>
      <c r="Y758" s="694"/>
      <c r="Z758" s="694"/>
      <c r="AA758" s="317"/>
      <c r="AB758" s="694"/>
      <c r="AC758" s="604"/>
      <c r="AD758" s="604"/>
      <c r="AE758" s="604"/>
    </row>
    <row r="759" spans="1:31">
      <c r="A759" s="604"/>
      <c r="B759" s="604"/>
      <c r="C759" s="604"/>
      <c r="D759" s="604"/>
      <c r="E759" s="604"/>
      <c r="F759" s="604"/>
      <c r="G759" s="604"/>
      <c r="H759" s="604"/>
      <c r="I759" s="604"/>
      <c r="J759" s="604"/>
      <c r="K759" s="604"/>
      <c r="L759" s="604"/>
      <c r="M759" s="604"/>
      <c r="N759" s="604"/>
      <c r="O759" s="604"/>
      <c r="P759" s="604"/>
      <c r="Q759" s="604"/>
      <c r="R759" s="604"/>
      <c r="S759" s="317"/>
      <c r="T759" s="604"/>
      <c r="U759" s="317"/>
      <c r="V759" s="694"/>
      <c r="W759" s="694"/>
      <c r="X759" s="694"/>
      <c r="Y759" s="694"/>
      <c r="Z759" s="694"/>
      <c r="AA759" s="317"/>
      <c r="AB759" s="694"/>
      <c r="AC759" s="604"/>
      <c r="AD759" s="604"/>
      <c r="AE759" s="604"/>
    </row>
    <row r="760" spans="1:31">
      <c r="A760" s="604"/>
      <c r="B760" s="604"/>
      <c r="C760" s="604"/>
      <c r="D760" s="604"/>
      <c r="E760" s="604"/>
      <c r="F760" s="604"/>
      <c r="G760" s="604"/>
      <c r="H760" s="604"/>
      <c r="I760" s="604"/>
      <c r="J760" s="604"/>
      <c r="K760" s="604"/>
      <c r="L760" s="604"/>
      <c r="M760" s="604"/>
      <c r="N760" s="604"/>
      <c r="O760" s="604"/>
      <c r="P760" s="604"/>
      <c r="Q760" s="604"/>
      <c r="R760" s="604"/>
      <c r="S760" s="317"/>
      <c r="T760" s="604"/>
      <c r="U760" s="317"/>
      <c r="V760" s="694"/>
      <c r="W760" s="694"/>
      <c r="X760" s="694"/>
      <c r="Y760" s="694"/>
      <c r="Z760" s="694"/>
      <c r="AA760" s="317"/>
      <c r="AB760" s="694"/>
      <c r="AC760" s="604"/>
      <c r="AD760" s="604"/>
      <c r="AE760" s="604"/>
    </row>
    <row r="761" spans="1:31">
      <c r="A761" s="604"/>
      <c r="B761" s="604"/>
      <c r="C761" s="604"/>
      <c r="D761" s="604"/>
      <c r="E761" s="604"/>
      <c r="F761" s="604"/>
      <c r="G761" s="604"/>
      <c r="H761" s="604"/>
      <c r="I761" s="604"/>
      <c r="J761" s="604"/>
      <c r="K761" s="604"/>
      <c r="L761" s="604"/>
      <c r="M761" s="604"/>
      <c r="N761" s="604"/>
      <c r="O761" s="604"/>
      <c r="P761" s="604"/>
      <c r="Q761" s="604"/>
      <c r="R761" s="604"/>
      <c r="S761" s="317"/>
      <c r="T761" s="604"/>
      <c r="U761" s="317"/>
      <c r="V761" s="694"/>
      <c r="W761" s="694"/>
      <c r="X761" s="694"/>
      <c r="Y761" s="694"/>
      <c r="Z761" s="694"/>
      <c r="AA761" s="317"/>
      <c r="AB761" s="694"/>
      <c r="AC761" s="604"/>
      <c r="AD761" s="604"/>
      <c r="AE761" s="604"/>
    </row>
    <row r="762" spans="1:31">
      <c r="A762" s="604"/>
      <c r="B762" s="604"/>
      <c r="C762" s="604"/>
      <c r="D762" s="604"/>
      <c r="E762" s="604"/>
      <c r="F762" s="604"/>
      <c r="G762" s="604"/>
      <c r="H762" s="604"/>
      <c r="I762" s="604"/>
      <c r="J762" s="604"/>
      <c r="K762" s="604"/>
      <c r="L762" s="604"/>
      <c r="M762" s="604"/>
      <c r="N762" s="604"/>
      <c r="O762" s="604"/>
      <c r="P762" s="604"/>
      <c r="Q762" s="604"/>
      <c r="R762" s="604"/>
      <c r="S762" s="317"/>
      <c r="T762" s="604"/>
      <c r="U762" s="317"/>
      <c r="V762" s="694"/>
      <c r="W762" s="694"/>
      <c r="X762" s="694"/>
      <c r="Y762" s="694"/>
      <c r="Z762" s="694"/>
      <c r="AA762" s="317"/>
      <c r="AB762" s="694"/>
      <c r="AC762" s="604"/>
      <c r="AD762" s="604"/>
      <c r="AE762" s="604"/>
    </row>
    <row r="763" spans="1:31">
      <c r="A763" s="604"/>
      <c r="B763" s="604"/>
      <c r="C763" s="604"/>
      <c r="D763" s="604"/>
      <c r="E763" s="604"/>
      <c r="F763" s="604"/>
      <c r="G763" s="604"/>
      <c r="H763" s="604"/>
      <c r="I763" s="604"/>
      <c r="J763" s="604"/>
      <c r="K763" s="604"/>
      <c r="L763" s="604"/>
      <c r="M763" s="604"/>
      <c r="N763" s="604"/>
      <c r="O763" s="604"/>
      <c r="P763" s="604"/>
      <c r="Q763" s="604"/>
      <c r="R763" s="604"/>
      <c r="S763" s="317"/>
      <c r="T763" s="604"/>
      <c r="U763" s="317"/>
      <c r="V763" s="694"/>
      <c r="W763" s="694"/>
      <c r="X763" s="694"/>
      <c r="Y763" s="694"/>
      <c r="Z763" s="694"/>
      <c r="AA763" s="317"/>
      <c r="AB763" s="694"/>
      <c r="AC763" s="604"/>
      <c r="AD763" s="604"/>
      <c r="AE763" s="604"/>
    </row>
    <row r="764" spans="1:31">
      <c r="A764" s="604"/>
      <c r="B764" s="604"/>
      <c r="C764" s="604"/>
      <c r="D764" s="604"/>
      <c r="E764" s="604"/>
      <c r="F764" s="604"/>
      <c r="G764" s="604"/>
      <c r="H764" s="604"/>
      <c r="I764" s="604"/>
      <c r="J764" s="604"/>
      <c r="K764" s="604"/>
      <c r="L764" s="604"/>
      <c r="M764" s="604"/>
      <c r="N764" s="604"/>
      <c r="O764" s="604"/>
      <c r="P764" s="604"/>
      <c r="Q764" s="604"/>
      <c r="R764" s="604"/>
      <c r="S764" s="317"/>
      <c r="T764" s="604"/>
      <c r="U764" s="317"/>
      <c r="V764" s="694"/>
      <c r="W764" s="694"/>
      <c r="X764" s="694"/>
      <c r="Y764" s="694"/>
      <c r="Z764" s="694"/>
      <c r="AA764" s="317"/>
      <c r="AB764" s="694"/>
      <c r="AC764" s="604"/>
      <c r="AD764" s="604"/>
      <c r="AE764" s="604"/>
    </row>
    <row r="765" spans="1:31">
      <c r="A765" s="604"/>
      <c r="B765" s="604"/>
      <c r="C765" s="604"/>
      <c r="D765" s="604"/>
      <c r="E765" s="604"/>
      <c r="F765" s="604"/>
      <c r="G765" s="604"/>
      <c r="H765" s="604"/>
      <c r="I765" s="604"/>
      <c r="J765" s="604"/>
      <c r="K765" s="604"/>
      <c r="L765" s="604"/>
      <c r="M765" s="604"/>
      <c r="N765" s="604"/>
      <c r="O765" s="604"/>
      <c r="P765" s="604"/>
      <c r="Q765" s="604"/>
      <c r="R765" s="604"/>
      <c r="S765" s="317"/>
      <c r="T765" s="604"/>
      <c r="U765" s="317"/>
      <c r="V765" s="694"/>
      <c r="W765" s="694"/>
      <c r="X765" s="694"/>
      <c r="Y765" s="694"/>
      <c r="Z765" s="694"/>
      <c r="AA765" s="317"/>
      <c r="AB765" s="694"/>
      <c r="AC765" s="604"/>
      <c r="AD765" s="604"/>
      <c r="AE765" s="604"/>
    </row>
    <row r="766" spans="1:31">
      <c r="A766" s="604"/>
      <c r="B766" s="604"/>
      <c r="C766" s="604"/>
      <c r="D766" s="604"/>
      <c r="E766" s="604"/>
      <c r="F766" s="604"/>
      <c r="G766" s="604"/>
      <c r="H766" s="604"/>
      <c r="I766" s="604"/>
      <c r="J766" s="604"/>
      <c r="K766" s="604"/>
      <c r="L766" s="604"/>
      <c r="M766" s="604"/>
      <c r="N766" s="604"/>
      <c r="O766" s="604"/>
      <c r="P766" s="604"/>
      <c r="Q766" s="604"/>
      <c r="R766" s="604"/>
      <c r="S766" s="317"/>
      <c r="T766" s="604"/>
      <c r="U766" s="317"/>
      <c r="V766" s="694"/>
      <c r="W766" s="694"/>
      <c r="X766" s="694"/>
      <c r="Y766" s="694"/>
      <c r="Z766" s="694"/>
      <c r="AA766" s="317"/>
      <c r="AB766" s="694"/>
      <c r="AC766" s="604"/>
      <c r="AD766" s="604"/>
      <c r="AE766" s="604"/>
    </row>
    <row r="767" spans="1:31">
      <c r="A767" s="604"/>
      <c r="B767" s="604"/>
      <c r="C767" s="604"/>
      <c r="D767" s="604"/>
      <c r="E767" s="604"/>
      <c r="F767" s="604"/>
      <c r="G767" s="604"/>
      <c r="H767" s="604"/>
      <c r="I767" s="604"/>
      <c r="J767" s="604"/>
      <c r="K767" s="604"/>
      <c r="L767" s="604"/>
      <c r="M767" s="604"/>
      <c r="N767" s="604"/>
      <c r="O767" s="604"/>
      <c r="P767" s="604"/>
      <c r="Q767" s="604"/>
      <c r="R767" s="604"/>
      <c r="S767" s="317"/>
      <c r="T767" s="604"/>
      <c r="U767" s="317"/>
      <c r="V767" s="694"/>
      <c r="W767" s="694"/>
      <c r="X767" s="694"/>
      <c r="Y767" s="694"/>
      <c r="Z767" s="694"/>
      <c r="AA767" s="317"/>
      <c r="AB767" s="694"/>
      <c r="AC767" s="604"/>
      <c r="AD767" s="604"/>
      <c r="AE767" s="604"/>
    </row>
    <row r="768" spans="1:31">
      <c r="A768" s="604"/>
      <c r="B768" s="604"/>
      <c r="C768" s="604"/>
      <c r="D768" s="604"/>
      <c r="E768" s="604"/>
      <c r="F768" s="604"/>
      <c r="G768" s="604"/>
      <c r="H768" s="604"/>
      <c r="I768" s="604"/>
      <c r="J768" s="604"/>
      <c r="K768" s="604"/>
      <c r="L768" s="604"/>
      <c r="M768" s="604"/>
      <c r="N768" s="604"/>
      <c r="O768" s="604"/>
      <c r="P768" s="604"/>
      <c r="Q768" s="604"/>
      <c r="R768" s="604"/>
      <c r="S768" s="317"/>
      <c r="T768" s="604"/>
      <c r="U768" s="317"/>
      <c r="V768" s="694"/>
      <c r="W768" s="694"/>
      <c r="X768" s="694"/>
      <c r="Y768" s="694"/>
      <c r="Z768" s="694"/>
      <c r="AA768" s="317"/>
      <c r="AB768" s="694"/>
      <c r="AC768" s="604"/>
      <c r="AD768" s="604"/>
      <c r="AE768" s="604"/>
    </row>
    <row r="769" spans="1:31">
      <c r="A769" s="604"/>
      <c r="B769" s="604"/>
      <c r="C769" s="604"/>
      <c r="D769" s="604"/>
      <c r="E769" s="604"/>
      <c r="F769" s="604"/>
      <c r="G769" s="604"/>
      <c r="H769" s="604"/>
      <c r="I769" s="604"/>
      <c r="J769" s="604"/>
      <c r="K769" s="604"/>
      <c r="L769" s="604"/>
      <c r="M769" s="604"/>
      <c r="N769" s="604"/>
      <c r="O769" s="604"/>
      <c r="P769" s="604"/>
      <c r="Q769" s="604"/>
      <c r="R769" s="604"/>
      <c r="S769" s="317"/>
      <c r="T769" s="604"/>
      <c r="U769" s="317"/>
      <c r="V769" s="694"/>
      <c r="W769" s="694"/>
      <c r="X769" s="694"/>
      <c r="Y769" s="694"/>
      <c r="Z769" s="694"/>
      <c r="AA769" s="317"/>
      <c r="AB769" s="694"/>
      <c r="AC769" s="604"/>
      <c r="AD769" s="604"/>
      <c r="AE769" s="604"/>
    </row>
    <row r="770" spans="1:31">
      <c r="A770" s="604"/>
      <c r="B770" s="604"/>
      <c r="C770" s="604"/>
      <c r="D770" s="604"/>
      <c r="E770" s="604"/>
      <c r="F770" s="604"/>
      <c r="G770" s="604"/>
      <c r="H770" s="604"/>
      <c r="I770" s="604"/>
      <c r="J770" s="604"/>
      <c r="K770" s="604"/>
      <c r="L770" s="604"/>
      <c r="M770" s="604"/>
      <c r="N770" s="604"/>
      <c r="O770" s="604"/>
      <c r="P770" s="604"/>
      <c r="Q770" s="604"/>
      <c r="R770" s="604"/>
      <c r="S770" s="317"/>
      <c r="T770" s="604"/>
      <c r="U770" s="317"/>
      <c r="V770" s="694"/>
      <c r="W770" s="694"/>
      <c r="X770" s="694"/>
      <c r="Y770" s="694"/>
      <c r="Z770" s="694"/>
      <c r="AA770" s="317"/>
      <c r="AB770" s="694"/>
      <c r="AC770" s="604"/>
      <c r="AD770" s="604"/>
      <c r="AE770" s="604"/>
    </row>
    <row r="771" spans="1:31">
      <c r="A771" s="604"/>
      <c r="B771" s="604"/>
      <c r="C771" s="604"/>
      <c r="D771" s="604"/>
      <c r="E771" s="604"/>
      <c r="F771" s="604"/>
      <c r="G771" s="604"/>
      <c r="H771" s="604"/>
      <c r="I771" s="604"/>
      <c r="J771" s="604"/>
      <c r="K771" s="604"/>
      <c r="L771" s="604"/>
      <c r="M771" s="604"/>
      <c r="N771" s="604"/>
      <c r="O771" s="604"/>
      <c r="P771" s="604"/>
      <c r="Q771" s="604"/>
      <c r="R771" s="604"/>
      <c r="S771" s="317"/>
      <c r="T771" s="604"/>
      <c r="U771" s="317"/>
      <c r="V771" s="694"/>
      <c r="W771" s="694"/>
      <c r="X771" s="694"/>
      <c r="Y771" s="694"/>
      <c r="Z771" s="694"/>
      <c r="AA771" s="317"/>
      <c r="AB771" s="694"/>
      <c r="AC771" s="604"/>
      <c r="AD771" s="604"/>
      <c r="AE771" s="604"/>
    </row>
    <row r="772" spans="1:31">
      <c r="A772" s="604"/>
      <c r="B772" s="604"/>
      <c r="C772" s="604"/>
      <c r="D772" s="604"/>
      <c r="E772" s="604"/>
      <c r="F772" s="604"/>
      <c r="G772" s="604"/>
      <c r="H772" s="604"/>
      <c r="I772" s="604"/>
      <c r="J772" s="604"/>
      <c r="K772" s="604"/>
      <c r="L772" s="604"/>
      <c r="M772" s="604"/>
      <c r="N772" s="604"/>
      <c r="O772" s="604"/>
      <c r="P772" s="604"/>
      <c r="Q772" s="604"/>
      <c r="R772" s="604"/>
      <c r="S772" s="317"/>
      <c r="T772" s="604"/>
      <c r="U772" s="317"/>
      <c r="V772" s="694"/>
      <c r="W772" s="694"/>
      <c r="X772" s="694"/>
      <c r="Y772" s="694"/>
      <c r="Z772" s="694"/>
      <c r="AA772" s="317"/>
      <c r="AB772" s="694"/>
      <c r="AC772" s="604"/>
      <c r="AD772" s="604"/>
      <c r="AE772" s="604"/>
    </row>
    <row r="773" spans="1:31">
      <c r="A773" s="604"/>
      <c r="B773" s="604"/>
      <c r="C773" s="604"/>
      <c r="D773" s="604"/>
      <c r="E773" s="604"/>
      <c r="F773" s="604"/>
      <c r="G773" s="604"/>
      <c r="H773" s="604"/>
      <c r="I773" s="604"/>
      <c r="J773" s="604"/>
      <c r="K773" s="604"/>
      <c r="L773" s="604"/>
      <c r="M773" s="604"/>
      <c r="N773" s="604"/>
      <c r="O773" s="604"/>
      <c r="P773" s="604"/>
      <c r="Q773" s="604"/>
      <c r="R773" s="604"/>
      <c r="S773" s="317"/>
      <c r="T773" s="604"/>
      <c r="U773" s="317"/>
      <c r="V773" s="694"/>
      <c r="W773" s="694"/>
      <c r="X773" s="694"/>
      <c r="Y773" s="694"/>
      <c r="Z773" s="694"/>
      <c r="AA773" s="317"/>
      <c r="AB773" s="694"/>
      <c r="AC773" s="604"/>
      <c r="AD773" s="604"/>
      <c r="AE773" s="604"/>
    </row>
    <row r="774" spans="1:31">
      <c r="A774" s="604"/>
      <c r="B774" s="604"/>
      <c r="C774" s="604"/>
      <c r="D774" s="604"/>
      <c r="E774" s="604"/>
      <c r="F774" s="604"/>
      <c r="G774" s="604"/>
      <c r="H774" s="604"/>
      <c r="I774" s="604"/>
      <c r="J774" s="604"/>
      <c r="K774" s="604"/>
      <c r="L774" s="604"/>
      <c r="M774" s="604"/>
      <c r="N774" s="604"/>
      <c r="O774" s="604"/>
      <c r="P774" s="604"/>
      <c r="Q774" s="604"/>
      <c r="R774" s="604"/>
      <c r="S774" s="317"/>
      <c r="T774" s="604"/>
      <c r="U774" s="317"/>
      <c r="V774" s="694"/>
      <c r="W774" s="694"/>
      <c r="X774" s="694"/>
      <c r="Y774" s="694"/>
      <c r="Z774" s="694"/>
      <c r="AA774" s="317"/>
      <c r="AB774" s="694"/>
      <c r="AC774" s="604"/>
      <c r="AD774" s="604"/>
      <c r="AE774" s="604"/>
    </row>
    <row r="775" spans="1:31">
      <c r="A775" s="604"/>
      <c r="B775" s="604"/>
      <c r="C775" s="604"/>
      <c r="D775" s="604"/>
      <c r="E775" s="604"/>
      <c r="F775" s="604"/>
      <c r="G775" s="604"/>
      <c r="H775" s="604"/>
      <c r="I775" s="604"/>
      <c r="J775" s="604"/>
      <c r="K775" s="604"/>
      <c r="L775" s="604"/>
      <c r="M775" s="604"/>
      <c r="N775" s="604"/>
      <c r="O775" s="604"/>
      <c r="P775" s="604"/>
      <c r="Q775" s="604"/>
      <c r="R775" s="604"/>
      <c r="S775" s="317"/>
      <c r="T775" s="604"/>
      <c r="U775" s="317"/>
      <c r="V775" s="694"/>
      <c r="W775" s="694"/>
      <c r="X775" s="694"/>
      <c r="Y775" s="694"/>
      <c r="Z775" s="694"/>
      <c r="AA775" s="317"/>
      <c r="AB775" s="694"/>
      <c r="AC775" s="604"/>
      <c r="AD775" s="604"/>
      <c r="AE775" s="604"/>
    </row>
    <row r="776" spans="1:31">
      <c r="A776" s="604"/>
      <c r="B776" s="604"/>
      <c r="C776" s="604"/>
      <c r="D776" s="604"/>
      <c r="E776" s="604"/>
      <c r="F776" s="604"/>
      <c r="G776" s="604"/>
      <c r="H776" s="604"/>
      <c r="I776" s="604"/>
      <c r="J776" s="604"/>
      <c r="K776" s="604"/>
      <c r="L776" s="604"/>
      <c r="M776" s="604"/>
      <c r="N776" s="604"/>
      <c r="O776" s="604"/>
      <c r="P776" s="604"/>
      <c r="Q776" s="604"/>
      <c r="R776" s="604"/>
      <c r="S776" s="317"/>
      <c r="T776" s="604"/>
      <c r="U776" s="317"/>
      <c r="V776" s="694"/>
      <c r="W776" s="694"/>
      <c r="X776" s="694"/>
      <c r="Y776" s="694"/>
      <c r="Z776" s="694"/>
      <c r="AA776" s="317"/>
      <c r="AB776" s="694"/>
      <c r="AC776" s="604"/>
      <c r="AD776" s="604"/>
      <c r="AE776" s="604"/>
    </row>
    <row r="777" spans="1:31">
      <c r="A777" s="604"/>
      <c r="B777" s="604"/>
      <c r="C777" s="604"/>
      <c r="D777" s="604"/>
      <c r="E777" s="604"/>
      <c r="F777" s="604"/>
      <c r="G777" s="604"/>
      <c r="H777" s="604"/>
      <c r="I777" s="604"/>
      <c r="J777" s="604"/>
      <c r="K777" s="604"/>
      <c r="L777" s="604"/>
      <c r="M777" s="604"/>
      <c r="N777" s="604"/>
      <c r="O777" s="604"/>
      <c r="P777" s="604"/>
      <c r="Q777" s="604"/>
      <c r="R777" s="604"/>
      <c r="S777" s="317"/>
      <c r="T777" s="604"/>
      <c r="U777" s="317"/>
      <c r="V777" s="694"/>
      <c r="W777" s="694"/>
      <c r="X777" s="694"/>
      <c r="Y777" s="694"/>
      <c r="Z777" s="694"/>
      <c r="AA777" s="317"/>
      <c r="AB777" s="694"/>
      <c r="AC777" s="604"/>
      <c r="AD777" s="604"/>
      <c r="AE777" s="604"/>
    </row>
    <row r="778" spans="1:31">
      <c r="A778" s="604"/>
      <c r="B778" s="604"/>
      <c r="C778" s="604"/>
      <c r="D778" s="604"/>
      <c r="E778" s="604"/>
      <c r="F778" s="604"/>
      <c r="G778" s="604"/>
      <c r="H778" s="604"/>
      <c r="I778" s="604"/>
      <c r="J778" s="604"/>
      <c r="K778" s="604"/>
      <c r="L778" s="604"/>
      <c r="M778" s="604"/>
      <c r="N778" s="604"/>
      <c r="O778" s="604"/>
      <c r="P778" s="604"/>
      <c r="Q778" s="604"/>
      <c r="R778" s="604"/>
      <c r="S778" s="317"/>
      <c r="T778" s="604"/>
      <c r="U778" s="317"/>
      <c r="V778" s="694"/>
      <c r="W778" s="694"/>
      <c r="X778" s="694"/>
      <c r="Y778" s="694"/>
      <c r="Z778" s="694"/>
      <c r="AA778" s="317"/>
      <c r="AB778" s="694"/>
      <c r="AC778" s="604"/>
      <c r="AD778" s="604"/>
      <c r="AE778" s="604"/>
    </row>
    <row r="779" spans="1:31">
      <c r="A779" s="604"/>
      <c r="B779" s="604"/>
      <c r="C779" s="604"/>
      <c r="D779" s="604"/>
      <c r="E779" s="604"/>
      <c r="F779" s="604"/>
      <c r="G779" s="604"/>
      <c r="H779" s="604"/>
      <c r="I779" s="604"/>
      <c r="J779" s="604"/>
      <c r="K779" s="604"/>
      <c r="L779" s="604"/>
      <c r="M779" s="604"/>
      <c r="N779" s="604"/>
      <c r="O779" s="604"/>
      <c r="P779" s="604"/>
      <c r="Q779" s="604"/>
      <c r="R779" s="604"/>
      <c r="S779" s="317"/>
      <c r="T779" s="604"/>
      <c r="U779" s="317"/>
      <c r="V779" s="694"/>
      <c r="W779" s="694"/>
      <c r="X779" s="694"/>
      <c r="Y779" s="694"/>
      <c r="Z779" s="694"/>
      <c r="AA779" s="317"/>
      <c r="AB779" s="694"/>
      <c r="AC779" s="604"/>
      <c r="AD779" s="604"/>
      <c r="AE779" s="604"/>
    </row>
    <row r="780" spans="1:31">
      <c r="A780" s="604"/>
      <c r="B780" s="604"/>
      <c r="C780" s="604"/>
      <c r="D780" s="604"/>
      <c r="E780" s="604"/>
      <c r="F780" s="604"/>
      <c r="G780" s="604"/>
      <c r="H780" s="604"/>
      <c r="I780" s="604"/>
      <c r="J780" s="604"/>
      <c r="K780" s="604"/>
      <c r="L780" s="604"/>
      <c r="M780" s="604"/>
      <c r="N780" s="604"/>
      <c r="O780" s="604"/>
      <c r="P780" s="604"/>
      <c r="Q780" s="604"/>
      <c r="R780" s="604"/>
      <c r="S780" s="317"/>
      <c r="T780" s="604"/>
      <c r="U780" s="317"/>
      <c r="V780" s="694"/>
      <c r="W780" s="694"/>
      <c r="X780" s="694"/>
      <c r="Y780" s="694"/>
      <c r="Z780" s="694"/>
      <c r="AA780" s="317"/>
      <c r="AB780" s="694"/>
      <c r="AC780" s="604"/>
      <c r="AD780" s="604"/>
      <c r="AE780" s="604"/>
    </row>
    <row r="781" spans="1:31">
      <c r="A781" s="604"/>
      <c r="B781" s="604"/>
      <c r="C781" s="604"/>
      <c r="D781" s="604"/>
      <c r="E781" s="604"/>
      <c r="F781" s="604"/>
      <c r="G781" s="604"/>
      <c r="H781" s="604"/>
      <c r="I781" s="604"/>
      <c r="J781" s="604"/>
      <c r="K781" s="604"/>
      <c r="L781" s="604"/>
      <c r="M781" s="604"/>
      <c r="N781" s="604"/>
      <c r="O781" s="604"/>
      <c r="P781" s="604"/>
      <c r="Q781" s="604"/>
      <c r="R781" s="604"/>
      <c r="S781" s="317"/>
      <c r="T781" s="604"/>
      <c r="U781" s="317"/>
      <c r="V781" s="694"/>
      <c r="W781" s="694"/>
      <c r="X781" s="694"/>
      <c r="Y781" s="694"/>
      <c r="Z781" s="694"/>
      <c r="AA781" s="317"/>
      <c r="AB781" s="694"/>
      <c r="AC781" s="604"/>
      <c r="AD781" s="604"/>
      <c r="AE781" s="604"/>
    </row>
    <row r="782" spans="1:31">
      <c r="A782" s="604"/>
      <c r="B782" s="604"/>
      <c r="C782" s="604"/>
      <c r="D782" s="604"/>
      <c r="E782" s="604"/>
      <c r="F782" s="604"/>
      <c r="G782" s="604"/>
      <c r="H782" s="604"/>
      <c r="I782" s="604"/>
      <c r="J782" s="604"/>
      <c r="K782" s="604"/>
      <c r="L782" s="604"/>
      <c r="M782" s="604"/>
      <c r="N782" s="604"/>
      <c r="O782" s="604"/>
      <c r="P782" s="604"/>
      <c r="Q782" s="604"/>
      <c r="R782" s="604"/>
      <c r="S782" s="317"/>
      <c r="T782" s="604"/>
      <c r="U782" s="317"/>
      <c r="V782" s="694"/>
      <c r="W782" s="694"/>
      <c r="X782" s="694"/>
      <c r="Y782" s="694"/>
      <c r="Z782" s="694"/>
      <c r="AA782" s="317"/>
      <c r="AB782" s="694"/>
      <c r="AC782" s="604"/>
      <c r="AD782" s="604"/>
      <c r="AE782" s="604"/>
    </row>
    <row r="783" spans="1:31">
      <c r="A783" s="604"/>
      <c r="B783" s="604"/>
      <c r="C783" s="604"/>
      <c r="D783" s="604"/>
      <c r="E783" s="604"/>
      <c r="F783" s="604"/>
      <c r="G783" s="604"/>
      <c r="H783" s="604"/>
      <c r="I783" s="604"/>
      <c r="J783" s="604"/>
      <c r="K783" s="604"/>
      <c r="L783" s="604"/>
      <c r="M783" s="604"/>
      <c r="N783" s="604"/>
      <c r="O783" s="604"/>
      <c r="P783" s="604"/>
      <c r="Q783" s="604"/>
      <c r="R783" s="604"/>
      <c r="S783" s="317"/>
      <c r="T783" s="604"/>
      <c r="U783" s="317"/>
      <c r="V783" s="694"/>
      <c r="W783" s="694"/>
      <c r="X783" s="694"/>
      <c r="Y783" s="694"/>
      <c r="Z783" s="694"/>
      <c r="AA783" s="317"/>
      <c r="AB783" s="694"/>
      <c r="AC783" s="604"/>
      <c r="AD783" s="604"/>
      <c r="AE783" s="604"/>
    </row>
    <row r="784" spans="1:31">
      <c r="A784" s="604"/>
      <c r="B784" s="604"/>
      <c r="C784" s="604"/>
      <c r="D784" s="604"/>
      <c r="E784" s="604"/>
      <c r="F784" s="604"/>
      <c r="G784" s="604"/>
      <c r="H784" s="604"/>
      <c r="I784" s="604"/>
      <c r="J784" s="604"/>
      <c r="K784" s="604"/>
      <c r="L784" s="604"/>
      <c r="M784" s="604"/>
      <c r="N784" s="604"/>
      <c r="O784" s="604"/>
      <c r="P784" s="604"/>
      <c r="Q784" s="604"/>
      <c r="R784" s="604"/>
      <c r="S784" s="317"/>
      <c r="T784" s="604"/>
      <c r="U784" s="317"/>
      <c r="V784" s="694"/>
      <c r="W784" s="694"/>
      <c r="X784" s="694"/>
      <c r="Y784" s="694"/>
      <c r="Z784" s="694"/>
      <c r="AA784" s="317"/>
      <c r="AB784" s="694"/>
      <c r="AC784" s="604"/>
      <c r="AD784" s="604"/>
      <c r="AE784" s="604"/>
    </row>
    <row r="785" spans="1:31">
      <c r="A785" s="604"/>
      <c r="B785" s="604"/>
      <c r="C785" s="604"/>
      <c r="D785" s="604"/>
      <c r="E785" s="604"/>
      <c r="F785" s="604"/>
      <c r="G785" s="604"/>
      <c r="H785" s="604"/>
      <c r="I785" s="604"/>
      <c r="J785" s="604"/>
      <c r="K785" s="604"/>
      <c r="L785" s="604"/>
      <c r="M785" s="604"/>
      <c r="N785" s="604"/>
      <c r="O785" s="604"/>
      <c r="P785" s="604"/>
      <c r="Q785" s="604"/>
      <c r="R785" s="604"/>
      <c r="S785" s="317"/>
      <c r="T785" s="604"/>
      <c r="U785" s="317"/>
      <c r="V785" s="694"/>
      <c r="W785" s="694"/>
      <c r="X785" s="694"/>
      <c r="Y785" s="694"/>
      <c r="Z785" s="694"/>
      <c r="AA785" s="317"/>
      <c r="AB785" s="694"/>
      <c r="AC785" s="604"/>
      <c r="AD785" s="604"/>
      <c r="AE785" s="604"/>
    </row>
    <row r="786" spans="1:31">
      <c r="A786" s="604"/>
      <c r="B786" s="604"/>
      <c r="C786" s="604"/>
      <c r="D786" s="604"/>
      <c r="E786" s="604"/>
      <c r="F786" s="604"/>
      <c r="G786" s="604"/>
      <c r="H786" s="604"/>
      <c r="I786" s="604"/>
      <c r="J786" s="604"/>
      <c r="K786" s="604"/>
      <c r="L786" s="604"/>
      <c r="M786" s="604"/>
      <c r="N786" s="604"/>
      <c r="O786" s="604"/>
      <c r="P786" s="604"/>
      <c r="Q786" s="604"/>
      <c r="R786" s="604"/>
      <c r="S786" s="317"/>
      <c r="T786" s="604"/>
      <c r="U786" s="317"/>
      <c r="V786" s="694"/>
      <c r="W786" s="694"/>
      <c r="X786" s="694"/>
      <c r="Y786" s="694"/>
      <c r="Z786" s="694"/>
      <c r="AA786" s="317"/>
      <c r="AB786" s="694"/>
      <c r="AC786" s="604"/>
      <c r="AD786" s="604"/>
      <c r="AE786" s="604"/>
    </row>
    <row r="787" spans="1:31">
      <c r="A787" s="604"/>
      <c r="B787" s="604"/>
      <c r="C787" s="604"/>
      <c r="D787" s="604"/>
      <c r="E787" s="604"/>
      <c r="F787" s="604"/>
      <c r="G787" s="604"/>
      <c r="H787" s="604"/>
      <c r="I787" s="604"/>
      <c r="J787" s="604"/>
      <c r="K787" s="604"/>
      <c r="L787" s="604"/>
      <c r="M787" s="604"/>
      <c r="N787" s="604"/>
      <c r="O787" s="604"/>
      <c r="P787" s="604"/>
      <c r="Q787" s="604"/>
      <c r="R787" s="604"/>
      <c r="S787" s="317"/>
      <c r="T787" s="604"/>
      <c r="U787" s="317"/>
      <c r="V787" s="694"/>
      <c r="W787" s="694"/>
      <c r="X787" s="694"/>
      <c r="Y787" s="694"/>
      <c r="Z787" s="694"/>
      <c r="AA787" s="317"/>
      <c r="AB787" s="694"/>
      <c r="AC787" s="604"/>
      <c r="AD787" s="604"/>
      <c r="AE787" s="604"/>
    </row>
    <row r="788" spans="1:31">
      <c r="A788" s="604"/>
      <c r="B788" s="604"/>
      <c r="C788" s="604"/>
      <c r="D788" s="604"/>
      <c r="E788" s="604"/>
      <c r="F788" s="604"/>
      <c r="G788" s="604"/>
      <c r="H788" s="604"/>
      <c r="I788" s="604"/>
      <c r="J788" s="604"/>
      <c r="K788" s="604"/>
      <c r="L788" s="604"/>
      <c r="M788" s="604"/>
      <c r="N788" s="604"/>
      <c r="O788" s="604"/>
      <c r="P788" s="604"/>
      <c r="Q788" s="604"/>
      <c r="R788" s="604"/>
      <c r="S788" s="317"/>
      <c r="T788" s="604"/>
      <c r="U788" s="317"/>
      <c r="V788" s="694"/>
      <c r="W788" s="694"/>
      <c r="X788" s="694"/>
      <c r="Y788" s="694"/>
      <c r="Z788" s="694"/>
      <c r="AA788" s="317"/>
      <c r="AB788" s="694"/>
      <c r="AC788" s="604"/>
      <c r="AD788" s="604"/>
      <c r="AE788" s="604"/>
    </row>
    <row r="789" spans="1:31">
      <c r="A789" s="604"/>
      <c r="B789" s="604"/>
      <c r="C789" s="604"/>
      <c r="D789" s="604"/>
      <c r="E789" s="604"/>
      <c r="F789" s="604"/>
      <c r="G789" s="604"/>
      <c r="H789" s="604"/>
      <c r="I789" s="604"/>
      <c r="J789" s="604"/>
      <c r="K789" s="604"/>
      <c r="L789" s="604"/>
      <c r="M789" s="604"/>
      <c r="N789" s="604"/>
      <c r="O789" s="604"/>
      <c r="P789" s="604"/>
      <c r="Q789" s="604"/>
      <c r="R789" s="604"/>
      <c r="S789" s="317"/>
      <c r="T789" s="604"/>
      <c r="U789" s="317"/>
      <c r="V789" s="694"/>
      <c r="W789" s="694"/>
      <c r="X789" s="694"/>
      <c r="Y789" s="694"/>
      <c r="Z789" s="694"/>
      <c r="AA789" s="317"/>
      <c r="AB789" s="694"/>
      <c r="AC789" s="604"/>
      <c r="AD789" s="604"/>
      <c r="AE789" s="604"/>
    </row>
    <row r="790" spans="1:31">
      <c r="A790" s="604"/>
      <c r="B790" s="604"/>
      <c r="C790" s="604"/>
      <c r="D790" s="604"/>
      <c r="E790" s="604"/>
      <c r="F790" s="604"/>
      <c r="G790" s="604"/>
      <c r="H790" s="604"/>
      <c r="I790" s="604"/>
      <c r="J790" s="604"/>
      <c r="K790" s="604"/>
      <c r="L790" s="604"/>
      <c r="M790" s="604"/>
      <c r="N790" s="604"/>
      <c r="O790" s="604"/>
      <c r="P790" s="604"/>
      <c r="Q790" s="604"/>
      <c r="R790" s="604"/>
      <c r="S790" s="317"/>
      <c r="T790" s="604"/>
      <c r="U790" s="317"/>
      <c r="V790" s="694"/>
      <c r="W790" s="694"/>
      <c r="X790" s="694"/>
      <c r="Y790" s="694"/>
      <c r="Z790" s="694"/>
      <c r="AA790" s="317"/>
      <c r="AB790" s="694"/>
      <c r="AC790" s="604"/>
      <c r="AD790" s="604"/>
      <c r="AE790" s="604"/>
    </row>
    <row r="791" spans="1:31">
      <c r="A791" s="604"/>
      <c r="B791" s="604"/>
      <c r="C791" s="604"/>
      <c r="D791" s="604"/>
      <c r="E791" s="604"/>
      <c r="F791" s="604"/>
      <c r="G791" s="604"/>
      <c r="H791" s="604"/>
      <c r="I791" s="604"/>
      <c r="J791" s="604"/>
      <c r="K791" s="604"/>
      <c r="L791" s="604"/>
      <c r="M791" s="604"/>
      <c r="N791" s="604"/>
      <c r="O791" s="604"/>
      <c r="P791" s="604"/>
      <c r="Q791" s="604"/>
      <c r="R791" s="604"/>
      <c r="S791" s="317"/>
      <c r="T791" s="604"/>
      <c r="U791" s="317"/>
      <c r="V791" s="694"/>
      <c r="W791" s="694"/>
      <c r="X791" s="694"/>
      <c r="Y791" s="694"/>
      <c r="Z791" s="694"/>
      <c r="AA791" s="317"/>
      <c r="AB791" s="694"/>
      <c r="AC791" s="604"/>
      <c r="AD791" s="604"/>
      <c r="AE791" s="604"/>
    </row>
    <row r="792" spans="1:31">
      <c r="A792" s="604"/>
      <c r="B792" s="604"/>
      <c r="C792" s="604"/>
      <c r="D792" s="604"/>
      <c r="E792" s="604"/>
      <c r="F792" s="604"/>
      <c r="G792" s="604"/>
      <c r="H792" s="604"/>
      <c r="I792" s="604"/>
      <c r="J792" s="604"/>
      <c r="K792" s="604"/>
      <c r="L792" s="604"/>
      <c r="M792" s="604"/>
      <c r="N792" s="604"/>
      <c r="O792" s="604"/>
      <c r="P792" s="604"/>
      <c r="Q792" s="604"/>
      <c r="R792" s="604"/>
      <c r="S792" s="317"/>
      <c r="T792" s="604"/>
      <c r="U792" s="317"/>
      <c r="V792" s="694"/>
      <c r="W792" s="694"/>
      <c r="X792" s="694"/>
      <c r="Y792" s="694"/>
      <c r="Z792" s="694"/>
      <c r="AA792" s="317"/>
      <c r="AB792" s="694"/>
      <c r="AC792" s="604"/>
      <c r="AD792" s="604"/>
      <c r="AE792" s="604"/>
    </row>
    <row r="793" spans="1:31">
      <c r="A793" s="604"/>
      <c r="B793" s="604"/>
      <c r="C793" s="604"/>
      <c r="D793" s="604"/>
      <c r="E793" s="604"/>
      <c r="F793" s="604"/>
      <c r="G793" s="604"/>
      <c r="H793" s="604"/>
      <c r="I793" s="604"/>
      <c r="J793" s="604"/>
      <c r="K793" s="604"/>
      <c r="L793" s="604"/>
      <c r="M793" s="604"/>
      <c r="N793" s="604"/>
      <c r="O793" s="604"/>
      <c r="P793" s="604"/>
      <c r="Q793" s="604"/>
      <c r="R793" s="604"/>
      <c r="S793" s="317"/>
      <c r="T793" s="604"/>
      <c r="U793" s="317"/>
      <c r="V793" s="694"/>
      <c r="W793" s="694"/>
      <c r="X793" s="694"/>
      <c r="Y793" s="694"/>
      <c r="Z793" s="694"/>
      <c r="AA793" s="317"/>
      <c r="AB793" s="694"/>
      <c r="AC793" s="604"/>
      <c r="AD793" s="604"/>
      <c r="AE793" s="604"/>
    </row>
    <row r="794" spans="1:31">
      <c r="A794" s="604"/>
      <c r="B794" s="604"/>
      <c r="C794" s="604"/>
      <c r="D794" s="604"/>
      <c r="E794" s="604"/>
      <c r="F794" s="604"/>
      <c r="G794" s="604"/>
      <c r="H794" s="604"/>
      <c r="I794" s="604"/>
      <c r="J794" s="604"/>
      <c r="K794" s="604"/>
      <c r="L794" s="604"/>
      <c r="M794" s="604"/>
      <c r="N794" s="604"/>
      <c r="O794" s="604"/>
      <c r="P794" s="604"/>
      <c r="Q794" s="604"/>
      <c r="R794" s="604"/>
      <c r="S794" s="317"/>
      <c r="T794" s="604"/>
      <c r="U794" s="317"/>
      <c r="V794" s="694"/>
      <c r="W794" s="694"/>
      <c r="X794" s="694"/>
      <c r="Y794" s="694"/>
      <c r="Z794" s="694"/>
      <c r="AA794" s="317"/>
      <c r="AB794" s="694"/>
      <c r="AC794" s="604"/>
      <c r="AD794" s="604"/>
      <c r="AE794" s="604"/>
    </row>
    <row r="795" spans="1:31">
      <c r="A795" s="604"/>
      <c r="B795" s="604"/>
      <c r="C795" s="604"/>
      <c r="D795" s="604"/>
      <c r="E795" s="604"/>
      <c r="F795" s="604"/>
      <c r="G795" s="604"/>
      <c r="H795" s="604"/>
      <c r="I795" s="604"/>
      <c r="J795" s="604"/>
      <c r="K795" s="604"/>
      <c r="L795" s="604"/>
      <c r="M795" s="604"/>
      <c r="N795" s="604"/>
      <c r="O795" s="604"/>
      <c r="P795" s="604"/>
      <c r="Q795" s="604"/>
      <c r="R795" s="604"/>
      <c r="S795" s="317"/>
      <c r="T795" s="604"/>
      <c r="U795" s="317"/>
      <c r="V795" s="694"/>
      <c r="W795" s="694"/>
      <c r="X795" s="694"/>
      <c r="Y795" s="694"/>
      <c r="Z795" s="694"/>
      <c r="AA795" s="317"/>
      <c r="AB795" s="694"/>
      <c r="AC795" s="604"/>
      <c r="AD795" s="604"/>
      <c r="AE795" s="604"/>
    </row>
    <row r="796" spans="1:31">
      <c r="A796" s="604"/>
      <c r="B796" s="604"/>
      <c r="C796" s="604"/>
      <c r="D796" s="604"/>
      <c r="E796" s="604"/>
      <c r="F796" s="604"/>
      <c r="G796" s="604"/>
      <c r="H796" s="604"/>
      <c r="I796" s="604"/>
      <c r="J796" s="604"/>
      <c r="K796" s="604"/>
      <c r="L796" s="604"/>
      <c r="M796" s="604"/>
      <c r="N796" s="604"/>
      <c r="O796" s="604"/>
      <c r="P796" s="604"/>
      <c r="Q796" s="604"/>
      <c r="R796" s="604"/>
      <c r="S796" s="317"/>
      <c r="T796" s="604"/>
      <c r="U796" s="317"/>
      <c r="V796" s="694"/>
      <c r="W796" s="694"/>
      <c r="X796" s="694"/>
      <c r="Y796" s="694"/>
      <c r="Z796" s="694"/>
      <c r="AA796" s="317"/>
      <c r="AB796" s="694"/>
      <c r="AC796" s="604"/>
      <c r="AD796" s="604"/>
      <c r="AE796" s="604"/>
    </row>
    <row r="797" spans="1:31">
      <c r="A797" s="604"/>
      <c r="B797" s="604"/>
      <c r="C797" s="604"/>
      <c r="D797" s="604"/>
      <c r="E797" s="604"/>
      <c r="F797" s="604"/>
      <c r="G797" s="604"/>
      <c r="H797" s="604"/>
      <c r="I797" s="604"/>
      <c r="J797" s="604"/>
      <c r="K797" s="604"/>
      <c r="L797" s="604"/>
      <c r="M797" s="604"/>
      <c r="N797" s="604"/>
      <c r="O797" s="604"/>
      <c r="P797" s="604"/>
      <c r="Q797" s="604"/>
      <c r="R797" s="604"/>
      <c r="S797" s="317"/>
      <c r="T797" s="604"/>
      <c r="U797" s="317"/>
      <c r="V797" s="694"/>
      <c r="W797" s="694"/>
      <c r="X797" s="694"/>
      <c r="Y797" s="694"/>
      <c r="Z797" s="694"/>
      <c r="AA797" s="317"/>
      <c r="AB797" s="694"/>
      <c r="AC797" s="604"/>
      <c r="AD797" s="604"/>
      <c r="AE797" s="604"/>
    </row>
    <row r="798" spans="1:31">
      <c r="A798" s="604"/>
      <c r="B798" s="604"/>
      <c r="C798" s="604"/>
      <c r="D798" s="604"/>
      <c r="E798" s="604"/>
      <c r="F798" s="604"/>
      <c r="G798" s="604"/>
      <c r="H798" s="604"/>
      <c r="I798" s="604"/>
      <c r="J798" s="604"/>
      <c r="K798" s="604"/>
      <c r="L798" s="604"/>
      <c r="M798" s="604"/>
      <c r="N798" s="604"/>
      <c r="O798" s="604"/>
      <c r="P798" s="604"/>
      <c r="Q798" s="604"/>
      <c r="R798" s="604"/>
      <c r="S798" s="317"/>
      <c r="T798" s="604"/>
      <c r="U798" s="317"/>
      <c r="V798" s="694"/>
      <c r="W798" s="694"/>
      <c r="X798" s="694"/>
      <c r="Y798" s="694"/>
      <c r="Z798" s="694"/>
      <c r="AA798" s="317"/>
      <c r="AB798" s="694"/>
      <c r="AC798" s="604"/>
      <c r="AD798" s="604"/>
      <c r="AE798" s="604"/>
    </row>
    <row r="799" spans="1:31">
      <c r="A799" s="604"/>
      <c r="B799" s="604"/>
      <c r="C799" s="604"/>
      <c r="D799" s="604"/>
      <c r="E799" s="604"/>
      <c r="F799" s="604"/>
      <c r="G799" s="604"/>
      <c r="H799" s="604"/>
      <c r="I799" s="604"/>
      <c r="J799" s="604"/>
      <c r="K799" s="604"/>
      <c r="L799" s="604"/>
      <c r="M799" s="604"/>
      <c r="N799" s="604"/>
      <c r="O799" s="604"/>
      <c r="P799" s="604"/>
      <c r="Q799" s="604"/>
      <c r="R799" s="604"/>
      <c r="S799" s="317"/>
      <c r="T799" s="604"/>
      <c r="U799" s="317"/>
      <c r="V799" s="694"/>
      <c r="W799" s="694"/>
      <c r="X799" s="694"/>
      <c r="Y799" s="694"/>
      <c r="Z799" s="694"/>
      <c r="AA799" s="317"/>
      <c r="AB799" s="694"/>
      <c r="AC799" s="604"/>
      <c r="AD799" s="604"/>
      <c r="AE799" s="604"/>
    </row>
    <row r="800" spans="1:31">
      <c r="A800" s="604"/>
      <c r="B800" s="604"/>
      <c r="C800" s="604"/>
      <c r="D800" s="604"/>
      <c r="E800" s="604"/>
      <c r="F800" s="604"/>
      <c r="G800" s="604"/>
      <c r="H800" s="604"/>
      <c r="I800" s="604"/>
      <c r="J800" s="604"/>
      <c r="K800" s="604"/>
      <c r="L800" s="604"/>
      <c r="M800" s="604"/>
      <c r="N800" s="604"/>
      <c r="O800" s="604"/>
      <c r="P800" s="604"/>
      <c r="Q800" s="604"/>
      <c r="R800" s="604"/>
      <c r="S800" s="317"/>
      <c r="T800" s="604"/>
      <c r="U800" s="317"/>
      <c r="V800" s="694"/>
      <c r="W800" s="694"/>
      <c r="X800" s="694"/>
      <c r="Y800" s="694"/>
      <c r="Z800" s="694"/>
      <c r="AA800" s="317"/>
      <c r="AB800" s="694"/>
      <c r="AC800" s="604"/>
      <c r="AD800" s="604"/>
      <c r="AE800" s="604"/>
    </row>
    <row r="801" spans="1:31">
      <c r="A801" s="604"/>
      <c r="B801" s="604"/>
      <c r="C801" s="604"/>
      <c r="D801" s="604"/>
      <c r="E801" s="604"/>
      <c r="F801" s="604"/>
      <c r="G801" s="604"/>
      <c r="H801" s="604"/>
      <c r="I801" s="604"/>
      <c r="J801" s="604"/>
      <c r="K801" s="604"/>
      <c r="L801" s="604"/>
      <c r="M801" s="604"/>
      <c r="N801" s="604"/>
      <c r="O801" s="604"/>
      <c r="P801" s="604"/>
      <c r="Q801" s="604"/>
      <c r="R801" s="604"/>
      <c r="S801" s="317"/>
      <c r="T801" s="604"/>
      <c r="U801" s="317"/>
      <c r="V801" s="694"/>
      <c r="W801" s="694"/>
      <c r="X801" s="694"/>
      <c r="Y801" s="694"/>
      <c r="Z801" s="694"/>
      <c r="AA801" s="317"/>
      <c r="AB801" s="694"/>
      <c r="AC801" s="604"/>
      <c r="AD801" s="604"/>
      <c r="AE801" s="604"/>
    </row>
    <row r="802" spans="1:31">
      <c r="A802" s="604"/>
      <c r="B802" s="604"/>
      <c r="C802" s="604"/>
      <c r="D802" s="604"/>
      <c r="E802" s="604"/>
      <c r="F802" s="604"/>
      <c r="G802" s="604"/>
      <c r="H802" s="604"/>
      <c r="I802" s="604"/>
      <c r="J802" s="604"/>
      <c r="K802" s="604"/>
      <c r="L802" s="604"/>
      <c r="M802" s="604"/>
      <c r="N802" s="604"/>
      <c r="O802" s="604"/>
      <c r="P802" s="604"/>
      <c r="Q802" s="604"/>
      <c r="R802" s="604"/>
      <c r="S802" s="317"/>
      <c r="T802" s="604"/>
      <c r="U802" s="317"/>
      <c r="V802" s="694"/>
      <c r="W802" s="694"/>
      <c r="X802" s="694"/>
      <c r="Y802" s="694"/>
      <c r="Z802" s="694"/>
      <c r="AA802" s="317"/>
      <c r="AB802" s="694"/>
      <c r="AC802" s="604"/>
      <c r="AD802" s="604"/>
      <c r="AE802" s="604"/>
    </row>
    <row r="803" spans="1:31">
      <c r="A803" s="604"/>
      <c r="B803" s="604"/>
      <c r="C803" s="604"/>
      <c r="D803" s="604"/>
      <c r="E803" s="604"/>
      <c r="F803" s="604"/>
      <c r="G803" s="604"/>
      <c r="H803" s="604"/>
      <c r="I803" s="604"/>
      <c r="J803" s="604"/>
      <c r="K803" s="604"/>
      <c r="L803" s="604"/>
      <c r="M803" s="604"/>
      <c r="N803" s="604"/>
      <c r="O803" s="604"/>
      <c r="P803" s="604"/>
      <c r="Q803" s="604"/>
      <c r="R803" s="604"/>
      <c r="S803" s="317"/>
      <c r="T803" s="604"/>
      <c r="U803" s="317"/>
      <c r="V803" s="694"/>
      <c r="W803" s="694"/>
      <c r="X803" s="694"/>
      <c r="Y803" s="694"/>
      <c r="Z803" s="694"/>
      <c r="AA803" s="317"/>
      <c r="AB803" s="694"/>
      <c r="AC803" s="604"/>
      <c r="AD803" s="604"/>
      <c r="AE803" s="604"/>
    </row>
    <row r="804" spans="1:31">
      <c r="A804" s="604"/>
      <c r="B804" s="604"/>
      <c r="C804" s="604"/>
      <c r="D804" s="604"/>
      <c r="E804" s="604"/>
      <c r="F804" s="604"/>
      <c r="G804" s="604"/>
      <c r="H804" s="604"/>
      <c r="I804" s="604"/>
      <c r="J804" s="604"/>
      <c r="K804" s="604"/>
      <c r="L804" s="604"/>
      <c r="M804" s="604"/>
      <c r="N804" s="604"/>
      <c r="O804" s="604"/>
      <c r="P804" s="604"/>
      <c r="Q804" s="604"/>
      <c r="R804" s="604"/>
      <c r="S804" s="317"/>
      <c r="T804" s="604"/>
      <c r="U804" s="317"/>
      <c r="V804" s="694"/>
      <c r="W804" s="694"/>
      <c r="X804" s="694"/>
      <c r="Y804" s="694"/>
      <c r="Z804" s="694"/>
      <c r="AA804" s="317"/>
      <c r="AB804" s="694"/>
      <c r="AC804" s="604"/>
      <c r="AD804" s="604"/>
      <c r="AE804" s="604"/>
    </row>
    <row r="805" spans="1:31">
      <c r="A805" s="604"/>
      <c r="B805" s="604"/>
      <c r="C805" s="604"/>
      <c r="D805" s="604"/>
      <c r="E805" s="604"/>
      <c r="F805" s="604"/>
      <c r="G805" s="604"/>
      <c r="H805" s="604"/>
      <c r="I805" s="604"/>
      <c r="J805" s="604"/>
      <c r="K805" s="604"/>
      <c r="L805" s="604"/>
      <c r="M805" s="604"/>
      <c r="N805" s="604"/>
      <c r="O805" s="604"/>
      <c r="P805" s="604"/>
      <c r="Q805" s="604"/>
      <c r="R805" s="604"/>
      <c r="S805" s="317"/>
      <c r="T805" s="604"/>
      <c r="U805" s="317"/>
      <c r="V805" s="694"/>
      <c r="W805" s="694"/>
      <c r="X805" s="694"/>
      <c r="Y805" s="694"/>
      <c r="Z805" s="694"/>
      <c r="AA805" s="317"/>
      <c r="AB805" s="694"/>
      <c r="AC805" s="604"/>
      <c r="AD805" s="604"/>
      <c r="AE805" s="604"/>
    </row>
    <row r="806" spans="1:31">
      <c r="A806" s="604"/>
      <c r="B806" s="604"/>
      <c r="C806" s="604"/>
      <c r="D806" s="604"/>
      <c r="E806" s="604"/>
      <c r="F806" s="604"/>
      <c r="G806" s="604"/>
      <c r="H806" s="604"/>
      <c r="I806" s="604"/>
      <c r="J806" s="604"/>
      <c r="K806" s="604"/>
      <c r="L806" s="604"/>
      <c r="M806" s="604"/>
      <c r="N806" s="604"/>
      <c r="O806" s="604"/>
      <c r="P806" s="604"/>
      <c r="Q806" s="604"/>
      <c r="R806" s="604"/>
      <c r="S806" s="317"/>
      <c r="T806" s="604"/>
      <c r="U806" s="317"/>
      <c r="V806" s="694"/>
      <c r="W806" s="694"/>
      <c r="X806" s="694"/>
      <c r="Y806" s="694"/>
      <c r="Z806" s="694"/>
      <c r="AA806" s="317"/>
      <c r="AB806" s="694"/>
      <c r="AC806" s="604"/>
      <c r="AD806" s="604"/>
      <c r="AE806" s="604"/>
    </row>
    <row r="807" spans="1:31">
      <c r="A807" s="604"/>
      <c r="B807" s="604"/>
      <c r="C807" s="604"/>
      <c r="D807" s="604"/>
      <c r="E807" s="604"/>
      <c r="F807" s="604"/>
      <c r="G807" s="604"/>
      <c r="H807" s="604"/>
      <c r="I807" s="604"/>
      <c r="J807" s="604"/>
      <c r="K807" s="604"/>
      <c r="L807" s="604"/>
      <c r="M807" s="604"/>
      <c r="N807" s="604"/>
      <c r="O807" s="604"/>
      <c r="P807" s="604"/>
      <c r="Q807" s="604"/>
      <c r="R807" s="604"/>
      <c r="S807" s="317"/>
      <c r="T807" s="604"/>
      <c r="U807" s="317"/>
      <c r="V807" s="694"/>
      <c r="W807" s="694"/>
      <c r="X807" s="694"/>
      <c r="Y807" s="694"/>
      <c r="Z807" s="694"/>
      <c r="AA807" s="317"/>
      <c r="AB807" s="694"/>
      <c r="AC807" s="604"/>
      <c r="AD807" s="604"/>
      <c r="AE807" s="604"/>
    </row>
    <row r="808" spans="1:31">
      <c r="A808" s="604"/>
      <c r="B808" s="604"/>
      <c r="C808" s="604"/>
      <c r="D808" s="604"/>
      <c r="E808" s="604"/>
      <c r="F808" s="604"/>
      <c r="G808" s="604"/>
      <c r="H808" s="604"/>
      <c r="I808" s="604"/>
      <c r="J808" s="604"/>
      <c r="K808" s="604"/>
      <c r="L808" s="604"/>
      <c r="M808" s="604"/>
      <c r="N808" s="604"/>
      <c r="O808" s="604"/>
      <c r="P808" s="604"/>
      <c r="Q808" s="604"/>
      <c r="R808" s="604"/>
      <c r="S808" s="317"/>
      <c r="T808" s="604"/>
      <c r="U808" s="317"/>
      <c r="V808" s="694"/>
      <c r="W808" s="694"/>
      <c r="X808" s="694"/>
      <c r="Y808" s="694"/>
      <c r="Z808" s="694"/>
      <c r="AA808" s="317"/>
      <c r="AB808" s="694"/>
      <c r="AC808" s="604"/>
      <c r="AD808" s="604"/>
      <c r="AE808" s="604"/>
    </row>
    <row r="809" spans="1:31">
      <c r="A809" s="604"/>
      <c r="B809" s="604"/>
      <c r="C809" s="604"/>
      <c r="D809" s="604"/>
      <c r="E809" s="604"/>
      <c r="F809" s="604"/>
      <c r="G809" s="604"/>
      <c r="H809" s="604"/>
      <c r="I809" s="604"/>
      <c r="J809" s="604"/>
      <c r="K809" s="604"/>
      <c r="L809" s="604"/>
      <c r="M809" s="604"/>
      <c r="N809" s="604"/>
      <c r="O809" s="604"/>
      <c r="P809" s="604"/>
      <c r="Q809" s="604"/>
      <c r="R809" s="604"/>
      <c r="S809" s="317"/>
      <c r="T809" s="604"/>
      <c r="U809" s="317"/>
      <c r="V809" s="694"/>
      <c r="W809" s="694"/>
      <c r="X809" s="694"/>
      <c r="Y809" s="694"/>
      <c r="Z809" s="694"/>
      <c r="AA809" s="317"/>
      <c r="AB809" s="694"/>
      <c r="AC809" s="604"/>
      <c r="AD809" s="604"/>
      <c r="AE809" s="604"/>
    </row>
    <row r="810" spans="1:31">
      <c r="A810" s="604"/>
      <c r="B810" s="604"/>
      <c r="C810" s="604"/>
      <c r="D810" s="604"/>
      <c r="E810" s="604"/>
      <c r="F810" s="604"/>
      <c r="G810" s="604"/>
      <c r="H810" s="604"/>
      <c r="I810" s="604"/>
      <c r="J810" s="604"/>
      <c r="K810" s="604"/>
      <c r="L810" s="604"/>
      <c r="M810" s="604"/>
      <c r="N810" s="604"/>
      <c r="O810" s="604"/>
      <c r="P810" s="604"/>
      <c r="Q810" s="604"/>
      <c r="R810" s="604"/>
      <c r="S810" s="317"/>
      <c r="T810" s="604"/>
      <c r="U810" s="317"/>
      <c r="V810" s="694"/>
      <c r="W810" s="694"/>
      <c r="X810" s="694"/>
      <c r="Y810" s="694"/>
      <c r="Z810" s="694"/>
      <c r="AA810" s="317"/>
      <c r="AB810" s="694"/>
      <c r="AC810" s="604"/>
      <c r="AD810" s="604"/>
      <c r="AE810" s="604"/>
    </row>
    <row r="811" spans="1:31">
      <c r="A811" s="604"/>
      <c r="B811" s="604"/>
      <c r="C811" s="604"/>
      <c r="D811" s="604"/>
      <c r="E811" s="604"/>
      <c r="F811" s="604"/>
      <c r="G811" s="604"/>
      <c r="H811" s="604"/>
      <c r="I811" s="604"/>
      <c r="J811" s="604"/>
      <c r="K811" s="604"/>
      <c r="L811" s="604"/>
      <c r="M811" s="604"/>
      <c r="N811" s="604"/>
      <c r="O811" s="604"/>
      <c r="P811" s="604"/>
      <c r="Q811" s="604"/>
      <c r="R811" s="604"/>
      <c r="S811" s="317"/>
      <c r="T811" s="604"/>
      <c r="U811" s="317"/>
      <c r="V811" s="694"/>
      <c r="W811" s="694"/>
      <c r="X811" s="694"/>
      <c r="Y811" s="694"/>
      <c r="Z811" s="694"/>
      <c r="AA811" s="317"/>
      <c r="AB811" s="694"/>
      <c r="AC811" s="604"/>
      <c r="AD811" s="604"/>
      <c r="AE811" s="604"/>
    </row>
    <row r="812" spans="1:31">
      <c r="A812" s="604"/>
      <c r="B812" s="604"/>
      <c r="C812" s="604"/>
      <c r="D812" s="604"/>
      <c r="E812" s="604"/>
      <c r="F812" s="604"/>
      <c r="G812" s="604"/>
      <c r="H812" s="604"/>
      <c r="I812" s="604"/>
      <c r="J812" s="604"/>
      <c r="K812" s="604"/>
      <c r="L812" s="604"/>
      <c r="M812" s="604"/>
      <c r="N812" s="604"/>
      <c r="O812" s="604"/>
      <c r="P812" s="604"/>
      <c r="Q812" s="604"/>
      <c r="R812" s="604"/>
      <c r="S812" s="317"/>
      <c r="T812" s="604"/>
      <c r="U812" s="317"/>
      <c r="V812" s="694"/>
      <c r="W812" s="694"/>
      <c r="X812" s="694"/>
      <c r="Y812" s="694"/>
      <c r="Z812" s="694"/>
      <c r="AA812" s="317"/>
      <c r="AB812" s="694"/>
      <c r="AC812" s="604"/>
      <c r="AD812" s="604"/>
      <c r="AE812" s="604"/>
    </row>
    <row r="813" spans="1:31">
      <c r="A813" s="604"/>
      <c r="B813" s="604"/>
      <c r="C813" s="604"/>
      <c r="D813" s="604"/>
      <c r="E813" s="604"/>
      <c r="F813" s="604"/>
      <c r="G813" s="604"/>
      <c r="H813" s="604"/>
      <c r="I813" s="604"/>
      <c r="J813" s="604"/>
      <c r="K813" s="604"/>
      <c r="L813" s="604"/>
      <c r="M813" s="604"/>
      <c r="N813" s="604"/>
      <c r="O813" s="604"/>
      <c r="P813" s="604"/>
      <c r="Q813" s="604"/>
      <c r="R813" s="604"/>
      <c r="S813" s="317"/>
      <c r="T813" s="604"/>
      <c r="U813" s="317"/>
      <c r="V813" s="694"/>
      <c r="W813" s="694"/>
      <c r="X813" s="694"/>
      <c r="Y813" s="694"/>
      <c r="Z813" s="694"/>
      <c r="AA813" s="317"/>
      <c r="AB813" s="694"/>
      <c r="AC813" s="604"/>
      <c r="AD813" s="604"/>
      <c r="AE813" s="604"/>
    </row>
    <row r="814" spans="1:31">
      <c r="A814" s="604"/>
      <c r="B814" s="604"/>
      <c r="C814" s="604"/>
      <c r="D814" s="604"/>
      <c r="E814" s="604"/>
      <c r="F814" s="604"/>
      <c r="G814" s="604"/>
      <c r="H814" s="604"/>
      <c r="I814" s="604"/>
      <c r="J814" s="604"/>
      <c r="K814" s="604"/>
      <c r="L814" s="604"/>
      <c r="M814" s="604"/>
      <c r="N814" s="604"/>
      <c r="O814" s="604"/>
      <c r="P814" s="604"/>
      <c r="Q814" s="604"/>
      <c r="R814" s="604"/>
      <c r="S814" s="317"/>
      <c r="T814" s="604"/>
      <c r="U814" s="317"/>
      <c r="V814" s="694"/>
      <c r="W814" s="694"/>
      <c r="X814" s="694"/>
      <c r="Y814" s="694"/>
      <c r="Z814" s="694"/>
      <c r="AA814" s="317"/>
      <c r="AB814" s="694"/>
      <c r="AC814" s="604"/>
      <c r="AD814" s="604"/>
      <c r="AE814" s="604"/>
    </row>
    <row r="815" spans="1:31">
      <c r="A815" s="604"/>
      <c r="B815" s="604"/>
      <c r="C815" s="604"/>
      <c r="D815" s="604"/>
      <c r="E815" s="604"/>
      <c r="F815" s="604"/>
      <c r="G815" s="604"/>
      <c r="H815" s="604"/>
      <c r="I815" s="604"/>
      <c r="J815" s="604"/>
      <c r="K815" s="604"/>
      <c r="L815" s="604"/>
      <c r="M815" s="604"/>
      <c r="N815" s="604"/>
      <c r="O815" s="604"/>
      <c r="P815" s="604"/>
      <c r="Q815" s="604"/>
      <c r="R815" s="604"/>
      <c r="S815" s="317"/>
      <c r="T815" s="604"/>
      <c r="U815" s="317"/>
      <c r="V815" s="694"/>
      <c r="W815" s="694"/>
      <c r="X815" s="694"/>
      <c r="Y815" s="694"/>
      <c r="Z815" s="694"/>
      <c r="AA815" s="317"/>
      <c r="AB815" s="694"/>
      <c r="AC815" s="604"/>
      <c r="AD815" s="604"/>
      <c r="AE815" s="604"/>
    </row>
    <row r="816" spans="1:31">
      <c r="A816" s="604"/>
      <c r="B816" s="604"/>
      <c r="C816" s="604"/>
      <c r="D816" s="604"/>
      <c r="E816" s="604"/>
      <c r="F816" s="604"/>
      <c r="G816" s="604"/>
      <c r="H816" s="604"/>
      <c r="I816" s="604"/>
      <c r="J816" s="604"/>
      <c r="K816" s="604"/>
      <c r="L816" s="604"/>
      <c r="M816" s="604"/>
      <c r="N816" s="604"/>
      <c r="O816" s="604"/>
      <c r="P816" s="604"/>
      <c r="Q816" s="604"/>
      <c r="R816" s="604"/>
      <c r="S816" s="317"/>
      <c r="T816" s="604"/>
      <c r="U816" s="317"/>
      <c r="V816" s="694"/>
      <c r="W816" s="694"/>
      <c r="X816" s="694"/>
      <c r="Y816" s="694"/>
      <c r="Z816" s="694"/>
      <c r="AA816" s="317"/>
      <c r="AB816" s="694"/>
      <c r="AC816" s="604"/>
      <c r="AD816" s="604"/>
      <c r="AE816" s="604"/>
    </row>
    <row r="817" spans="1:31">
      <c r="A817" s="604"/>
      <c r="B817" s="604"/>
      <c r="C817" s="604"/>
      <c r="D817" s="604"/>
      <c r="E817" s="604"/>
      <c r="F817" s="604"/>
      <c r="G817" s="604"/>
      <c r="H817" s="604"/>
      <c r="I817" s="604"/>
      <c r="J817" s="604"/>
      <c r="K817" s="604"/>
      <c r="L817" s="604"/>
      <c r="M817" s="604"/>
      <c r="N817" s="604"/>
      <c r="O817" s="604"/>
      <c r="P817" s="604"/>
      <c r="Q817" s="604"/>
      <c r="R817" s="604"/>
      <c r="S817" s="317"/>
      <c r="T817" s="604"/>
      <c r="U817" s="317"/>
      <c r="V817" s="694"/>
      <c r="W817" s="694"/>
      <c r="X817" s="694"/>
      <c r="Y817" s="694"/>
      <c r="Z817" s="694"/>
      <c r="AA817" s="317"/>
      <c r="AB817" s="694"/>
      <c r="AC817" s="604"/>
      <c r="AD817" s="604"/>
      <c r="AE817" s="604"/>
    </row>
    <row r="818" spans="1:31">
      <c r="A818" s="604"/>
      <c r="B818" s="604"/>
      <c r="C818" s="604"/>
      <c r="D818" s="604"/>
      <c r="E818" s="604"/>
      <c r="F818" s="604"/>
      <c r="G818" s="604"/>
      <c r="H818" s="604"/>
      <c r="I818" s="604"/>
      <c r="J818" s="604"/>
      <c r="K818" s="604"/>
      <c r="L818" s="604"/>
      <c r="M818" s="604"/>
      <c r="N818" s="604"/>
      <c r="O818" s="604"/>
      <c r="P818" s="604"/>
      <c r="Q818" s="604"/>
      <c r="R818" s="604"/>
      <c r="S818" s="317"/>
      <c r="T818" s="604"/>
      <c r="U818" s="317"/>
      <c r="V818" s="694"/>
      <c r="W818" s="694"/>
      <c r="X818" s="694"/>
      <c r="Y818" s="694"/>
      <c r="Z818" s="694"/>
      <c r="AA818" s="317"/>
      <c r="AB818" s="694"/>
      <c r="AC818" s="604"/>
      <c r="AD818" s="604"/>
      <c r="AE818" s="604"/>
    </row>
    <row r="819" spans="1:31">
      <c r="A819" s="604"/>
      <c r="B819" s="604"/>
      <c r="C819" s="604"/>
      <c r="D819" s="604"/>
      <c r="E819" s="604"/>
      <c r="F819" s="604"/>
      <c r="G819" s="604"/>
      <c r="H819" s="604"/>
      <c r="I819" s="604"/>
      <c r="J819" s="604"/>
      <c r="K819" s="604"/>
      <c r="L819" s="604"/>
      <c r="M819" s="604"/>
      <c r="N819" s="604"/>
      <c r="O819" s="604"/>
      <c r="P819" s="604"/>
      <c r="Q819" s="604"/>
      <c r="R819" s="604"/>
      <c r="S819" s="317"/>
      <c r="T819" s="604"/>
      <c r="U819" s="317"/>
      <c r="V819" s="694"/>
      <c r="W819" s="694"/>
      <c r="X819" s="694"/>
      <c r="Y819" s="694"/>
      <c r="Z819" s="694"/>
      <c r="AA819" s="317"/>
      <c r="AB819" s="694"/>
      <c r="AC819" s="604"/>
      <c r="AD819" s="604"/>
      <c r="AE819" s="604"/>
    </row>
    <row r="820" spans="1:31">
      <c r="A820" s="604"/>
      <c r="B820" s="604"/>
      <c r="C820" s="604"/>
      <c r="D820" s="604"/>
      <c r="E820" s="604"/>
      <c r="F820" s="604"/>
      <c r="G820" s="604"/>
      <c r="H820" s="604"/>
      <c r="I820" s="604"/>
      <c r="J820" s="604"/>
      <c r="K820" s="604"/>
      <c r="L820" s="604"/>
      <c r="M820" s="604"/>
      <c r="N820" s="604"/>
      <c r="O820" s="604"/>
      <c r="P820" s="604"/>
      <c r="Q820" s="604"/>
      <c r="R820" s="604"/>
      <c r="S820" s="317"/>
      <c r="T820" s="604"/>
      <c r="U820" s="317"/>
      <c r="V820" s="694"/>
      <c r="W820" s="694"/>
      <c r="X820" s="694"/>
      <c r="Y820" s="694"/>
      <c r="Z820" s="694"/>
      <c r="AA820" s="317"/>
      <c r="AB820" s="694"/>
      <c r="AC820" s="604"/>
      <c r="AD820" s="604"/>
      <c r="AE820" s="604"/>
    </row>
    <row r="821" spans="1:31">
      <c r="A821" s="604"/>
      <c r="B821" s="604"/>
      <c r="C821" s="604"/>
      <c r="D821" s="604"/>
      <c r="E821" s="604"/>
      <c r="F821" s="604"/>
      <c r="G821" s="604"/>
      <c r="H821" s="604"/>
      <c r="I821" s="604"/>
      <c r="J821" s="604"/>
      <c r="K821" s="604"/>
      <c r="L821" s="604"/>
      <c r="M821" s="604"/>
      <c r="N821" s="604"/>
      <c r="O821" s="604"/>
      <c r="P821" s="604"/>
      <c r="Q821" s="604"/>
      <c r="R821" s="604"/>
      <c r="S821" s="317"/>
      <c r="T821" s="604"/>
      <c r="U821" s="317"/>
      <c r="V821" s="694"/>
      <c r="W821" s="694"/>
      <c r="X821" s="694"/>
      <c r="Y821" s="694"/>
      <c r="Z821" s="694"/>
      <c r="AA821" s="317"/>
      <c r="AB821" s="694"/>
      <c r="AC821" s="604"/>
      <c r="AD821" s="604"/>
      <c r="AE821" s="604"/>
    </row>
    <row r="822" spans="1:31">
      <c r="A822" s="604"/>
      <c r="B822" s="604"/>
      <c r="C822" s="604"/>
      <c r="D822" s="604"/>
      <c r="E822" s="604"/>
      <c r="F822" s="604"/>
      <c r="G822" s="604"/>
      <c r="H822" s="604"/>
      <c r="I822" s="604"/>
      <c r="J822" s="604"/>
      <c r="K822" s="604"/>
      <c r="L822" s="604"/>
      <c r="M822" s="604"/>
      <c r="N822" s="604"/>
      <c r="O822" s="604"/>
      <c r="P822" s="604"/>
      <c r="Q822" s="604"/>
      <c r="R822" s="604"/>
      <c r="S822" s="317"/>
      <c r="T822" s="604"/>
      <c r="U822" s="317"/>
      <c r="V822" s="694"/>
      <c r="W822" s="694"/>
      <c r="X822" s="694"/>
      <c r="Y822" s="694"/>
      <c r="Z822" s="694"/>
      <c r="AA822" s="317"/>
      <c r="AB822" s="694"/>
      <c r="AC822" s="604"/>
      <c r="AD822" s="604"/>
      <c r="AE822" s="604"/>
    </row>
    <row r="823" spans="1:31">
      <c r="A823" s="604"/>
      <c r="B823" s="604"/>
      <c r="C823" s="604"/>
      <c r="D823" s="604"/>
      <c r="E823" s="604"/>
      <c r="F823" s="604"/>
      <c r="G823" s="604"/>
      <c r="H823" s="604"/>
      <c r="I823" s="604"/>
      <c r="J823" s="604"/>
      <c r="K823" s="604"/>
      <c r="L823" s="604"/>
      <c r="M823" s="604"/>
      <c r="N823" s="604"/>
      <c r="O823" s="604"/>
      <c r="P823" s="604"/>
      <c r="Q823" s="604"/>
      <c r="R823" s="604"/>
      <c r="S823" s="317"/>
      <c r="T823" s="604"/>
      <c r="U823" s="317"/>
      <c r="V823" s="694"/>
      <c r="W823" s="694"/>
      <c r="X823" s="694"/>
      <c r="Y823" s="694"/>
      <c r="Z823" s="694"/>
      <c r="AA823" s="317"/>
      <c r="AB823" s="694"/>
      <c r="AC823" s="604"/>
      <c r="AD823" s="604"/>
      <c r="AE823" s="604"/>
    </row>
    <row r="824" spans="1:31">
      <c r="A824" s="604"/>
      <c r="B824" s="604"/>
      <c r="C824" s="604"/>
      <c r="D824" s="604"/>
      <c r="E824" s="604"/>
      <c r="F824" s="604"/>
      <c r="G824" s="604"/>
      <c r="H824" s="604"/>
      <c r="I824" s="604"/>
      <c r="J824" s="604"/>
      <c r="K824" s="604"/>
      <c r="L824" s="604"/>
      <c r="M824" s="604"/>
      <c r="N824" s="604"/>
      <c r="O824" s="604"/>
      <c r="P824" s="604"/>
      <c r="Q824" s="604"/>
      <c r="R824" s="604"/>
      <c r="S824" s="317"/>
      <c r="T824" s="604"/>
      <c r="U824" s="317"/>
      <c r="V824" s="694"/>
      <c r="W824" s="694"/>
      <c r="X824" s="694"/>
      <c r="Y824" s="694"/>
      <c r="Z824" s="694"/>
      <c r="AA824" s="317"/>
      <c r="AB824" s="694"/>
      <c r="AC824" s="604"/>
      <c r="AD824" s="604"/>
      <c r="AE824" s="604"/>
    </row>
    <row r="825" spans="1:31">
      <c r="A825" s="604"/>
      <c r="B825" s="604"/>
      <c r="C825" s="604"/>
      <c r="D825" s="604"/>
      <c r="E825" s="604"/>
      <c r="F825" s="604"/>
      <c r="G825" s="604"/>
      <c r="H825" s="604"/>
      <c r="I825" s="604"/>
      <c r="J825" s="604"/>
      <c r="K825" s="604"/>
      <c r="L825" s="604"/>
      <c r="M825" s="604"/>
      <c r="N825" s="604"/>
      <c r="O825" s="604"/>
      <c r="P825" s="604"/>
      <c r="Q825" s="604"/>
      <c r="R825" s="604"/>
      <c r="S825" s="317"/>
      <c r="T825" s="604"/>
      <c r="U825" s="317"/>
      <c r="V825" s="694"/>
      <c r="W825" s="694"/>
      <c r="X825" s="694"/>
      <c r="Y825" s="694"/>
      <c r="Z825" s="694"/>
      <c r="AA825" s="317"/>
      <c r="AB825" s="694"/>
      <c r="AC825" s="604"/>
      <c r="AD825" s="604"/>
      <c r="AE825" s="604"/>
    </row>
    <row r="826" spans="1:31">
      <c r="A826" s="604"/>
      <c r="B826" s="604"/>
      <c r="C826" s="604"/>
      <c r="D826" s="604"/>
      <c r="E826" s="604"/>
      <c r="F826" s="604"/>
      <c r="G826" s="604"/>
      <c r="H826" s="604"/>
      <c r="I826" s="604"/>
      <c r="J826" s="604"/>
      <c r="K826" s="604"/>
      <c r="L826" s="604"/>
      <c r="M826" s="604"/>
      <c r="N826" s="604"/>
      <c r="O826" s="604"/>
      <c r="P826" s="604"/>
      <c r="Q826" s="604"/>
      <c r="R826" s="604"/>
      <c r="S826" s="317"/>
      <c r="T826" s="604"/>
      <c r="U826" s="317"/>
      <c r="V826" s="694"/>
      <c r="W826" s="694"/>
      <c r="X826" s="694"/>
      <c r="Y826" s="694"/>
      <c r="Z826" s="694"/>
      <c r="AA826" s="317"/>
      <c r="AB826" s="694"/>
      <c r="AC826" s="604"/>
      <c r="AD826" s="604"/>
      <c r="AE826" s="604"/>
    </row>
    <row r="827" spans="1:31">
      <c r="A827" s="604"/>
      <c r="B827" s="604"/>
      <c r="C827" s="604"/>
      <c r="D827" s="604"/>
      <c r="E827" s="604"/>
      <c r="F827" s="604"/>
      <c r="G827" s="604"/>
      <c r="H827" s="604"/>
      <c r="I827" s="604"/>
      <c r="J827" s="604"/>
      <c r="K827" s="604"/>
      <c r="L827" s="604"/>
      <c r="M827" s="604"/>
      <c r="N827" s="604"/>
      <c r="O827" s="604"/>
      <c r="P827" s="604"/>
      <c r="Q827" s="604"/>
      <c r="R827" s="604"/>
      <c r="S827" s="317"/>
      <c r="T827" s="604"/>
      <c r="U827" s="317"/>
      <c r="V827" s="694"/>
      <c r="W827" s="694"/>
      <c r="X827" s="694"/>
      <c r="Y827" s="694"/>
      <c r="Z827" s="694"/>
      <c r="AA827" s="317"/>
      <c r="AB827" s="694"/>
      <c r="AC827" s="604"/>
      <c r="AD827" s="604"/>
      <c r="AE827" s="604"/>
    </row>
    <row r="828" spans="1:31">
      <c r="A828" s="604"/>
      <c r="B828" s="604"/>
      <c r="C828" s="604"/>
      <c r="D828" s="604"/>
      <c r="E828" s="604"/>
      <c r="F828" s="604"/>
      <c r="G828" s="604"/>
      <c r="H828" s="604"/>
      <c r="I828" s="604"/>
      <c r="J828" s="604"/>
      <c r="K828" s="604"/>
      <c r="L828" s="604"/>
      <c r="M828" s="604"/>
      <c r="N828" s="604"/>
      <c r="O828" s="604"/>
      <c r="P828" s="604"/>
      <c r="Q828" s="604"/>
      <c r="R828" s="604"/>
      <c r="S828" s="317"/>
      <c r="T828" s="604"/>
      <c r="U828" s="317"/>
      <c r="V828" s="694"/>
      <c r="W828" s="694"/>
      <c r="X828" s="694"/>
      <c r="Y828" s="694"/>
      <c r="Z828" s="694"/>
      <c r="AA828" s="317"/>
      <c r="AB828" s="694"/>
      <c r="AC828" s="604"/>
      <c r="AD828" s="604"/>
      <c r="AE828" s="604"/>
    </row>
    <row r="829" spans="1:31">
      <c r="A829" s="604"/>
      <c r="B829" s="604"/>
      <c r="C829" s="604"/>
      <c r="D829" s="604"/>
      <c r="E829" s="604"/>
      <c r="F829" s="604"/>
      <c r="G829" s="604"/>
      <c r="H829" s="604"/>
      <c r="I829" s="604"/>
      <c r="J829" s="604"/>
      <c r="K829" s="604"/>
      <c r="L829" s="604"/>
      <c r="M829" s="604"/>
      <c r="N829" s="604"/>
      <c r="O829" s="604"/>
      <c r="P829" s="604"/>
      <c r="Q829" s="604"/>
      <c r="R829" s="604"/>
      <c r="S829" s="317"/>
      <c r="T829" s="604"/>
      <c r="U829" s="317"/>
      <c r="V829" s="694"/>
      <c r="W829" s="694"/>
      <c r="X829" s="694"/>
      <c r="Y829" s="694"/>
      <c r="Z829" s="694"/>
      <c r="AA829" s="317"/>
      <c r="AB829" s="694"/>
      <c r="AC829" s="604"/>
      <c r="AD829" s="604"/>
      <c r="AE829" s="604"/>
    </row>
    <row r="830" spans="1:31">
      <c r="A830" s="604"/>
      <c r="B830" s="604"/>
      <c r="C830" s="604"/>
      <c r="D830" s="604"/>
      <c r="E830" s="604"/>
      <c r="F830" s="604"/>
      <c r="G830" s="604"/>
      <c r="H830" s="604"/>
      <c r="I830" s="604"/>
      <c r="J830" s="604"/>
      <c r="K830" s="604"/>
      <c r="L830" s="604"/>
      <c r="M830" s="604"/>
      <c r="N830" s="604"/>
      <c r="O830" s="604"/>
      <c r="P830" s="604"/>
      <c r="Q830" s="604"/>
      <c r="R830" s="604"/>
      <c r="S830" s="317"/>
      <c r="T830" s="604"/>
      <c r="U830" s="317"/>
      <c r="V830" s="694"/>
      <c r="W830" s="694"/>
      <c r="X830" s="694"/>
      <c r="Y830" s="694"/>
      <c r="Z830" s="694"/>
      <c r="AA830" s="317"/>
      <c r="AB830" s="694"/>
      <c r="AC830" s="604"/>
      <c r="AD830" s="604"/>
      <c r="AE830" s="604"/>
    </row>
    <row r="831" spans="1:31">
      <c r="A831" s="604"/>
      <c r="B831" s="604"/>
      <c r="C831" s="604"/>
      <c r="D831" s="604"/>
      <c r="E831" s="604"/>
      <c r="F831" s="604"/>
      <c r="G831" s="604"/>
      <c r="H831" s="604"/>
      <c r="I831" s="604"/>
      <c r="J831" s="604"/>
      <c r="K831" s="604"/>
      <c r="L831" s="604"/>
      <c r="M831" s="604"/>
      <c r="N831" s="604"/>
      <c r="O831" s="604"/>
      <c r="P831" s="604"/>
      <c r="Q831" s="604"/>
      <c r="R831" s="604"/>
      <c r="S831" s="317"/>
      <c r="T831" s="604"/>
      <c r="U831" s="317"/>
      <c r="V831" s="694"/>
      <c r="W831" s="694"/>
      <c r="X831" s="694"/>
      <c r="Y831" s="694"/>
      <c r="Z831" s="694"/>
      <c r="AA831" s="317"/>
      <c r="AB831" s="694"/>
      <c r="AC831" s="604"/>
      <c r="AD831" s="604"/>
      <c r="AE831" s="604"/>
    </row>
    <row r="832" spans="1:31">
      <c r="A832" s="604"/>
      <c r="B832" s="604"/>
      <c r="C832" s="604"/>
      <c r="D832" s="604"/>
      <c r="E832" s="604"/>
      <c r="F832" s="604"/>
      <c r="G832" s="604"/>
      <c r="H832" s="604"/>
      <c r="I832" s="604"/>
      <c r="J832" s="604"/>
      <c r="K832" s="604"/>
      <c r="L832" s="604"/>
      <c r="M832" s="604"/>
      <c r="N832" s="604"/>
      <c r="O832" s="604"/>
      <c r="P832" s="604"/>
      <c r="Q832" s="604"/>
      <c r="R832" s="604"/>
      <c r="S832" s="317"/>
      <c r="T832" s="604"/>
      <c r="U832" s="317"/>
      <c r="V832" s="694"/>
      <c r="W832" s="694"/>
      <c r="X832" s="694"/>
      <c r="Y832" s="694"/>
      <c r="Z832" s="694"/>
      <c r="AA832" s="317"/>
      <c r="AB832" s="694"/>
      <c r="AC832" s="604"/>
      <c r="AD832" s="604"/>
      <c r="AE832" s="604"/>
    </row>
    <row r="833" spans="1:31">
      <c r="A833" s="604"/>
      <c r="B833" s="604"/>
      <c r="C833" s="604"/>
      <c r="D833" s="604"/>
      <c r="E833" s="604"/>
      <c r="F833" s="604"/>
      <c r="G833" s="604"/>
      <c r="H833" s="604"/>
      <c r="I833" s="604"/>
      <c r="J833" s="604"/>
      <c r="K833" s="604"/>
      <c r="L833" s="604"/>
      <c r="M833" s="604"/>
      <c r="N833" s="604"/>
      <c r="O833" s="604"/>
      <c r="P833" s="604"/>
      <c r="Q833" s="604"/>
      <c r="R833" s="604"/>
      <c r="S833" s="317"/>
      <c r="T833" s="604"/>
      <c r="U833" s="317"/>
      <c r="V833" s="694"/>
      <c r="W833" s="694"/>
      <c r="X833" s="694"/>
      <c r="Y833" s="694"/>
      <c r="Z833" s="694"/>
      <c r="AA833" s="317"/>
      <c r="AB833" s="694"/>
      <c r="AC833" s="604"/>
      <c r="AD833" s="604"/>
      <c r="AE833" s="604"/>
    </row>
    <row r="834" spans="1:31">
      <c r="A834" s="604"/>
      <c r="B834" s="604"/>
      <c r="C834" s="604"/>
      <c r="D834" s="604"/>
      <c r="E834" s="604"/>
      <c r="F834" s="604"/>
      <c r="G834" s="604"/>
      <c r="H834" s="604"/>
      <c r="I834" s="604"/>
      <c r="J834" s="604"/>
      <c r="K834" s="604"/>
      <c r="L834" s="604"/>
      <c r="M834" s="604"/>
      <c r="N834" s="604"/>
      <c r="O834" s="604"/>
      <c r="P834" s="604"/>
      <c r="Q834" s="604"/>
      <c r="R834" s="604"/>
      <c r="S834" s="317"/>
      <c r="T834" s="604"/>
      <c r="U834" s="317"/>
      <c r="V834" s="694"/>
      <c r="W834" s="694"/>
      <c r="X834" s="694"/>
      <c r="Y834" s="694"/>
      <c r="Z834" s="694"/>
      <c r="AA834" s="317"/>
      <c r="AB834" s="694"/>
      <c r="AC834" s="604"/>
      <c r="AD834" s="604"/>
      <c r="AE834" s="604"/>
    </row>
    <row r="835" spans="1:31">
      <c r="A835" s="604"/>
      <c r="B835" s="604"/>
      <c r="C835" s="604"/>
      <c r="D835" s="604"/>
      <c r="E835" s="604"/>
      <c r="F835" s="604"/>
      <c r="G835" s="604"/>
      <c r="H835" s="604"/>
      <c r="I835" s="604"/>
      <c r="J835" s="604"/>
      <c r="K835" s="604"/>
      <c r="L835" s="604"/>
      <c r="M835" s="604"/>
      <c r="N835" s="604"/>
      <c r="O835" s="604"/>
      <c r="P835" s="604"/>
      <c r="Q835" s="604"/>
      <c r="R835" s="604"/>
      <c r="S835" s="317"/>
      <c r="T835" s="604"/>
      <c r="U835" s="317"/>
      <c r="V835" s="694"/>
      <c r="W835" s="694"/>
      <c r="X835" s="694"/>
      <c r="Y835" s="694"/>
      <c r="Z835" s="694"/>
      <c r="AA835" s="317"/>
      <c r="AB835" s="694"/>
      <c r="AC835" s="604"/>
      <c r="AD835" s="604"/>
      <c r="AE835" s="604"/>
    </row>
    <row r="836" spans="1:31">
      <c r="A836" s="604"/>
      <c r="B836" s="604"/>
      <c r="C836" s="604"/>
      <c r="D836" s="604"/>
      <c r="E836" s="604"/>
      <c r="F836" s="604"/>
      <c r="G836" s="604"/>
      <c r="H836" s="604"/>
      <c r="I836" s="604"/>
      <c r="J836" s="604"/>
      <c r="K836" s="604"/>
      <c r="L836" s="604"/>
      <c r="M836" s="604"/>
      <c r="N836" s="604"/>
      <c r="O836" s="604"/>
      <c r="P836" s="604"/>
      <c r="Q836" s="604"/>
      <c r="R836" s="604"/>
      <c r="S836" s="317"/>
      <c r="T836" s="604"/>
      <c r="U836" s="317"/>
      <c r="V836" s="694"/>
      <c r="W836" s="694"/>
      <c r="X836" s="694"/>
      <c r="Y836" s="694"/>
      <c r="Z836" s="694"/>
      <c r="AA836" s="317"/>
      <c r="AB836" s="694"/>
      <c r="AC836" s="604"/>
      <c r="AD836" s="604"/>
      <c r="AE836" s="604"/>
    </row>
    <row r="837" spans="1:31">
      <c r="A837" s="604"/>
      <c r="B837" s="604"/>
      <c r="C837" s="604"/>
      <c r="D837" s="604"/>
      <c r="E837" s="604"/>
      <c r="F837" s="604"/>
      <c r="G837" s="604"/>
      <c r="H837" s="604"/>
      <c r="I837" s="604"/>
      <c r="J837" s="604"/>
      <c r="K837" s="604"/>
      <c r="L837" s="604"/>
      <c r="M837" s="604"/>
      <c r="N837" s="604"/>
      <c r="O837" s="604"/>
      <c r="P837" s="604"/>
      <c r="Q837" s="604"/>
      <c r="R837" s="604"/>
      <c r="S837" s="317"/>
      <c r="T837" s="604"/>
      <c r="U837" s="317"/>
      <c r="V837" s="694"/>
      <c r="W837" s="694"/>
      <c r="X837" s="694"/>
      <c r="Y837" s="694"/>
      <c r="Z837" s="694"/>
      <c r="AA837" s="317"/>
      <c r="AB837" s="694"/>
      <c r="AC837" s="604"/>
      <c r="AD837" s="604"/>
      <c r="AE837" s="604"/>
    </row>
    <row r="838" spans="1:31">
      <c r="A838" s="604"/>
      <c r="B838" s="604"/>
      <c r="C838" s="604"/>
      <c r="D838" s="604"/>
      <c r="E838" s="604"/>
      <c r="F838" s="604"/>
      <c r="G838" s="604"/>
      <c r="H838" s="604"/>
      <c r="I838" s="604"/>
      <c r="J838" s="604"/>
      <c r="K838" s="604"/>
      <c r="L838" s="604"/>
      <c r="M838" s="604"/>
      <c r="N838" s="604"/>
      <c r="O838" s="604"/>
      <c r="P838" s="604"/>
      <c r="Q838" s="604"/>
      <c r="R838" s="604"/>
      <c r="S838" s="317"/>
      <c r="T838" s="604"/>
      <c r="U838" s="317"/>
      <c r="V838" s="694"/>
      <c r="W838" s="694"/>
      <c r="X838" s="694"/>
      <c r="Y838" s="694"/>
      <c r="Z838" s="694"/>
      <c r="AA838" s="317"/>
      <c r="AB838" s="694"/>
      <c r="AC838" s="604"/>
      <c r="AD838" s="604"/>
      <c r="AE838" s="604"/>
    </row>
    <row r="839" spans="1:31">
      <c r="A839" s="604"/>
      <c r="B839" s="604"/>
      <c r="C839" s="604"/>
      <c r="D839" s="604"/>
      <c r="E839" s="604"/>
      <c r="F839" s="604"/>
      <c r="G839" s="604"/>
      <c r="H839" s="604"/>
      <c r="I839" s="604"/>
      <c r="J839" s="604"/>
      <c r="K839" s="604"/>
      <c r="L839" s="604"/>
      <c r="M839" s="604"/>
      <c r="N839" s="604"/>
      <c r="O839" s="604"/>
      <c r="P839" s="604"/>
      <c r="Q839" s="604"/>
      <c r="R839" s="604"/>
      <c r="S839" s="317"/>
      <c r="T839" s="604"/>
      <c r="U839" s="317"/>
      <c r="V839" s="694"/>
      <c r="W839" s="694"/>
      <c r="X839" s="694"/>
      <c r="Y839" s="694"/>
      <c r="Z839" s="694"/>
      <c r="AA839" s="317"/>
      <c r="AB839" s="694"/>
      <c r="AC839" s="604"/>
      <c r="AD839" s="604"/>
      <c r="AE839" s="604"/>
    </row>
    <row r="840" spans="1:31">
      <c r="A840" s="604"/>
      <c r="B840" s="604"/>
      <c r="C840" s="604"/>
      <c r="D840" s="604"/>
      <c r="E840" s="604"/>
      <c r="F840" s="604"/>
      <c r="G840" s="604"/>
      <c r="H840" s="604"/>
      <c r="I840" s="604"/>
      <c r="J840" s="604"/>
      <c r="K840" s="604"/>
      <c r="L840" s="604"/>
      <c r="M840" s="604"/>
      <c r="N840" s="604"/>
      <c r="O840" s="604"/>
      <c r="P840" s="604"/>
      <c r="Q840" s="604"/>
      <c r="R840" s="604"/>
      <c r="S840" s="317"/>
      <c r="T840" s="604"/>
      <c r="U840" s="317"/>
      <c r="V840" s="694"/>
      <c r="W840" s="694"/>
      <c r="X840" s="694"/>
      <c r="Y840" s="694"/>
      <c r="Z840" s="694"/>
      <c r="AA840" s="317"/>
      <c r="AB840" s="694"/>
      <c r="AC840" s="604"/>
      <c r="AD840" s="604"/>
      <c r="AE840" s="604"/>
    </row>
    <row r="841" spans="1:31">
      <c r="A841" s="604"/>
      <c r="B841" s="604"/>
      <c r="C841" s="604"/>
      <c r="D841" s="604"/>
      <c r="E841" s="604"/>
      <c r="F841" s="604"/>
      <c r="G841" s="604"/>
      <c r="H841" s="604"/>
      <c r="I841" s="604"/>
      <c r="J841" s="604"/>
      <c r="K841" s="604"/>
      <c r="L841" s="604"/>
      <c r="M841" s="604"/>
      <c r="N841" s="604"/>
      <c r="O841" s="604"/>
      <c r="P841" s="604"/>
      <c r="Q841" s="604"/>
      <c r="R841" s="604"/>
      <c r="S841" s="317"/>
      <c r="T841" s="604"/>
      <c r="U841" s="317"/>
      <c r="V841" s="694"/>
      <c r="W841" s="694"/>
      <c r="X841" s="694"/>
      <c r="Y841" s="694"/>
      <c r="Z841" s="694"/>
      <c r="AA841" s="317"/>
      <c r="AB841" s="694"/>
      <c r="AC841" s="604"/>
      <c r="AD841" s="604"/>
      <c r="AE841" s="604"/>
    </row>
    <row r="842" spans="1:31">
      <c r="A842" s="604"/>
      <c r="B842" s="604"/>
      <c r="C842" s="604"/>
      <c r="D842" s="604"/>
      <c r="E842" s="604"/>
      <c r="F842" s="604"/>
      <c r="G842" s="604"/>
      <c r="H842" s="604"/>
      <c r="I842" s="604"/>
      <c r="J842" s="604"/>
      <c r="K842" s="604"/>
      <c r="L842" s="604"/>
      <c r="M842" s="604"/>
      <c r="N842" s="604"/>
      <c r="O842" s="604"/>
      <c r="P842" s="604"/>
      <c r="Q842" s="604"/>
      <c r="R842" s="604"/>
      <c r="S842" s="317"/>
      <c r="T842" s="604"/>
      <c r="U842" s="317"/>
      <c r="V842" s="694"/>
      <c r="W842" s="694"/>
      <c r="X842" s="694"/>
      <c r="Y842" s="694"/>
      <c r="Z842" s="694"/>
      <c r="AA842" s="317"/>
      <c r="AB842" s="694"/>
      <c r="AC842" s="604"/>
      <c r="AD842" s="604"/>
      <c r="AE842" s="604"/>
    </row>
    <row r="843" spans="1:31">
      <c r="A843" s="604"/>
      <c r="B843" s="604"/>
      <c r="C843" s="604"/>
      <c r="D843" s="604"/>
      <c r="E843" s="604"/>
      <c r="F843" s="604"/>
      <c r="G843" s="604"/>
      <c r="H843" s="604"/>
      <c r="I843" s="604"/>
      <c r="J843" s="604"/>
      <c r="K843" s="604"/>
      <c r="L843" s="604"/>
      <c r="M843" s="604"/>
      <c r="N843" s="604"/>
      <c r="O843" s="604"/>
      <c r="P843" s="604"/>
      <c r="Q843" s="604"/>
      <c r="R843" s="604"/>
      <c r="S843" s="317"/>
      <c r="T843" s="604"/>
      <c r="U843" s="317"/>
      <c r="V843" s="694"/>
      <c r="W843" s="694"/>
      <c r="X843" s="694"/>
      <c r="Y843" s="694"/>
      <c r="Z843" s="694"/>
      <c r="AA843" s="317"/>
      <c r="AB843" s="694"/>
      <c r="AC843" s="604"/>
      <c r="AD843" s="604"/>
      <c r="AE843" s="604"/>
    </row>
    <row r="844" spans="1:31">
      <c r="A844" s="604"/>
      <c r="B844" s="604"/>
      <c r="C844" s="604"/>
      <c r="D844" s="604"/>
      <c r="E844" s="604"/>
      <c r="F844" s="604"/>
      <c r="G844" s="604"/>
      <c r="H844" s="604"/>
      <c r="I844" s="604"/>
      <c r="J844" s="604"/>
      <c r="K844" s="604"/>
      <c r="L844" s="604"/>
      <c r="M844" s="604"/>
      <c r="N844" s="604"/>
      <c r="O844" s="604"/>
      <c r="P844" s="604"/>
      <c r="Q844" s="604"/>
      <c r="R844" s="604"/>
      <c r="S844" s="317"/>
      <c r="T844" s="604"/>
      <c r="U844" s="317"/>
      <c r="V844" s="694"/>
      <c r="W844" s="694"/>
      <c r="X844" s="694"/>
      <c r="Y844" s="694"/>
      <c r="Z844" s="694"/>
      <c r="AA844" s="317"/>
      <c r="AB844" s="694"/>
      <c r="AC844" s="604"/>
      <c r="AD844" s="604"/>
      <c r="AE844" s="604"/>
    </row>
    <row r="845" spans="1:31">
      <c r="A845" s="604"/>
      <c r="B845" s="604"/>
      <c r="C845" s="604"/>
      <c r="D845" s="604"/>
      <c r="E845" s="604"/>
      <c r="F845" s="604"/>
      <c r="G845" s="604"/>
      <c r="H845" s="604"/>
      <c r="I845" s="604"/>
      <c r="J845" s="604"/>
      <c r="K845" s="604"/>
      <c r="L845" s="604"/>
      <c r="M845" s="604"/>
      <c r="N845" s="604"/>
      <c r="O845" s="604"/>
      <c r="P845" s="604"/>
      <c r="Q845" s="604"/>
      <c r="R845" s="604"/>
      <c r="S845" s="317"/>
      <c r="T845" s="604"/>
      <c r="U845" s="317"/>
      <c r="V845" s="694"/>
      <c r="W845" s="694"/>
      <c r="X845" s="694"/>
      <c r="Y845" s="694"/>
      <c r="Z845" s="694"/>
      <c r="AA845" s="317"/>
      <c r="AB845" s="694"/>
      <c r="AC845" s="604"/>
      <c r="AD845" s="604"/>
      <c r="AE845" s="604"/>
    </row>
    <row r="846" spans="1:31">
      <c r="A846" s="604"/>
      <c r="B846" s="604"/>
      <c r="C846" s="604"/>
      <c r="D846" s="604"/>
      <c r="E846" s="604"/>
      <c r="F846" s="604"/>
      <c r="G846" s="604"/>
      <c r="H846" s="604"/>
      <c r="I846" s="604"/>
      <c r="J846" s="604"/>
      <c r="K846" s="604"/>
      <c r="L846" s="604"/>
      <c r="M846" s="604"/>
      <c r="N846" s="604"/>
      <c r="O846" s="604"/>
      <c r="P846" s="604"/>
      <c r="Q846" s="604"/>
      <c r="R846" s="604"/>
      <c r="S846" s="317"/>
      <c r="T846" s="604"/>
      <c r="U846" s="317"/>
      <c r="V846" s="694"/>
      <c r="W846" s="694"/>
      <c r="X846" s="694"/>
      <c r="Y846" s="694"/>
      <c r="Z846" s="694"/>
      <c r="AA846" s="317"/>
      <c r="AB846" s="694"/>
      <c r="AC846" s="604"/>
      <c r="AD846" s="604"/>
      <c r="AE846" s="604"/>
    </row>
    <row r="847" spans="1:31">
      <c r="A847" s="604"/>
      <c r="B847" s="604"/>
      <c r="C847" s="604"/>
      <c r="D847" s="604"/>
      <c r="E847" s="604"/>
      <c r="F847" s="604"/>
      <c r="G847" s="604"/>
      <c r="H847" s="604"/>
      <c r="I847" s="604"/>
      <c r="J847" s="604"/>
      <c r="K847" s="604"/>
      <c r="L847" s="604"/>
      <c r="M847" s="604"/>
      <c r="N847" s="604"/>
      <c r="O847" s="604"/>
      <c r="P847" s="604"/>
      <c r="Q847" s="604"/>
      <c r="R847" s="604"/>
      <c r="S847" s="317"/>
      <c r="T847" s="604"/>
      <c r="U847" s="317"/>
      <c r="V847" s="694"/>
      <c r="W847" s="694"/>
      <c r="X847" s="694"/>
      <c r="Y847" s="694"/>
      <c r="Z847" s="694"/>
      <c r="AA847" s="317"/>
      <c r="AB847" s="694"/>
      <c r="AC847" s="604"/>
      <c r="AD847" s="604"/>
      <c r="AE847" s="604"/>
    </row>
    <row r="848" spans="1:31">
      <c r="A848" s="604"/>
      <c r="B848" s="604"/>
      <c r="C848" s="604"/>
      <c r="D848" s="604"/>
      <c r="E848" s="604"/>
      <c r="F848" s="604"/>
      <c r="G848" s="604"/>
      <c r="H848" s="604"/>
      <c r="I848" s="604"/>
      <c r="J848" s="604"/>
      <c r="K848" s="604"/>
      <c r="L848" s="604"/>
      <c r="M848" s="604"/>
      <c r="N848" s="604"/>
      <c r="O848" s="604"/>
      <c r="P848" s="604"/>
      <c r="Q848" s="604"/>
      <c r="R848" s="604"/>
      <c r="S848" s="317"/>
      <c r="T848" s="604"/>
      <c r="U848" s="317"/>
      <c r="V848" s="694"/>
      <c r="W848" s="694"/>
      <c r="X848" s="694"/>
      <c r="Y848" s="694"/>
      <c r="Z848" s="694"/>
      <c r="AA848" s="317"/>
      <c r="AB848" s="694"/>
      <c r="AC848" s="604"/>
      <c r="AD848" s="604"/>
      <c r="AE848" s="604"/>
    </row>
    <row r="849" spans="1:31">
      <c r="A849" s="604"/>
      <c r="B849" s="604"/>
      <c r="C849" s="604"/>
      <c r="D849" s="604"/>
      <c r="E849" s="604"/>
      <c r="F849" s="604"/>
      <c r="G849" s="604"/>
      <c r="H849" s="604"/>
      <c r="I849" s="604"/>
      <c r="J849" s="604"/>
      <c r="K849" s="604"/>
      <c r="L849" s="604"/>
      <c r="M849" s="604"/>
      <c r="N849" s="604"/>
      <c r="O849" s="604"/>
      <c r="P849" s="604"/>
      <c r="Q849" s="604"/>
      <c r="R849" s="604"/>
      <c r="S849" s="317"/>
      <c r="T849" s="604"/>
      <c r="U849" s="317"/>
      <c r="V849" s="694"/>
      <c r="W849" s="694"/>
      <c r="X849" s="694"/>
      <c r="Y849" s="694"/>
      <c r="Z849" s="694"/>
      <c r="AA849" s="317"/>
      <c r="AB849" s="694"/>
      <c r="AC849" s="604"/>
      <c r="AD849" s="604"/>
      <c r="AE849" s="604"/>
    </row>
    <row r="850" spans="1:31">
      <c r="A850" s="604"/>
      <c r="B850" s="604"/>
      <c r="C850" s="604"/>
      <c r="D850" s="604"/>
      <c r="E850" s="604"/>
      <c r="F850" s="604"/>
      <c r="G850" s="604"/>
      <c r="H850" s="604"/>
      <c r="I850" s="604"/>
      <c r="J850" s="604"/>
      <c r="K850" s="604"/>
      <c r="L850" s="604"/>
      <c r="M850" s="604"/>
      <c r="N850" s="604"/>
      <c r="O850" s="604"/>
      <c r="P850" s="604"/>
      <c r="Q850" s="604"/>
      <c r="R850" s="604"/>
      <c r="S850" s="317"/>
      <c r="T850" s="604"/>
      <c r="U850" s="317"/>
      <c r="V850" s="694"/>
      <c r="W850" s="694"/>
      <c r="X850" s="694"/>
      <c r="Y850" s="694"/>
      <c r="Z850" s="694"/>
      <c r="AA850" s="317"/>
      <c r="AB850" s="694"/>
      <c r="AC850" s="604"/>
      <c r="AD850" s="604"/>
      <c r="AE850" s="604"/>
    </row>
    <row r="851" spans="1:31">
      <c r="A851" s="604"/>
      <c r="B851" s="604"/>
      <c r="C851" s="604"/>
      <c r="D851" s="604"/>
      <c r="E851" s="604"/>
      <c r="F851" s="604"/>
      <c r="G851" s="604"/>
      <c r="H851" s="604"/>
      <c r="I851" s="604"/>
      <c r="J851" s="604"/>
      <c r="K851" s="604"/>
      <c r="L851" s="604"/>
      <c r="M851" s="604"/>
      <c r="N851" s="604"/>
      <c r="O851" s="604"/>
      <c r="P851" s="604"/>
      <c r="Q851" s="604"/>
      <c r="R851" s="604"/>
      <c r="S851" s="317"/>
      <c r="T851" s="604"/>
      <c r="U851" s="317"/>
      <c r="V851" s="694"/>
      <c r="W851" s="694"/>
      <c r="X851" s="694"/>
      <c r="Y851" s="694"/>
      <c r="Z851" s="694"/>
      <c r="AA851" s="317"/>
      <c r="AB851" s="694"/>
      <c r="AC851" s="604"/>
      <c r="AD851" s="604"/>
      <c r="AE851" s="604"/>
    </row>
    <row r="852" spans="1:31">
      <c r="A852" s="604"/>
      <c r="B852" s="604"/>
      <c r="C852" s="604"/>
      <c r="D852" s="604"/>
      <c r="E852" s="604"/>
      <c r="F852" s="604"/>
      <c r="G852" s="604"/>
      <c r="H852" s="604"/>
      <c r="I852" s="604"/>
      <c r="J852" s="604"/>
      <c r="K852" s="604"/>
      <c r="L852" s="604"/>
      <c r="M852" s="604"/>
      <c r="N852" s="604"/>
      <c r="O852" s="604"/>
      <c r="P852" s="604"/>
      <c r="Q852" s="604"/>
      <c r="R852" s="604"/>
      <c r="S852" s="317"/>
      <c r="T852" s="604"/>
      <c r="U852" s="317"/>
      <c r="V852" s="694"/>
      <c r="W852" s="694"/>
      <c r="X852" s="694"/>
      <c r="Y852" s="694"/>
      <c r="Z852" s="694"/>
      <c r="AA852" s="317"/>
      <c r="AB852" s="694"/>
      <c r="AC852" s="604"/>
      <c r="AD852" s="604"/>
      <c r="AE852" s="604"/>
    </row>
    <row r="853" spans="1:31">
      <c r="A853" s="604"/>
      <c r="B853" s="604"/>
      <c r="C853" s="604"/>
      <c r="D853" s="604"/>
      <c r="E853" s="604"/>
      <c r="F853" s="604"/>
      <c r="G853" s="604"/>
      <c r="H853" s="604"/>
      <c r="I853" s="604"/>
      <c r="J853" s="604"/>
      <c r="K853" s="604"/>
      <c r="L853" s="604"/>
      <c r="M853" s="604"/>
      <c r="N853" s="604"/>
      <c r="O853" s="604"/>
      <c r="P853" s="604"/>
      <c r="Q853" s="604"/>
      <c r="R853" s="604"/>
      <c r="S853" s="317"/>
      <c r="T853" s="604"/>
      <c r="U853" s="317"/>
      <c r="V853" s="694"/>
      <c r="W853" s="694"/>
      <c r="X853" s="694"/>
      <c r="Y853" s="694"/>
      <c r="Z853" s="694"/>
      <c r="AA853" s="317"/>
      <c r="AB853" s="694"/>
      <c r="AC853" s="604"/>
      <c r="AD853" s="604"/>
      <c r="AE853" s="604"/>
    </row>
    <row r="854" spans="1:31">
      <c r="A854" s="604"/>
      <c r="B854" s="604"/>
      <c r="C854" s="604"/>
      <c r="D854" s="604"/>
      <c r="E854" s="604"/>
      <c r="F854" s="604"/>
      <c r="G854" s="604"/>
      <c r="H854" s="604"/>
      <c r="I854" s="604"/>
      <c r="J854" s="604"/>
      <c r="K854" s="604"/>
      <c r="L854" s="604"/>
      <c r="M854" s="604"/>
      <c r="N854" s="604"/>
      <c r="O854" s="604"/>
      <c r="P854" s="604"/>
      <c r="Q854" s="604"/>
      <c r="R854" s="604"/>
      <c r="S854" s="317"/>
      <c r="T854" s="604"/>
      <c r="U854" s="317"/>
      <c r="V854" s="694"/>
      <c r="W854" s="694"/>
      <c r="X854" s="694"/>
      <c r="Y854" s="694"/>
      <c r="Z854" s="694"/>
      <c r="AA854" s="317"/>
      <c r="AB854" s="694"/>
      <c r="AC854" s="604"/>
      <c r="AD854" s="604"/>
      <c r="AE854" s="604"/>
    </row>
    <row r="855" spans="1:31">
      <c r="A855" s="604"/>
      <c r="B855" s="604"/>
      <c r="C855" s="604"/>
      <c r="D855" s="604"/>
      <c r="E855" s="604"/>
      <c r="F855" s="604"/>
      <c r="G855" s="604"/>
      <c r="H855" s="604"/>
      <c r="I855" s="604"/>
      <c r="J855" s="604"/>
      <c r="K855" s="604"/>
      <c r="L855" s="604"/>
      <c r="M855" s="604"/>
      <c r="N855" s="604"/>
      <c r="O855" s="604"/>
      <c r="P855" s="604"/>
      <c r="Q855" s="604"/>
      <c r="R855" s="604"/>
      <c r="S855" s="317"/>
      <c r="T855" s="604"/>
      <c r="U855" s="317"/>
      <c r="V855" s="694"/>
      <c r="W855" s="694"/>
      <c r="X855" s="694"/>
      <c r="Y855" s="694"/>
      <c r="Z855" s="694"/>
      <c r="AA855" s="317"/>
      <c r="AB855" s="694"/>
      <c r="AC855" s="604"/>
      <c r="AD855" s="604"/>
      <c r="AE855" s="604"/>
    </row>
    <row r="856" spans="1:31">
      <c r="A856" s="604"/>
      <c r="B856" s="604"/>
      <c r="C856" s="604"/>
      <c r="D856" s="604"/>
      <c r="E856" s="604"/>
      <c r="F856" s="604"/>
      <c r="G856" s="604"/>
      <c r="H856" s="604"/>
      <c r="I856" s="604"/>
      <c r="J856" s="604"/>
      <c r="K856" s="604"/>
      <c r="L856" s="604"/>
      <c r="M856" s="604"/>
      <c r="N856" s="604"/>
      <c r="O856" s="604"/>
      <c r="P856" s="604"/>
      <c r="Q856" s="604"/>
      <c r="R856" s="604"/>
      <c r="S856" s="317"/>
      <c r="T856" s="604"/>
      <c r="U856" s="317"/>
      <c r="V856" s="694"/>
      <c r="W856" s="694"/>
      <c r="X856" s="694"/>
      <c r="Y856" s="694"/>
      <c r="Z856" s="694"/>
      <c r="AA856" s="317"/>
      <c r="AB856" s="694"/>
      <c r="AC856" s="604"/>
      <c r="AD856" s="604"/>
      <c r="AE856" s="604"/>
    </row>
    <row r="857" spans="1:31">
      <c r="A857" s="604"/>
      <c r="B857" s="604"/>
      <c r="C857" s="604"/>
      <c r="D857" s="604"/>
      <c r="E857" s="604"/>
      <c r="F857" s="604"/>
      <c r="G857" s="604"/>
      <c r="H857" s="604"/>
      <c r="I857" s="604"/>
      <c r="J857" s="604"/>
      <c r="K857" s="604"/>
      <c r="L857" s="604"/>
      <c r="M857" s="604"/>
      <c r="N857" s="604"/>
      <c r="O857" s="604"/>
      <c r="P857" s="604"/>
      <c r="Q857" s="604"/>
      <c r="R857" s="604"/>
      <c r="S857" s="317"/>
      <c r="T857" s="604"/>
      <c r="U857" s="317"/>
      <c r="V857" s="694"/>
      <c r="W857" s="694"/>
      <c r="X857" s="694"/>
      <c r="Y857" s="694"/>
      <c r="Z857" s="694"/>
      <c r="AA857" s="317"/>
      <c r="AB857" s="694"/>
      <c r="AC857" s="604"/>
      <c r="AD857" s="604"/>
      <c r="AE857" s="604"/>
    </row>
    <row r="858" spans="1:31">
      <c r="A858" s="604"/>
      <c r="B858" s="604"/>
      <c r="C858" s="604"/>
      <c r="D858" s="604"/>
      <c r="E858" s="604"/>
      <c r="F858" s="604"/>
      <c r="G858" s="604"/>
      <c r="H858" s="604"/>
      <c r="I858" s="604"/>
      <c r="J858" s="604"/>
      <c r="K858" s="604"/>
      <c r="L858" s="604"/>
      <c r="M858" s="604"/>
      <c r="N858" s="604"/>
      <c r="O858" s="604"/>
      <c r="P858" s="604"/>
      <c r="Q858" s="604"/>
      <c r="R858" s="604"/>
      <c r="S858" s="317"/>
      <c r="T858" s="604"/>
      <c r="U858" s="317"/>
      <c r="V858" s="694"/>
      <c r="W858" s="694"/>
      <c r="X858" s="694"/>
      <c r="Y858" s="694"/>
      <c r="Z858" s="694"/>
      <c r="AA858" s="317"/>
      <c r="AB858" s="694"/>
      <c r="AC858" s="604"/>
      <c r="AD858" s="604"/>
      <c r="AE858" s="604"/>
    </row>
    <row r="859" spans="1:31">
      <c r="A859" s="604"/>
      <c r="B859" s="604"/>
      <c r="C859" s="604"/>
      <c r="D859" s="604"/>
      <c r="E859" s="604"/>
      <c r="F859" s="604"/>
      <c r="G859" s="604"/>
      <c r="H859" s="604"/>
      <c r="I859" s="604"/>
      <c r="J859" s="604"/>
      <c r="K859" s="604"/>
      <c r="L859" s="604"/>
      <c r="M859" s="604"/>
      <c r="N859" s="604"/>
      <c r="O859" s="604"/>
      <c r="P859" s="604"/>
      <c r="Q859" s="604"/>
      <c r="R859" s="604"/>
      <c r="S859" s="317"/>
      <c r="T859" s="604"/>
      <c r="U859" s="317"/>
      <c r="V859" s="694"/>
      <c r="W859" s="694"/>
      <c r="X859" s="694"/>
      <c r="Y859" s="694"/>
      <c r="Z859" s="694"/>
      <c r="AA859" s="317"/>
      <c r="AB859" s="694"/>
      <c r="AC859" s="604"/>
      <c r="AD859" s="604"/>
      <c r="AE859" s="604"/>
    </row>
    <row r="860" spans="1:31">
      <c r="A860" s="604"/>
      <c r="B860" s="604"/>
      <c r="C860" s="604"/>
      <c r="D860" s="604"/>
      <c r="E860" s="604"/>
      <c r="F860" s="604"/>
      <c r="G860" s="604"/>
      <c r="H860" s="604"/>
      <c r="I860" s="604"/>
      <c r="J860" s="604"/>
      <c r="K860" s="604"/>
      <c r="L860" s="604"/>
      <c r="M860" s="604"/>
      <c r="N860" s="604"/>
      <c r="O860" s="604"/>
      <c r="P860" s="604"/>
      <c r="Q860" s="604"/>
      <c r="R860" s="604"/>
      <c r="S860" s="317"/>
      <c r="T860" s="604"/>
      <c r="U860" s="317"/>
      <c r="V860" s="694"/>
      <c r="W860" s="694"/>
      <c r="X860" s="694"/>
      <c r="Y860" s="694"/>
      <c r="Z860" s="694"/>
      <c r="AA860" s="317"/>
      <c r="AB860" s="694"/>
      <c r="AC860" s="604"/>
      <c r="AD860" s="604"/>
      <c r="AE860" s="604"/>
    </row>
    <row r="861" spans="1:31">
      <c r="A861" s="604"/>
      <c r="B861" s="604"/>
      <c r="C861" s="604"/>
      <c r="D861" s="604"/>
      <c r="E861" s="604"/>
      <c r="F861" s="604"/>
      <c r="G861" s="604"/>
      <c r="H861" s="604"/>
      <c r="I861" s="604"/>
      <c r="J861" s="604"/>
      <c r="K861" s="604"/>
      <c r="L861" s="604"/>
      <c r="M861" s="604"/>
      <c r="N861" s="604"/>
      <c r="O861" s="604"/>
      <c r="P861" s="604"/>
      <c r="Q861" s="604"/>
      <c r="R861" s="604"/>
      <c r="S861" s="317"/>
      <c r="T861" s="604"/>
      <c r="U861" s="317"/>
      <c r="V861" s="694"/>
      <c r="W861" s="694"/>
      <c r="X861" s="694"/>
      <c r="Y861" s="694"/>
      <c r="Z861" s="694"/>
      <c r="AA861" s="317"/>
      <c r="AB861" s="694"/>
      <c r="AC861" s="604"/>
      <c r="AD861" s="604"/>
      <c r="AE861" s="604"/>
    </row>
    <row r="862" spans="1:31">
      <c r="A862" s="604"/>
      <c r="B862" s="604"/>
      <c r="C862" s="604"/>
      <c r="D862" s="604"/>
      <c r="E862" s="604"/>
      <c r="F862" s="604"/>
      <c r="G862" s="604"/>
      <c r="H862" s="604"/>
      <c r="I862" s="604"/>
      <c r="J862" s="604"/>
      <c r="K862" s="604"/>
      <c r="L862" s="604"/>
      <c r="M862" s="604"/>
      <c r="N862" s="604"/>
      <c r="O862" s="604"/>
      <c r="P862" s="604"/>
      <c r="Q862" s="604"/>
      <c r="R862" s="604"/>
      <c r="S862" s="317"/>
      <c r="T862" s="604"/>
      <c r="U862" s="317"/>
      <c r="V862" s="694"/>
      <c r="W862" s="694"/>
      <c r="X862" s="694"/>
      <c r="Y862" s="694"/>
      <c r="Z862" s="694"/>
      <c r="AA862" s="317"/>
      <c r="AB862" s="694"/>
      <c r="AC862" s="604"/>
      <c r="AD862" s="604"/>
      <c r="AE862" s="604"/>
    </row>
    <row r="863" spans="1:31">
      <c r="A863" s="604"/>
      <c r="B863" s="604"/>
      <c r="C863" s="604"/>
      <c r="D863" s="604"/>
      <c r="E863" s="604"/>
      <c r="F863" s="604"/>
      <c r="G863" s="604"/>
      <c r="H863" s="604"/>
      <c r="I863" s="604"/>
      <c r="J863" s="604"/>
      <c r="K863" s="604"/>
      <c r="L863" s="604"/>
      <c r="M863" s="604"/>
      <c r="N863" s="604"/>
      <c r="O863" s="604"/>
      <c r="P863" s="604"/>
      <c r="Q863" s="604"/>
      <c r="R863" s="604"/>
      <c r="S863" s="317"/>
      <c r="T863" s="604"/>
      <c r="U863" s="317"/>
      <c r="V863" s="694"/>
      <c r="W863" s="694"/>
      <c r="X863" s="694"/>
      <c r="Y863" s="694"/>
      <c r="Z863" s="694"/>
      <c r="AA863" s="317"/>
      <c r="AB863" s="694"/>
      <c r="AC863" s="604"/>
      <c r="AD863" s="604"/>
      <c r="AE863" s="604"/>
    </row>
    <row r="864" spans="1:31">
      <c r="A864" s="604"/>
      <c r="B864" s="604"/>
      <c r="C864" s="604"/>
      <c r="D864" s="604"/>
      <c r="E864" s="604"/>
      <c r="F864" s="604"/>
      <c r="G864" s="604"/>
      <c r="H864" s="604"/>
      <c r="I864" s="604"/>
      <c r="J864" s="604"/>
      <c r="K864" s="604"/>
      <c r="L864" s="604"/>
      <c r="M864" s="604"/>
      <c r="N864" s="604"/>
      <c r="O864" s="604"/>
      <c r="P864" s="604"/>
      <c r="Q864" s="604"/>
      <c r="R864" s="604"/>
      <c r="S864" s="317"/>
      <c r="T864" s="604"/>
      <c r="U864" s="317"/>
      <c r="V864" s="694"/>
      <c r="W864" s="694"/>
      <c r="X864" s="694"/>
      <c r="Y864" s="694"/>
      <c r="Z864" s="694"/>
      <c r="AA864" s="317"/>
      <c r="AB864" s="694"/>
      <c r="AC864" s="604"/>
      <c r="AD864" s="604"/>
      <c r="AE864" s="604"/>
    </row>
    <row r="865" spans="1:31">
      <c r="A865" s="604"/>
      <c r="B865" s="604"/>
      <c r="C865" s="604"/>
      <c r="D865" s="604"/>
      <c r="E865" s="604"/>
      <c r="F865" s="604"/>
      <c r="G865" s="604"/>
      <c r="H865" s="604"/>
      <c r="I865" s="604"/>
      <c r="J865" s="604"/>
      <c r="K865" s="604"/>
      <c r="L865" s="604"/>
      <c r="M865" s="604"/>
      <c r="N865" s="604"/>
      <c r="O865" s="604"/>
      <c r="P865" s="604"/>
      <c r="Q865" s="604"/>
      <c r="R865" s="604"/>
      <c r="S865" s="317"/>
      <c r="T865" s="604"/>
      <c r="U865" s="317"/>
      <c r="V865" s="694"/>
      <c r="W865" s="694"/>
      <c r="X865" s="694"/>
      <c r="Y865" s="694"/>
      <c r="Z865" s="694"/>
      <c r="AA865" s="317"/>
      <c r="AB865" s="694"/>
      <c r="AC865" s="604"/>
      <c r="AD865" s="604"/>
      <c r="AE865" s="604"/>
    </row>
    <row r="866" spans="1:31">
      <c r="A866" s="604"/>
      <c r="B866" s="604"/>
      <c r="C866" s="604"/>
      <c r="D866" s="604"/>
      <c r="E866" s="604"/>
      <c r="F866" s="604"/>
      <c r="G866" s="604"/>
      <c r="H866" s="604"/>
      <c r="I866" s="604"/>
      <c r="J866" s="604"/>
      <c r="K866" s="604"/>
      <c r="L866" s="604"/>
      <c r="M866" s="604"/>
      <c r="N866" s="604"/>
      <c r="O866" s="604"/>
      <c r="P866" s="604"/>
      <c r="Q866" s="604"/>
      <c r="R866" s="604"/>
      <c r="S866" s="317"/>
      <c r="T866" s="604"/>
      <c r="U866" s="317"/>
      <c r="V866" s="694"/>
      <c r="W866" s="694"/>
      <c r="X866" s="694"/>
      <c r="Y866" s="694"/>
      <c r="Z866" s="694"/>
      <c r="AA866" s="317"/>
      <c r="AB866" s="694"/>
      <c r="AC866" s="604"/>
      <c r="AD866" s="604"/>
      <c r="AE866" s="604"/>
    </row>
    <row r="867" spans="1:31">
      <c r="A867" s="604"/>
      <c r="B867" s="604"/>
      <c r="C867" s="604"/>
      <c r="D867" s="604"/>
      <c r="E867" s="604"/>
      <c r="F867" s="604"/>
      <c r="G867" s="604"/>
      <c r="H867" s="604"/>
      <c r="I867" s="604"/>
      <c r="J867" s="604"/>
      <c r="K867" s="604"/>
      <c r="L867" s="604"/>
      <c r="M867" s="604"/>
      <c r="N867" s="604"/>
      <c r="O867" s="604"/>
      <c r="P867" s="604"/>
      <c r="Q867" s="604"/>
      <c r="R867" s="604"/>
      <c r="S867" s="317"/>
      <c r="T867" s="604"/>
      <c r="U867" s="317"/>
      <c r="V867" s="694"/>
      <c r="W867" s="694"/>
      <c r="X867" s="694"/>
      <c r="Y867" s="694"/>
      <c r="Z867" s="694"/>
      <c r="AA867" s="317"/>
      <c r="AB867" s="694"/>
      <c r="AC867" s="604"/>
      <c r="AD867" s="604"/>
      <c r="AE867" s="604"/>
    </row>
    <row r="868" spans="1:31">
      <c r="A868" s="604"/>
      <c r="B868" s="604"/>
      <c r="C868" s="604"/>
      <c r="D868" s="604"/>
      <c r="E868" s="604"/>
      <c r="F868" s="604"/>
      <c r="G868" s="604"/>
      <c r="H868" s="604"/>
      <c r="I868" s="604"/>
      <c r="J868" s="604"/>
      <c r="K868" s="604"/>
      <c r="L868" s="604"/>
      <c r="M868" s="604"/>
      <c r="N868" s="604"/>
      <c r="O868" s="604"/>
      <c r="P868" s="604"/>
      <c r="Q868" s="604"/>
      <c r="R868" s="604"/>
      <c r="S868" s="317"/>
      <c r="T868" s="604"/>
      <c r="U868" s="317"/>
      <c r="V868" s="694"/>
      <c r="W868" s="694"/>
      <c r="X868" s="694"/>
      <c r="Y868" s="694"/>
      <c r="Z868" s="694"/>
      <c r="AA868" s="317"/>
      <c r="AB868" s="694"/>
      <c r="AC868" s="604"/>
      <c r="AD868" s="604"/>
      <c r="AE868" s="604"/>
    </row>
    <row r="869" spans="1:31">
      <c r="A869" s="604"/>
      <c r="B869" s="604"/>
      <c r="C869" s="604"/>
      <c r="D869" s="604"/>
      <c r="E869" s="604"/>
      <c r="F869" s="604"/>
      <c r="G869" s="604"/>
      <c r="H869" s="604"/>
      <c r="I869" s="604"/>
      <c r="J869" s="604"/>
      <c r="K869" s="604"/>
      <c r="L869" s="604"/>
      <c r="M869" s="604"/>
      <c r="N869" s="604"/>
      <c r="O869" s="604"/>
      <c r="P869" s="604"/>
      <c r="Q869" s="604"/>
      <c r="R869" s="604"/>
      <c r="S869" s="317"/>
      <c r="T869" s="604"/>
      <c r="U869" s="317"/>
      <c r="V869" s="694"/>
      <c r="W869" s="694"/>
      <c r="X869" s="694"/>
      <c r="Y869" s="694"/>
      <c r="Z869" s="694"/>
      <c r="AA869" s="317"/>
      <c r="AB869" s="694"/>
      <c r="AC869" s="604"/>
      <c r="AD869" s="604"/>
      <c r="AE869" s="604"/>
    </row>
    <row r="870" spans="1:31">
      <c r="A870" s="604"/>
      <c r="B870" s="604"/>
      <c r="C870" s="604"/>
      <c r="D870" s="604"/>
      <c r="E870" s="604"/>
      <c r="F870" s="604"/>
      <c r="G870" s="604"/>
      <c r="H870" s="604"/>
      <c r="I870" s="604"/>
      <c r="J870" s="604"/>
      <c r="K870" s="604"/>
      <c r="L870" s="604"/>
      <c r="M870" s="604"/>
      <c r="N870" s="604"/>
      <c r="O870" s="604"/>
      <c r="P870" s="604"/>
      <c r="Q870" s="604"/>
      <c r="R870" s="604"/>
      <c r="S870" s="317"/>
      <c r="T870" s="604"/>
      <c r="U870" s="317"/>
      <c r="V870" s="694"/>
      <c r="W870" s="694"/>
      <c r="X870" s="694"/>
      <c r="Y870" s="694"/>
      <c r="Z870" s="694"/>
      <c r="AA870" s="317"/>
      <c r="AB870" s="694"/>
      <c r="AC870" s="604"/>
      <c r="AD870" s="604"/>
      <c r="AE870" s="604"/>
    </row>
    <row r="871" spans="1:31">
      <c r="A871" s="604"/>
      <c r="B871" s="604"/>
      <c r="C871" s="604"/>
      <c r="D871" s="604"/>
      <c r="E871" s="604"/>
      <c r="F871" s="604"/>
      <c r="G871" s="604"/>
      <c r="H871" s="604"/>
      <c r="I871" s="604"/>
      <c r="J871" s="604"/>
      <c r="K871" s="604"/>
      <c r="L871" s="604"/>
      <c r="M871" s="604"/>
      <c r="N871" s="604"/>
      <c r="O871" s="604"/>
      <c r="P871" s="604"/>
      <c r="Q871" s="604"/>
      <c r="R871" s="604"/>
      <c r="S871" s="317"/>
      <c r="T871" s="604"/>
      <c r="U871" s="317"/>
      <c r="V871" s="694"/>
      <c r="W871" s="694"/>
      <c r="X871" s="694"/>
      <c r="Y871" s="694"/>
      <c r="Z871" s="694"/>
      <c r="AA871" s="317"/>
      <c r="AB871" s="694"/>
      <c r="AC871" s="604"/>
      <c r="AD871" s="604"/>
      <c r="AE871" s="604"/>
    </row>
    <row r="872" spans="1:31">
      <c r="A872" s="604"/>
      <c r="B872" s="604"/>
      <c r="C872" s="604"/>
      <c r="D872" s="604"/>
      <c r="E872" s="604"/>
      <c r="F872" s="604"/>
      <c r="G872" s="604"/>
      <c r="H872" s="604"/>
      <c r="I872" s="604"/>
      <c r="J872" s="604"/>
      <c r="K872" s="604"/>
      <c r="L872" s="604"/>
      <c r="M872" s="604"/>
      <c r="N872" s="604"/>
      <c r="O872" s="604"/>
      <c r="P872" s="604"/>
      <c r="Q872" s="604"/>
      <c r="R872" s="604"/>
      <c r="S872" s="317"/>
      <c r="T872" s="604"/>
      <c r="U872" s="317"/>
      <c r="V872" s="694"/>
      <c r="W872" s="694"/>
      <c r="X872" s="694"/>
      <c r="Y872" s="694"/>
      <c r="Z872" s="694"/>
      <c r="AA872" s="317"/>
      <c r="AB872" s="694"/>
      <c r="AC872" s="604"/>
      <c r="AD872" s="604"/>
      <c r="AE872" s="604"/>
    </row>
    <row r="873" spans="1:31">
      <c r="A873" s="604"/>
      <c r="B873" s="604"/>
      <c r="C873" s="604"/>
      <c r="D873" s="604"/>
      <c r="E873" s="604"/>
      <c r="F873" s="604"/>
      <c r="G873" s="604"/>
      <c r="H873" s="604"/>
      <c r="I873" s="604"/>
      <c r="J873" s="604"/>
      <c r="K873" s="604"/>
      <c r="L873" s="604"/>
      <c r="M873" s="604"/>
      <c r="N873" s="604"/>
      <c r="O873" s="604"/>
      <c r="P873" s="604"/>
      <c r="Q873" s="604"/>
      <c r="R873" s="604"/>
      <c r="S873" s="317"/>
      <c r="T873" s="604"/>
      <c r="U873" s="317"/>
      <c r="V873" s="694"/>
      <c r="W873" s="694"/>
      <c r="X873" s="694"/>
      <c r="Y873" s="694"/>
      <c r="Z873" s="694"/>
      <c r="AA873" s="317"/>
      <c r="AB873" s="694"/>
      <c r="AC873" s="604"/>
      <c r="AD873" s="604"/>
      <c r="AE873" s="604"/>
    </row>
    <row r="874" spans="1:31">
      <c r="A874" s="604"/>
      <c r="B874" s="604"/>
      <c r="C874" s="604"/>
      <c r="D874" s="604"/>
      <c r="E874" s="604"/>
      <c r="F874" s="604"/>
      <c r="G874" s="604"/>
      <c r="H874" s="604"/>
      <c r="I874" s="604"/>
      <c r="J874" s="604"/>
      <c r="K874" s="604"/>
      <c r="L874" s="604"/>
      <c r="M874" s="604"/>
      <c r="N874" s="604"/>
      <c r="O874" s="604"/>
      <c r="P874" s="604"/>
      <c r="Q874" s="604"/>
      <c r="R874" s="604"/>
      <c r="S874" s="317"/>
      <c r="T874" s="604"/>
      <c r="U874" s="317"/>
      <c r="V874" s="694"/>
      <c r="W874" s="694"/>
      <c r="X874" s="694"/>
      <c r="Y874" s="694"/>
      <c r="Z874" s="694"/>
      <c r="AA874" s="317"/>
      <c r="AB874" s="694"/>
      <c r="AC874" s="604"/>
      <c r="AD874" s="604"/>
      <c r="AE874" s="604"/>
    </row>
    <row r="875" spans="1:31">
      <c r="A875" s="604"/>
      <c r="B875" s="604"/>
      <c r="C875" s="604"/>
      <c r="D875" s="604"/>
      <c r="E875" s="604"/>
      <c r="F875" s="604"/>
      <c r="G875" s="604"/>
      <c r="H875" s="604"/>
      <c r="I875" s="604"/>
      <c r="J875" s="604"/>
      <c r="K875" s="604"/>
      <c r="L875" s="604"/>
      <c r="M875" s="604"/>
      <c r="N875" s="604"/>
      <c r="O875" s="604"/>
      <c r="P875" s="604"/>
      <c r="Q875" s="604"/>
      <c r="R875" s="604"/>
      <c r="S875" s="317"/>
      <c r="T875" s="604"/>
      <c r="U875" s="317"/>
      <c r="V875" s="694"/>
      <c r="W875" s="694"/>
      <c r="X875" s="694"/>
      <c r="Y875" s="694"/>
      <c r="Z875" s="694"/>
      <c r="AA875" s="317"/>
      <c r="AB875" s="694"/>
      <c r="AC875" s="604"/>
      <c r="AD875" s="604"/>
      <c r="AE875" s="604"/>
    </row>
    <row r="876" spans="1:31">
      <c r="A876" s="604"/>
      <c r="B876" s="604"/>
      <c r="C876" s="604"/>
      <c r="D876" s="604"/>
      <c r="E876" s="604"/>
      <c r="F876" s="604"/>
      <c r="G876" s="604"/>
      <c r="H876" s="604"/>
      <c r="I876" s="604"/>
      <c r="J876" s="604"/>
      <c r="K876" s="604"/>
      <c r="L876" s="604"/>
      <c r="M876" s="604"/>
      <c r="N876" s="604"/>
      <c r="O876" s="604"/>
      <c r="P876" s="604"/>
      <c r="Q876" s="604"/>
      <c r="R876" s="604"/>
      <c r="S876" s="317"/>
      <c r="T876" s="604"/>
      <c r="U876" s="317"/>
      <c r="V876" s="694"/>
      <c r="W876" s="694"/>
      <c r="X876" s="694"/>
      <c r="Y876" s="694"/>
      <c r="Z876" s="694"/>
      <c r="AA876" s="317"/>
      <c r="AB876" s="694"/>
      <c r="AC876" s="604"/>
      <c r="AD876" s="604"/>
      <c r="AE876" s="604"/>
    </row>
    <row r="877" spans="1:31">
      <c r="A877" s="604"/>
      <c r="B877" s="604"/>
      <c r="C877" s="604"/>
      <c r="D877" s="604"/>
      <c r="E877" s="604"/>
      <c r="F877" s="604"/>
      <c r="G877" s="604"/>
      <c r="H877" s="604"/>
      <c r="I877" s="604"/>
      <c r="J877" s="604"/>
      <c r="K877" s="604"/>
      <c r="L877" s="604"/>
      <c r="M877" s="604"/>
      <c r="N877" s="604"/>
      <c r="O877" s="604"/>
      <c r="P877" s="604"/>
      <c r="Q877" s="604"/>
      <c r="R877" s="604"/>
      <c r="S877" s="317"/>
      <c r="T877" s="604"/>
      <c r="U877" s="317"/>
      <c r="V877" s="694"/>
      <c r="W877" s="694"/>
      <c r="X877" s="694"/>
      <c r="Y877" s="694"/>
      <c r="Z877" s="694"/>
      <c r="AA877" s="317"/>
      <c r="AB877" s="694"/>
      <c r="AC877" s="604"/>
      <c r="AD877" s="604"/>
      <c r="AE877" s="604"/>
    </row>
    <row r="878" spans="1:31">
      <c r="A878" s="604"/>
      <c r="B878" s="604"/>
      <c r="C878" s="604"/>
      <c r="D878" s="604"/>
      <c r="E878" s="604"/>
      <c r="F878" s="604"/>
      <c r="G878" s="604"/>
      <c r="H878" s="604"/>
      <c r="I878" s="604"/>
      <c r="J878" s="604"/>
      <c r="K878" s="604"/>
      <c r="L878" s="604"/>
      <c r="M878" s="604"/>
      <c r="N878" s="604"/>
      <c r="O878" s="604"/>
      <c r="P878" s="604"/>
      <c r="Q878" s="604"/>
      <c r="R878" s="604"/>
      <c r="S878" s="317"/>
      <c r="T878" s="604"/>
      <c r="U878" s="317"/>
      <c r="V878" s="694"/>
      <c r="W878" s="694"/>
      <c r="X878" s="694"/>
      <c r="Y878" s="694"/>
      <c r="Z878" s="694"/>
      <c r="AA878" s="317"/>
      <c r="AB878" s="694"/>
      <c r="AC878" s="604"/>
      <c r="AD878" s="604"/>
      <c r="AE878" s="604"/>
    </row>
    <row r="879" spans="1:31">
      <c r="A879" s="604"/>
      <c r="B879" s="604"/>
      <c r="C879" s="604"/>
      <c r="D879" s="604"/>
      <c r="E879" s="604"/>
      <c r="F879" s="604"/>
      <c r="G879" s="604"/>
      <c r="H879" s="604"/>
      <c r="I879" s="604"/>
      <c r="J879" s="604"/>
      <c r="K879" s="604"/>
      <c r="L879" s="604"/>
      <c r="M879" s="604"/>
      <c r="N879" s="604"/>
      <c r="O879" s="604"/>
      <c r="P879" s="604"/>
      <c r="Q879" s="604"/>
      <c r="R879" s="604"/>
      <c r="S879" s="317"/>
      <c r="T879" s="604"/>
      <c r="U879" s="317"/>
      <c r="V879" s="694"/>
      <c r="W879" s="694"/>
      <c r="X879" s="694"/>
      <c r="Y879" s="694"/>
      <c r="Z879" s="694"/>
      <c r="AA879" s="317"/>
      <c r="AB879" s="694"/>
      <c r="AC879" s="604"/>
      <c r="AD879" s="604"/>
      <c r="AE879" s="604"/>
    </row>
    <row r="880" spans="1:31">
      <c r="A880" s="604"/>
      <c r="B880" s="604"/>
      <c r="C880" s="604"/>
      <c r="D880" s="604"/>
      <c r="E880" s="604"/>
      <c r="F880" s="604"/>
      <c r="G880" s="604"/>
      <c r="H880" s="604"/>
      <c r="I880" s="604"/>
      <c r="J880" s="604"/>
      <c r="K880" s="604"/>
      <c r="L880" s="604"/>
      <c r="M880" s="604"/>
      <c r="N880" s="604"/>
      <c r="O880" s="604"/>
      <c r="P880" s="604"/>
      <c r="Q880" s="604"/>
      <c r="R880" s="604"/>
      <c r="S880" s="317"/>
      <c r="T880" s="604"/>
      <c r="U880" s="317"/>
      <c r="V880" s="694"/>
      <c r="W880" s="694"/>
      <c r="X880" s="694"/>
      <c r="Y880" s="694"/>
      <c r="Z880" s="694"/>
      <c r="AA880" s="317"/>
      <c r="AB880" s="694"/>
      <c r="AC880" s="604"/>
      <c r="AD880" s="604"/>
      <c r="AE880" s="604"/>
    </row>
    <row r="881" spans="1:31">
      <c r="A881" s="604"/>
      <c r="B881" s="604"/>
      <c r="C881" s="604"/>
      <c r="D881" s="604"/>
      <c r="E881" s="604"/>
      <c r="F881" s="604"/>
      <c r="G881" s="604"/>
      <c r="H881" s="604"/>
      <c r="I881" s="604"/>
      <c r="J881" s="604"/>
      <c r="K881" s="604"/>
      <c r="L881" s="604"/>
      <c r="M881" s="604"/>
      <c r="N881" s="604"/>
      <c r="O881" s="604"/>
      <c r="P881" s="604"/>
      <c r="Q881" s="604"/>
      <c r="R881" s="604"/>
      <c r="S881" s="317"/>
      <c r="T881" s="604"/>
      <c r="U881" s="317"/>
      <c r="V881" s="694"/>
      <c r="W881" s="694"/>
      <c r="X881" s="694"/>
      <c r="Y881" s="694"/>
      <c r="Z881" s="694"/>
      <c r="AA881" s="317"/>
      <c r="AB881" s="694"/>
      <c r="AC881" s="604"/>
      <c r="AD881" s="604"/>
      <c r="AE881" s="604"/>
    </row>
    <row r="882" spans="1:31">
      <c r="A882" s="604"/>
      <c r="B882" s="604"/>
      <c r="C882" s="604"/>
      <c r="D882" s="604"/>
      <c r="E882" s="604"/>
      <c r="F882" s="604"/>
      <c r="G882" s="604"/>
      <c r="H882" s="604"/>
      <c r="I882" s="604"/>
      <c r="J882" s="604"/>
      <c r="K882" s="604"/>
      <c r="L882" s="604"/>
      <c r="M882" s="604"/>
      <c r="N882" s="604"/>
      <c r="O882" s="604"/>
      <c r="P882" s="604"/>
      <c r="Q882" s="604"/>
      <c r="R882" s="604"/>
      <c r="S882" s="317"/>
      <c r="T882" s="604"/>
      <c r="U882" s="317"/>
      <c r="V882" s="694"/>
      <c r="W882" s="694"/>
      <c r="X882" s="694"/>
      <c r="Y882" s="694"/>
      <c r="Z882" s="694"/>
      <c r="AA882" s="317"/>
      <c r="AB882" s="694"/>
      <c r="AC882" s="604"/>
      <c r="AD882" s="604"/>
      <c r="AE882" s="604"/>
    </row>
    <row r="883" spans="1:31">
      <c r="A883" s="604"/>
      <c r="B883" s="604"/>
      <c r="C883" s="604"/>
      <c r="D883" s="604"/>
      <c r="E883" s="604"/>
      <c r="F883" s="604"/>
      <c r="G883" s="604"/>
      <c r="H883" s="604"/>
      <c r="I883" s="604"/>
      <c r="J883" s="604"/>
      <c r="K883" s="604"/>
      <c r="L883" s="604"/>
      <c r="M883" s="604"/>
      <c r="N883" s="604"/>
      <c r="O883" s="604"/>
      <c r="P883" s="604"/>
      <c r="Q883" s="604"/>
      <c r="R883" s="604"/>
      <c r="S883" s="317"/>
      <c r="T883" s="604"/>
      <c r="U883" s="317"/>
      <c r="V883" s="694"/>
      <c r="W883" s="694"/>
      <c r="X883" s="694"/>
      <c r="Y883" s="694"/>
      <c r="Z883" s="694"/>
      <c r="AA883" s="317"/>
      <c r="AB883" s="694"/>
      <c r="AC883" s="604"/>
      <c r="AD883" s="604"/>
      <c r="AE883" s="604"/>
    </row>
    <row r="884" spans="1:31">
      <c r="A884" s="604"/>
      <c r="B884" s="604"/>
      <c r="C884" s="604"/>
      <c r="D884" s="604"/>
      <c r="E884" s="604"/>
      <c r="F884" s="604"/>
      <c r="G884" s="604"/>
      <c r="H884" s="604"/>
      <c r="I884" s="604"/>
      <c r="J884" s="604"/>
      <c r="K884" s="604"/>
      <c r="L884" s="604"/>
      <c r="M884" s="604"/>
      <c r="N884" s="604"/>
      <c r="O884" s="604"/>
      <c r="P884" s="604"/>
      <c r="Q884" s="604"/>
      <c r="R884" s="604"/>
      <c r="S884" s="317"/>
      <c r="T884" s="604"/>
      <c r="U884" s="317"/>
      <c r="V884" s="694"/>
      <c r="W884" s="694"/>
      <c r="X884" s="694"/>
      <c r="Y884" s="694"/>
      <c r="Z884" s="694"/>
      <c r="AA884" s="317"/>
      <c r="AB884" s="694"/>
      <c r="AC884" s="604"/>
      <c r="AD884" s="604"/>
      <c r="AE884" s="604"/>
    </row>
    <row r="885" spans="1:31">
      <c r="A885" s="604"/>
      <c r="B885" s="604"/>
      <c r="C885" s="604"/>
      <c r="D885" s="604"/>
      <c r="E885" s="604"/>
      <c r="F885" s="604"/>
      <c r="G885" s="604"/>
      <c r="H885" s="604"/>
      <c r="I885" s="604"/>
      <c r="J885" s="604"/>
      <c r="K885" s="604"/>
      <c r="L885" s="604"/>
      <c r="M885" s="604"/>
      <c r="N885" s="604"/>
      <c r="O885" s="604"/>
      <c r="P885" s="604"/>
      <c r="Q885" s="604"/>
      <c r="R885" s="604"/>
      <c r="S885" s="317"/>
      <c r="T885" s="604"/>
      <c r="U885" s="317"/>
      <c r="V885" s="694"/>
      <c r="W885" s="694"/>
      <c r="X885" s="694"/>
      <c r="Y885" s="694"/>
      <c r="Z885" s="694"/>
      <c r="AA885" s="317"/>
      <c r="AB885" s="694"/>
      <c r="AC885" s="604"/>
      <c r="AD885" s="604"/>
      <c r="AE885" s="604"/>
    </row>
    <row r="886" spans="1:31">
      <c r="A886" s="604"/>
      <c r="B886" s="604"/>
      <c r="C886" s="604"/>
      <c r="D886" s="604"/>
      <c r="E886" s="604"/>
      <c r="F886" s="604"/>
      <c r="G886" s="604"/>
      <c r="H886" s="604"/>
      <c r="I886" s="604"/>
      <c r="J886" s="604"/>
      <c r="K886" s="604"/>
      <c r="L886" s="604"/>
      <c r="M886" s="604"/>
      <c r="N886" s="604"/>
      <c r="O886" s="604"/>
      <c r="P886" s="604"/>
      <c r="Q886" s="604"/>
      <c r="R886" s="604"/>
      <c r="S886" s="317"/>
      <c r="T886" s="604"/>
      <c r="U886" s="317"/>
      <c r="V886" s="694"/>
      <c r="W886" s="694"/>
      <c r="X886" s="694"/>
      <c r="Y886" s="694"/>
      <c r="Z886" s="694"/>
      <c r="AA886" s="317"/>
      <c r="AB886" s="694"/>
      <c r="AC886" s="604"/>
      <c r="AD886" s="604"/>
      <c r="AE886" s="604"/>
    </row>
    <row r="887" spans="1:31">
      <c r="A887" s="604"/>
      <c r="B887" s="604"/>
      <c r="C887" s="604"/>
      <c r="D887" s="604"/>
      <c r="E887" s="604"/>
      <c r="F887" s="604"/>
      <c r="G887" s="604"/>
      <c r="H887" s="604"/>
      <c r="I887" s="604"/>
      <c r="J887" s="604"/>
      <c r="K887" s="604"/>
      <c r="L887" s="604"/>
      <c r="M887" s="604"/>
      <c r="N887" s="604"/>
      <c r="O887" s="604"/>
      <c r="P887" s="604"/>
      <c r="Q887" s="604"/>
      <c r="R887" s="604"/>
      <c r="S887" s="317"/>
      <c r="T887" s="604"/>
      <c r="U887" s="317"/>
      <c r="V887" s="694"/>
      <c r="W887" s="694"/>
      <c r="X887" s="694"/>
      <c r="Y887" s="694"/>
      <c r="Z887" s="694"/>
      <c r="AA887" s="317"/>
      <c r="AB887" s="694"/>
      <c r="AC887" s="604"/>
      <c r="AD887" s="604"/>
      <c r="AE887" s="604"/>
    </row>
    <row r="888" spans="1:31">
      <c r="A888" s="604"/>
      <c r="B888" s="604"/>
      <c r="C888" s="604"/>
      <c r="D888" s="604"/>
      <c r="E888" s="604"/>
      <c r="F888" s="604"/>
      <c r="G888" s="604"/>
      <c r="H888" s="604"/>
      <c r="I888" s="604"/>
      <c r="J888" s="604"/>
      <c r="K888" s="604"/>
      <c r="L888" s="604"/>
      <c r="M888" s="604"/>
      <c r="N888" s="604"/>
      <c r="O888" s="604"/>
      <c r="P888" s="604"/>
      <c r="Q888" s="604"/>
      <c r="R888" s="604"/>
      <c r="S888" s="317"/>
      <c r="T888" s="604"/>
      <c r="U888" s="317"/>
      <c r="V888" s="694"/>
      <c r="W888" s="694"/>
      <c r="X888" s="694"/>
      <c r="Y888" s="694"/>
      <c r="Z888" s="694"/>
      <c r="AA888" s="317"/>
      <c r="AB888" s="694"/>
      <c r="AC888" s="604"/>
      <c r="AD888" s="604"/>
      <c r="AE888" s="604"/>
    </row>
    <row r="889" spans="1:31">
      <c r="A889" s="604"/>
      <c r="B889" s="604"/>
      <c r="C889" s="604"/>
      <c r="D889" s="604"/>
      <c r="E889" s="604"/>
      <c r="F889" s="604"/>
      <c r="G889" s="604"/>
      <c r="H889" s="604"/>
      <c r="I889" s="604"/>
      <c r="J889" s="604"/>
      <c r="K889" s="604"/>
      <c r="L889" s="604"/>
      <c r="M889" s="604"/>
      <c r="N889" s="604"/>
      <c r="O889" s="604"/>
      <c r="P889" s="604"/>
      <c r="Q889" s="604"/>
      <c r="R889" s="604"/>
      <c r="S889" s="317"/>
      <c r="T889" s="604"/>
      <c r="U889" s="317"/>
      <c r="V889" s="694"/>
      <c r="W889" s="694"/>
      <c r="X889" s="694"/>
      <c r="Y889" s="694"/>
      <c r="Z889" s="694"/>
      <c r="AA889" s="317"/>
      <c r="AB889" s="694"/>
      <c r="AC889" s="604"/>
      <c r="AD889" s="604"/>
      <c r="AE889" s="604"/>
    </row>
    <row r="890" spans="1:31">
      <c r="A890" s="604"/>
      <c r="B890" s="604"/>
      <c r="C890" s="604"/>
      <c r="D890" s="604"/>
      <c r="E890" s="604"/>
      <c r="F890" s="604"/>
      <c r="G890" s="604"/>
      <c r="H890" s="604"/>
      <c r="I890" s="604"/>
      <c r="J890" s="604"/>
      <c r="K890" s="604"/>
      <c r="L890" s="604"/>
      <c r="M890" s="604"/>
      <c r="N890" s="604"/>
      <c r="O890" s="604"/>
      <c r="P890" s="604"/>
      <c r="Q890" s="604"/>
      <c r="R890" s="604"/>
      <c r="S890" s="317"/>
      <c r="T890" s="604"/>
      <c r="U890" s="317"/>
      <c r="V890" s="694"/>
      <c r="W890" s="694"/>
      <c r="X890" s="694"/>
      <c r="Y890" s="694"/>
      <c r="Z890" s="694"/>
      <c r="AA890" s="317"/>
      <c r="AB890" s="694"/>
      <c r="AC890" s="604"/>
      <c r="AD890" s="604"/>
      <c r="AE890" s="604"/>
    </row>
    <row r="891" spans="1:31">
      <c r="A891" s="604"/>
      <c r="B891" s="604"/>
      <c r="C891" s="604"/>
      <c r="D891" s="604"/>
      <c r="E891" s="604"/>
      <c r="F891" s="604"/>
      <c r="G891" s="604"/>
      <c r="H891" s="604"/>
      <c r="I891" s="604"/>
      <c r="J891" s="604"/>
      <c r="K891" s="604"/>
      <c r="L891" s="604"/>
      <c r="M891" s="604"/>
      <c r="N891" s="604"/>
      <c r="O891" s="604"/>
      <c r="P891" s="604"/>
      <c r="Q891" s="604"/>
      <c r="R891" s="604"/>
      <c r="S891" s="317"/>
      <c r="T891" s="604"/>
      <c r="U891" s="317"/>
      <c r="V891" s="694"/>
      <c r="W891" s="694"/>
      <c r="X891" s="694"/>
      <c r="Y891" s="694"/>
      <c r="Z891" s="694"/>
      <c r="AA891" s="317"/>
      <c r="AB891" s="694"/>
      <c r="AC891" s="604"/>
      <c r="AD891" s="604"/>
      <c r="AE891" s="604"/>
    </row>
    <row r="892" spans="1:31">
      <c r="A892" s="604"/>
      <c r="B892" s="604"/>
      <c r="C892" s="604"/>
      <c r="D892" s="604"/>
      <c r="E892" s="604"/>
      <c r="F892" s="604"/>
      <c r="G892" s="604"/>
      <c r="H892" s="604"/>
      <c r="I892" s="604"/>
      <c r="J892" s="604"/>
      <c r="K892" s="604"/>
      <c r="L892" s="604"/>
      <c r="M892" s="604"/>
      <c r="N892" s="604"/>
      <c r="O892" s="604"/>
      <c r="P892" s="604"/>
      <c r="Q892" s="604"/>
      <c r="R892" s="604"/>
      <c r="S892" s="317"/>
      <c r="T892" s="604"/>
      <c r="U892" s="317"/>
      <c r="V892" s="694"/>
      <c r="W892" s="694"/>
      <c r="X892" s="694"/>
      <c r="Y892" s="694"/>
      <c r="Z892" s="694"/>
      <c r="AA892" s="317"/>
      <c r="AB892" s="694"/>
      <c r="AC892" s="604"/>
      <c r="AD892" s="604"/>
      <c r="AE892" s="604"/>
    </row>
    <row r="893" spans="1:31">
      <c r="A893" s="604"/>
      <c r="B893" s="604"/>
      <c r="C893" s="604"/>
      <c r="D893" s="604"/>
      <c r="E893" s="604"/>
      <c r="F893" s="604"/>
      <c r="G893" s="604"/>
      <c r="H893" s="604"/>
      <c r="I893" s="604"/>
      <c r="J893" s="604"/>
      <c r="K893" s="604"/>
      <c r="L893" s="604"/>
      <c r="M893" s="604"/>
      <c r="N893" s="604"/>
      <c r="O893" s="604"/>
      <c r="P893" s="604"/>
      <c r="Q893" s="604"/>
      <c r="R893" s="604"/>
      <c r="S893" s="317"/>
      <c r="T893" s="604"/>
      <c r="U893" s="317"/>
      <c r="V893" s="694"/>
      <c r="W893" s="694"/>
      <c r="X893" s="694"/>
      <c r="Y893" s="694"/>
      <c r="Z893" s="694"/>
      <c r="AA893" s="317"/>
      <c r="AB893" s="694"/>
      <c r="AC893" s="604"/>
      <c r="AD893" s="604"/>
      <c r="AE893" s="604"/>
    </row>
    <row r="894" spans="1:31">
      <c r="A894" s="604"/>
      <c r="B894" s="604"/>
      <c r="C894" s="604"/>
      <c r="D894" s="604"/>
      <c r="E894" s="604"/>
      <c r="F894" s="604"/>
      <c r="G894" s="604"/>
      <c r="H894" s="604"/>
      <c r="I894" s="604"/>
      <c r="J894" s="604"/>
      <c r="K894" s="604"/>
      <c r="L894" s="604"/>
      <c r="M894" s="604"/>
      <c r="N894" s="604"/>
      <c r="O894" s="604"/>
      <c r="P894" s="604"/>
      <c r="Q894" s="604"/>
      <c r="R894" s="604"/>
      <c r="S894" s="317"/>
      <c r="T894" s="604"/>
      <c r="U894" s="317"/>
      <c r="V894" s="694"/>
      <c r="W894" s="694"/>
      <c r="X894" s="694"/>
      <c r="Y894" s="694"/>
      <c r="Z894" s="694"/>
      <c r="AA894" s="317"/>
      <c r="AB894" s="694"/>
      <c r="AC894" s="604"/>
      <c r="AD894" s="604"/>
      <c r="AE894" s="604"/>
    </row>
    <row r="895" spans="1:31">
      <c r="A895" s="604"/>
      <c r="B895" s="604"/>
      <c r="C895" s="604"/>
      <c r="D895" s="604"/>
      <c r="E895" s="604"/>
      <c r="F895" s="604"/>
      <c r="G895" s="604"/>
      <c r="H895" s="604"/>
      <c r="I895" s="604"/>
      <c r="J895" s="604"/>
      <c r="K895" s="604"/>
      <c r="L895" s="604"/>
      <c r="M895" s="604"/>
      <c r="N895" s="604"/>
      <c r="O895" s="604"/>
      <c r="P895" s="604"/>
      <c r="Q895" s="604"/>
      <c r="R895" s="604"/>
      <c r="S895" s="317"/>
      <c r="T895" s="604"/>
      <c r="U895" s="317"/>
      <c r="V895" s="694"/>
      <c r="W895" s="694"/>
      <c r="X895" s="694"/>
      <c r="Y895" s="694"/>
      <c r="Z895" s="694"/>
      <c r="AA895" s="317"/>
      <c r="AB895" s="694"/>
      <c r="AC895" s="604"/>
      <c r="AD895" s="604"/>
      <c r="AE895" s="604"/>
    </row>
    <row r="896" spans="1:31">
      <c r="A896" s="604"/>
      <c r="B896" s="604"/>
      <c r="C896" s="604"/>
      <c r="D896" s="604"/>
      <c r="E896" s="604"/>
      <c r="F896" s="604"/>
      <c r="G896" s="604"/>
      <c r="H896" s="604"/>
      <c r="I896" s="604"/>
      <c r="J896" s="604"/>
      <c r="K896" s="604"/>
      <c r="L896" s="604"/>
      <c r="M896" s="604"/>
      <c r="N896" s="604"/>
      <c r="O896" s="604"/>
      <c r="P896" s="604"/>
      <c r="Q896" s="604"/>
      <c r="R896" s="604"/>
      <c r="S896" s="317"/>
      <c r="T896" s="604"/>
      <c r="U896" s="317"/>
      <c r="V896" s="694"/>
      <c r="W896" s="694"/>
      <c r="X896" s="694"/>
      <c r="Y896" s="694"/>
      <c r="Z896" s="694"/>
      <c r="AA896" s="317"/>
      <c r="AB896" s="694"/>
      <c r="AC896" s="604"/>
      <c r="AD896" s="604"/>
      <c r="AE896" s="604"/>
    </row>
    <row r="897" spans="1:31">
      <c r="A897" s="604"/>
      <c r="B897" s="604"/>
      <c r="C897" s="604"/>
      <c r="D897" s="604"/>
      <c r="E897" s="604"/>
      <c r="F897" s="604"/>
      <c r="G897" s="604"/>
      <c r="H897" s="604"/>
      <c r="I897" s="604"/>
      <c r="J897" s="604"/>
      <c r="K897" s="604"/>
      <c r="L897" s="604"/>
      <c r="M897" s="604"/>
      <c r="N897" s="604"/>
      <c r="O897" s="604"/>
      <c r="P897" s="604"/>
      <c r="Q897" s="604"/>
      <c r="R897" s="604"/>
      <c r="S897" s="317"/>
      <c r="T897" s="604"/>
      <c r="U897" s="317"/>
      <c r="V897" s="694"/>
      <c r="W897" s="694"/>
      <c r="X897" s="694"/>
      <c r="Y897" s="694"/>
      <c r="Z897" s="694"/>
      <c r="AA897" s="317"/>
      <c r="AB897" s="694"/>
      <c r="AC897" s="604"/>
      <c r="AD897" s="604"/>
      <c r="AE897" s="604"/>
    </row>
    <row r="898" spans="1:31">
      <c r="A898" s="604"/>
      <c r="B898" s="604"/>
      <c r="C898" s="604"/>
      <c r="D898" s="604"/>
      <c r="E898" s="604"/>
      <c r="F898" s="604"/>
      <c r="G898" s="604"/>
      <c r="H898" s="604"/>
      <c r="I898" s="604"/>
      <c r="J898" s="604"/>
      <c r="K898" s="604"/>
      <c r="L898" s="604"/>
      <c r="M898" s="604"/>
      <c r="N898" s="604"/>
      <c r="O898" s="604"/>
      <c r="P898" s="604"/>
      <c r="Q898" s="604"/>
      <c r="R898" s="604"/>
      <c r="S898" s="317"/>
      <c r="T898" s="604"/>
      <c r="U898" s="317"/>
      <c r="V898" s="694"/>
      <c r="W898" s="694"/>
      <c r="X898" s="694"/>
      <c r="Y898" s="694"/>
      <c r="Z898" s="694"/>
      <c r="AA898" s="317"/>
      <c r="AB898" s="694"/>
      <c r="AC898" s="604"/>
      <c r="AD898" s="604"/>
      <c r="AE898" s="604"/>
    </row>
    <row r="899" spans="1:31">
      <c r="A899" s="604"/>
      <c r="B899" s="604"/>
      <c r="C899" s="604"/>
      <c r="D899" s="604"/>
      <c r="E899" s="604"/>
      <c r="F899" s="604"/>
      <c r="G899" s="604"/>
      <c r="H899" s="604"/>
      <c r="I899" s="604"/>
      <c r="J899" s="604"/>
      <c r="K899" s="604"/>
      <c r="L899" s="604"/>
      <c r="M899" s="604"/>
      <c r="N899" s="604"/>
      <c r="O899" s="604"/>
      <c r="P899" s="604"/>
      <c r="Q899" s="604"/>
      <c r="R899" s="604"/>
      <c r="S899" s="317"/>
      <c r="T899" s="604"/>
      <c r="U899" s="317"/>
      <c r="V899" s="694"/>
      <c r="W899" s="694"/>
      <c r="X899" s="694"/>
      <c r="Y899" s="694"/>
      <c r="Z899" s="694"/>
      <c r="AA899" s="317"/>
      <c r="AB899" s="694"/>
      <c r="AC899" s="604"/>
      <c r="AD899" s="604"/>
      <c r="AE899" s="604"/>
    </row>
  </sheetData>
  <mergeCells count="2">
    <mergeCell ref="B11:B12"/>
    <mergeCell ref="D11:D12"/>
  </mergeCells>
  <phoneticPr fontId="141"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2D287-4862-43C9-92C4-4BDD8725F678}">
  <sheetPr codeName="Sheet78">
    <tabColor theme="5"/>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Rate Design ---&gt;</v>
      </c>
    </row>
    <row r="2" spans="1:13">
      <c r="B2" s="1850" t="s">
        <v>2598</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5C490-2955-41F2-B84B-4900E13ADE5B}">
  <sheetPr codeName="Sheet79">
    <tabColor theme="5"/>
  </sheetPr>
  <dimension ref="A1:J43"/>
  <sheetViews>
    <sheetView topLeftCell="A7" zoomScale="80" zoomScaleNormal="80" workbookViewId="0">
      <selection activeCell="F27" sqref="F27"/>
    </sheetView>
  </sheetViews>
  <sheetFormatPr defaultColWidth="8.88671875" defaultRowHeight="14.4"/>
  <cols>
    <col min="1" max="1" width="2.6640625" style="830" customWidth="1"/>
    <col min="2" max="2" width="29.88671875" style="830" customWidth="1"/>
    <col min="3" max="6" width="16.88671875" style="830" customWidth="1"/>
    <col min="7" max="7" width="2.6640625" style="830" customWidth="1"/>
    <col min="8" max="16384" width="8.88671875" style="830"/>
  </cols>
  <sheetData>
    <row r="1" spans="1:10">
      <c r="A1" s="849" t="s">
        <v>52</v>
      </c>
      <c r="G1" s="1331" t="s">
        <v>2452</v>
      </c>
      <c r="H1" s="830" t="s">
        <v>49</v>
      </c>
      <c r="J1" s="830" t="s">
        <v>49</v>
      </c>
    </row>
    <row r="2" spans="1:10">
      <c r="A2" s="849" t="s">
        <v>2453</v>
      </c>
      <c r="G2" s="1331" t="s">
        <v>2454</v>
      </c>
    </row>
    <row r="3" spans="1:10">
      <c r="A3" s="849" t="s">
        <v>2455</v>
      </c>
      <c r="G3" s="1332" t="s">
        <v>2456</v>
      </c>
    </row>
    <row r="4" spans="1:10">
      <c r="A4" s="849"/>
      <c r="G4" s="1332" t="s">
        <v>2457</v>
      </c>
    </row>
    <row r="5" spans="1:10" ht="5.25" customHeight="1" thickBot="1">
      <c r="A5" s="849"/>
      <c r="G5" s="1332"/>
    </row>
    <row r="6" spans="1:10">
      <c r="B6" s="1313"/>
      <c r="C6" s="1333" t="s">
        <v>67</v>
      </c>
      <c r="D6" s="1334"/>
      <c r="E6" s="1334"/>
      <c r="F6" s="1314"/>
    </row>
    <row r="7" spans="1:10" ht="15" thickBot="1">
      <c r="B7" s="1315" t="s">
        <v>2458</v>
      </c>
      <c r="C7" s="1335" t="s">
        <v>1089</v>
      </c>
      <c r="D7" s="1319" t="s">
        <v>2314</v>
      </c>
      <c r="E7" s="1319" t="s">
        <v>2459</v>
      </c>
      <c r="F7" s="1320" t="s">
        <v>2460</v>
      </c>
    </row>
    <row r="8" spans="1:10" ht="5.4" customHeight="1">
      <c r="B8" s="831"/>
      <c r="C8" s="832"/>
      <c r="D8" s="832"/>
      <c r="E8" s="832"/>
      <c r="F8" s="1336"/>
    </row>
    <row r="9" spans="1:10" ht="16.2">
      <c r="B9" s="821" t="s">
        <v>2461</v>
      </c>
      <c r="F9" s="1180"/>
    </row>
    <row r="10" spans="1:10">
      <c r="B10" s="840" t="s">
        <v>2462</v>
      </c>
      <c r="C10" s="827">
        <f>'Exh 18, Class Rates'!F9</f>
        <v>11721540</v>
      </c>
      <c r="D10" s="827">
        <f>'Exh 18, Class Rates'!I9</f>
        <v>11721540</v>
      </c>
      <c r="E10" s="827">
        <f>D10-C10</f>
        <v>0</v>
      </c>
      <c r="F10" s="1339">
        <f>IFERROR(E10/C10,"")</f>
        <v>0</v>
      </c>
    </row>
    <row r="11" spans="1:10">
      <c r="B11" s="840" t="s">
        <v>2463</v>
      </c>
      <c r="C11" s="899">
        <f>'Exh 18, Class Rates'!F10</f>
        <v>40936094.469999999</v>
      </c>
      <c r="D11" s="899">
        <f>'Exh 18, Class Rates'!I10</f>
        <v>40744183.43</v>
      </c>
      <c r="E11" s="899">
        <f>D11-C11</f>
        <v>-191911.03999999911</v>
      </c>
      <c r="F11" s="1339">
        <f>E11/C11</f>
        <v>-4.688064225097024E-3</v>
      </c>
    </row>
    <row r="12" spans="1:10" ht="16.8" thickBot="1">
      <c r="B12" s="1327" t="str">
        <f>"Total "&amp;RIGHT(B9,3)&amp;" Revenue"</f>
        <v>Total 503 Revenue</v>
      </c>
      <c r="C12" s="844">
        <f>SUM(C10:C11)</f>
        <v>52657634.469999999</v>
      </c>
      <c r="D12" s="844">
        <f>SUM(D10:D11)</f>
        <v>52465723.43</v>
      </c>
      <c r="E12" s="844">
        <f>ROUND(D12-C12,2)</f>
        <v>-191911.04000000001</v>
      </c>
      <c r="F12" s="1340">
        <f>E12/C12</f>
        <v>-3.6445055295701743E-3</v>
      </c>
    </row>
    <row r="13" spans="1:10" ht="5.4" customHeight="1">
      <c r="B13" s="831"/>
      <c r="C13" s="832"/>
      <c r="D13" s="832"/>
      <c r="E13" s="832"/>
      <c r="F13" s="1341"/>
    </row>
    <row r="14" spans="1:10" ht="16.2">
      <c r="B14" s="821" t="s">
        <v>2464</v>
      </c>
      <c r="F14" s="1342"/>
    </row>
    <row r="15" spans="1:10">
      <c r="B15" s="840" t="s">
        <v>2462</v>
      </c>
      <c r="C15" s="827">
        <f>'Exh 18, Class Rates'!F15</f>
        <v>4187508</v>
      </c>
      <c r="D15" s="827">
        <f>'Exh 18, Class Rates'!I15</f>
        <v>4187508</v>
      </c>
      <c r="E15" s="827">
        <f>D15-C15</f>
        <v>0</v>
      </c>
      <c r="F15" s="1339">
        <f>IFERROR(E15/C15,"")</f>
        <v>0</v>
      </c>
    </row>
    <row r="16" spans="1:10">
      <c r="B16" s="840" t="s">
        <v>2463</v>
      </c>
      <c r="C16" s="899">
        <f>'Exh 18, Class Rates'!F16</f>
        <v>24424893.670000002</v>
      </c>
      <c r="D16" s="899">
        <f>'Exh 18, Class Rates'!I16</f>
        <v>24310388.190000001</v>
      </c>
      <c r="E16" s="899">
        <f>D16-C16</f>
        <v>-114505.48000000045</v>
      </c>
      <c r="F16" s="1339">
        <f>E16/C16</f>
        <v>-4.68806462566682E-3</v>
      </c>
    </row>
    <row r="17" spans="2:6" ht="16.8" thickBot="1">
      <c r="B17" s="1327" t="str">
        <f>"Total "&amp;RIGHT(B14,3)&amp;" Revenue"</f>
        <v>Total 504 Revenue</v>
      </c>
      <c r="C17" s="844">
        <f>SUM(C15:C16)</f>
        <v>28612401.670000002</v>
      </c>
      <c r="D17" s="844">
        <f>SUM(D15:D16)</f>
        <v>28497896.190000001</v>
      </c>
      <c r="E17" s="844">
        <f>ROUND(D17-C17,2)</f>
        <v>-114505.48</v>
      </c>
      <c r="F17" s="1340">
        <f>E17/C17</f>
        <v>-4.0019527658196746E-3</v>
      </c>
    </row>
    <row r="18" spans="2:6" ht="5.4" customHeight="1">
      <c r="B18" s="831"/>
      <c r="C18" s="832"/>
      <c r="D18" s="832"/>
      <c r="E18" s="832"/>
      <c r="F18" s="1341"/>
    </row>
    <row r="19" spans="2:6" ht="16.2">
      <c r="B19" s="821" t="s">
        <v>2465</v>
      </c>
      <c r="F19" s="1342"/>
    </row>
    <row r="20" spans="2:6">
      <c r="B20" s="840" t="s">
        <v>2462</v>
      </c>
      <c r="C20" s="827">
        <f>'Exh 18, Class Rates'!F21</f>
        <v>351360</v>
      </c>
      <c r="D20" s="827">
        <f>'Exh 18, Class Rates'!I21</f>
        <v>351360</v>
      </c>
      <c r="E20" s="827">
        <f>D20-C20</f>
        <v>0</v>
      </c>
      <c r="F20" s="1339">
        <f>IFERROR(E20/C20,"")</f>
        <v>0</v>
      </c>
    </row>
    <row r="21" spans="2:6">
      <c r="B21" s="840" t="s">
        <v>2463</v>
      </c>
      <c r="C21" s="899">
        <f>SUM('Exh 18, Class Rates'!F22:F24)</f>
        <v>2229507.4500000002</v>
      </c>
      <c r="D21" s="899">
        <f>SUM('Exh 18, Class Rates'!I22:I24)</f>
        <v>2219055.38</v>
      </c>
      <c r="E21" s="899">
        <f>D21-C21</f>
        <v>-10452.070000000298</v>
      </c>
      <c r="F21" s="1339">
        <f>E21/C21</f>
        <v>-4.688062378979849E-3</v>
      </c>
    </row>
    <row r="22" spans="2:6" ht="16.8" thickBot="1">
      <c r="B22" s="1327" t="str">
        <f>"Total "&amp;RIGHT(B19,3)&amp;" Revenue"</f>
        <v>Total 505 Revenue</v>
      </c>
      <c r="C22" s="844">
        <f>SUM(C20:C21)</f>
        <v>2580867.4500000002</v>
      </c>
      <c r="D22" s="844">
        <f>SUM(D20:D21)</f>
        <v>2570415.38</v>
      </c>
      <c r="E22" s="844">
        <f>ROUND(D22-C22,2)</f>
        <v>-10452.07</v>
      </c>
      <c r="F22" s="1340">
        <f>E22/C22</f>
        <v>-4.0498282854472042E-3</v>
      </c>
    </row>
    <row r="23" spans="2:6" ht="5.4" customHeight="1">
      <c r="B23" s="831"/>
      <c r="C23" s="832"/>
      <c r="D23" s="832"/>
      <c r="E23" s="832"/>
      <c r="F23" s="1341"/>
    </row>
    <row r="24" spans="2:6" ht="16.2">
      <c r="B24" s="821" t="s">
        <v>2466</v>
      </c>
      <c r="F24" s="1342"/>
    </row>
    <row r="25" spans="2:6">
      <c r="B25" s="840" t="s">
        <v>2462</v>
      </c>
      <c r="C25" s="827">
        <f>'Exh 18, Class Rates'!F29</f>
        <v>135000</v>
      </c>
      <c r="D25" s="827">
        <f>'Exh 18, Class Rates'!I29</f>
        <v>135000</v>
      </c>
      <c r="E25" s="827">
        <f>D25-C25</f>
        <v>0</v>
      </c>
      <c r="F25" s="1339" t="s">
        <v>2467</v>
      </c>
    </row>
    <row r="26" spans="2:6">
      <c r="B26" s="840" t="s">
        <v>2463</v>
      </c>
      <c r="C26" s="899">
        <f>SUM('Exh 18, Class Rates'!F30:F32)</f>
        <v>2167281.1799999997</v>
      </c>
      <c r="D26" s="899">
        <f>SUM('Exh 18, Class Rates'!I30:I32)</f>
        <v>2157120.8199999998</v>
      </c>
      <c r="E26" s="899">
        <f>D26-C26</f>
        <v>-10160.35999999987</v>
      </c>
      <c r="F26" s="1339">
        <f>E26/C26</f>
        <v>-4.6880672862207344E-3</v>
      </c>
    </row>
    <row r="27" spans="2:6" ht="16.8" thickBot="1">
      <c r="B27" s="1327" t="str">
        <f>"Total "&amp;RIGHT(B24,3)&amp;" Revenue"</f>
        <v>Total 511 Revenue</v>
      </c>
      <c r="C27" s="844">
        <f>SUM(C25:C26)</f>
        <v>2302281.1799999997</v>
      </c>
      <c r="D27" s="844">
        <f>SUM(D25:D26)</f>
        <v>2292120.8199999998</v>
      </c>
      <c r="E27" s="844">
        <f>ROUND(D27-C27,2)</f>
        <v>-10160.36</v>
      </c>
      <c r="F27" s="1340">
        <f>E27/C27</f>
        <v>-4.4131707665698771E-3</v>
      </c>
    </row>
    <row r="28" spans="2:6" ht="5.4" customHeight="1">
      <c r="B28" s="831"/>
      <c r="C28" s="832"/>
      <c r="D28" s="832"/>
      <c r="E28" s="832"/>
      <c r="F28" s="1341"/>
    </row>
    <row r="29" spans="2:6" ht="16.2">
      <c r="B29" s="821" t="s">
        <v>2468</v>
      </c>
      <c r="F29" s="1342"/>
    </row>
    <row r="30" spans="2:6">
      <c r="B30" s="840" t="s">
        <v>2462</v>
      </c>
      <c r="C30" s="827">
        <f>'Exh 18, Class Rates'!F37</f>
        <v>1412500</v>
      </c>
      <c r="D30" s="827">
        <f>'Exh 18, Class Rates'!I37</f>
        <v>1412500</v>
      </c>
      <c r="E30" s="827">
        <f>D30-C30</f>
        <v>0</v>
      </c>
      <c r="F30" s="1339">
        <f>IFERROR(E30/C30,"")</f>
        <v>0</v>
      </c>
    </row>
    <row r="31" spans="2:6">
      <c r="B31" s="840" t="s">
        <v>2469</v>
      </c>
      <c r="C31" s="827">
        <f>'Exh 18, Class Rates'!F38</f>
        <v>6070830.4000000004</v>
      </c>
      <c r="D31" s="827">
        <f>'Exh 18, Class Rates'!I38</f>
        <v>6070830.4000000004</v>
      </c>
      <c r="E31" s="827">
        <f>D31-C31</f>
        <v>0</v>
      </c>
      <c r="F31" s="1339" t="s">
        <v>2467</v>
      </c>
    </row>
    <row r="32" spans="2:6">
      <c r="B32" s="840" t="s">
        <v>2463</v>
      </c>
      <c r="C32" s="899">
        <f>SUM('Exh 18, Class Rates'!F50:F51)</f>
        <v>145753.08000000002</v>
      </c>
      <c r="D32" s="899">
        <f>SUM('Exh 18, Class Rates'!I50:I51)</f>
        <v>145069.78</v>
      </c>
      <c r="E32" s="899">
        <f>D32-C32</f>
        <v>-683.30000000001746</v>
      </c>
      <c r="F32" s="1339">
        <f>E32/C32</f>
        <v>-4.6880655969672638E-3</v>
      </c>
    </row>
    <row r="33" spans="2:6" ht="16.8" thickBot="1">
      <c r="B33" s="1327" t="str">
        <f>"Total "&amp;RIGHT(B29,3)&amp;" Revenue"</f>
        <v>Total 570 Revenue</v>
      </c>
      <c r="C33" s="844">
        <f>SUM(C30:C32)</f>
        <v>7629083.4800000004</v>
      </c>
      <c r="D33" s="844">
        <f>SUM(D30:D32)</f>
        <v>7628400.1800000006</v>
      </c>
      <c r="E33" s="844">
        <f>ROUND(D33-C33,2)</f>
        <v>-683.3</v>
      </c>
      <c r="F33" s="1340">
        <f>E33/C33</f>
        <v>-8.9565149180934099E-5</v>
      </c>
    </row>
    <row r="34" spans="2:6" ht="16.2">
      <c r="B34" s="821" t="s">
        <v>2470</v>
      </c>
      <c r="F34" s="1342"/>
    </row>
    <row r="35" spans="2:6">
      <c r="B35" s="840" t="s">
        <v>2462</v>
      </c>
      <c r="C35" s="827">
        <f>'Exh 18, Class Rates'!$F$37</f>
        <v>1412500</v>
      </c>
      <c r="D35" s="827">
        <f>'Exh 18, Class Rates'!$I$37</f>
        <v>1412500</v>
      </c>
      <c r="E35" s="827">
        <f>D35-C35</f>
        <v>0</v>
      </c>
      <c r="F35" s="1339">
        <f>IFERROR(E35/C35,"")</f>
        <v>0</v>
      </c>
    </row>
    <row r="36" spans="2:6">
      <c r="B36" s="840" t="s">
        <v>2469</v>
      </c>
      <c r="C36" s="827">
        <f>'Exh 18, Class Rates'!$F$38</f>
        <v>6070830.4000000004</v>
      </c>
      <c r="D36" s="827">
        <f>'Exh 18, Class Rates'!$I$38</f>
        <v>6070830.4000000004</v>
      </c>
      <c r="E36" s="827">
        <f>D36-C36</f>
        <v>0</v>
      </c>
      <c r="F36" s="1339" t="s">
        <v>2467</v>
      </c>
    </row>
    <row r="37" spans="2:6">
      <c r="B37" s="840" t="s">
        <v>2463</v>
      </c>
      <c r="C37" s="899">
        <f>SUM('Exh 18, Class Rates'!F40:F43)</f>
        <v>13346954.9</v>
      </c>
      <c r="D37" s="899">
        <f>SUM('Exh 18, Class Rates'!I40:I43)</f>
        <v>13284383.529999999</v>
      </c>
      <c r="E37" s="827">
        <f>D37-C37</f>
        <v>-62571.370000001043</v>
      </c>
      <c r="F37" s="1339">
        <f>E37/C37</f>
        <v>-4.6880633424483242E-3</v>
      </c>
    </row>
    <row r="38" spans="2:6" ht="16.8" thickBot="1">
      <c r="B38" s="1327" t="str">
        <f>"Total "&amp;RIGHT(B34,3)&amp;" Revenue"</f>
        <v>Total 663 Revenue</v>
      </c>
      <c r="C38" s="844">
        <f>SUM(C35:C37)</f>
        <v>20830285.300000001</v>
      </c>
      <c r="D38" s="844">
        <f>SUM(D35:D37)</f>
        <v>20767713.93</v>
      </c>
      <c r="E38" s="844">
        <f>ROUND(D38-C38,2)</f>
        <v>-62571.37</v>
      </c>
      <c r="F38" s="1340">
        <f>E38/C38</f>
        <v>-3.003865242306595E-3</v>
      </c>
    </row>
    <row r="39" spans="2:6" ht="15" thickBot="1">
      <c r="B39" s="1337" t="s">
        <v>113</v>
      </c>
      <c r="C39" s="1338">
        <f>SUM(C12,C17,C22,C27,C33, C38)</f>
        <v>114612553.55000001</v>
      </c>
      <c r="D39" s="1338">
        <f>SUM(D12,D17,D22,D27,D33, D38)</f>
        <v>114222269.93000001</v>
      </c>
      <c r="E39" s="1338">
        <f>SUM(E12,E17,E22,E27,E33, E38)</f>
        <v>-390283.62</v>
      </c>
      <c r="F39" s="1220"/>
    </row>
    <row r="40" spans="2:6">
      <c r="D40" s="928"/>
      <c r="E40" s="928"/>
    </row>
    <row r="41" spans="2:6">
      <c r="D41" s="1200"/>
      <c r="E41" s="836">
        <f>E39/C39</f>
        <v>-3.4052432121210682E-3</v>
      </c>
    </row>
    <row r="43" spans="2:6">
      <c r="D43" s="836"/>
    </row>
  </sheetData>
  <printOptions horizontalCentered="1"/>
  <pageMargins left="0.7" right="0.7" top="0.5" bottom="0.5" header="0.3" footer="0.3"/>
  <pageSetup scale="85"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BE7E-9737-4E71-A9D2-5437C3580D2D}">
  <sheetPr codeName="Sheet80">
    <tabColor theme="5"/>
    <pageSetUpPr fitToPage="1"/>
  </sheetPr>
  <dimension ref="A1:AA57"/>
  <sheetViews>
    <sheetView zoomScale="80" zoomScaleNormal="80" workbookViewId="0">
      <selection activeCell="F27" sqref="F27"/>
    </sheetView>
  </sheetViews>
  <sheetFormatPr defaultColWidth="8.88671875" defaultRowHeight="14.4"/>
  <cols>
    <col min="1" max="1" width="8" style="1311" bestFit="1" customWidth="1"/>
    <col min="2" max="2" width="1.5546875" style="830" customWidth="1"/>
    <col min="3" max="3" width="35.5546875" style="830" bestFit="1" customWidth="1"/>
    <col min="4" max="4" width="13" style="830" customWidth="1"/>
    <col min="5" max="5" width="15.88671875" style="830" customWidth="1"/>
    <col min="6" max="6" width="14.5546875" style="830" bestFit="1" customWidth="1"/>
    <col min="7" max="7" width="14.5546875" style="899" customWidth="1"/>
    <col min="8" max="8" width="15.44140625" style="830" bestFit="1" customWidth="1"/>
    <col min="9" max="9" width="13.44140625" style="830" bestFit="1" customWidth="1"/>
    <col min="10" max="10" width="12.44140625" style="830" bestFit="1" customWidth="1"/>
    <col min="11" max="11" width="10.6640625" style="830" bestFit="1" customWidth="1"/>
    <col min="12" max="12" width="10" style="830" customWidth="1"/>
    <col min="13" max="13" width="16.109375" style="830" customWidth="1"/>
    <col min="14" max="14" width="30" style="830" customWidth="1"/>
    <col min="15" max="15" width="17.33203125" style="830" bestFit="1" customWidth="1"/>
    <col min="16" max="16" width="35.6640625" style="830" bestFit="1" customWidth="1"/>
    <col min="17" max="17" width="12.88671875" style="830" bestFit="1" customWidth="1"/>
    <col min="18" max="18" width="8.88671875" style="830"/>
    <col min="19" max="19" width="13" style="830" customWidth="1"/>
    <col min="20" max="20" width="14.5546875" style="830" bestFit="1" customWidth="1"/>
    <col min="21" max="21" width="13.44140625" style="830" bestFit="1" customWidth="1"/>
    <col min="22" max="23" width="11.88671875" style="830" bestFit="1" customWidth="1"/>
    <col min="24" max="24" width="13.33203125" style="830" bestFit="1" customWidth="1"/>
    <col min="25" max="25" width="11.88671875" style="830" bestFit="1" customWidth="1"/>
    <col min="26" max="26" width="14.5546875" style="830" bestFit="1" customWidth="1"/>
    <col min="27" max="27" width="12.88671875" style="830" bestFit="1" customWidth="1"/>
    <col min="28" max="16384" width="8.88671875" style="830"/>
  </cols>
  <sheetData>
    <row r="1" spans="2:27">
      <c r="B1" s="849" t="str">
        <f>'Exh 17, Class Revenue'!A1</f>
        <v>Cascade Natural Gas Corporation</v>
      </c>
      <c r="I1" s="830" t="s">
        <v>49</v>
      </c>
      <c r="K1" s="830" t="s">
        <v>49</v>
      </c>
      <c r="L1" s="847" t="s">
        <v>2471</v>
      </c>
    </row>
    <row r="2" spans="2:27">
      <c r="B2" s="849" t="str">
        <f>'Exh 17, Class Revenue'!A2</f>
        <v>Washington Jurisdiction</v>
      </c>
      <c r="L2" s="847" t="s">
        <v>2454</v>
      </c>
      <c r="P2" s="850"/>
      <c r="Q2" s="1312"/>
      <c r="S2" s="849"/>
    </row>
    <row r="3" spans="2:27">
      <c r="B3" s="849" t="str">
        <f>'Exh 17, Class Revenue'!A3</f>
        <v>Test Year Ended December 31, 2019</v>
      </c>
      <c r="L3" s="850" t="s">
        <v>2472</v>
      </c>
      <c r="M3" s="849"/>
      <c r="N3" s="849"/>
      <c r="P3" s="850"/>
      <c r="Q3" s="1312"/>
    </row>
    <row r="4" spans="2:27">
      <c r="B4" s="849"/>
      <c r="M4" s="899"/>
      <c r="N4" s="849"/>
      <c r="P4" s="850"/>
      <c r="Q4" s="836"/>
      <c r="T4" s="1200"/>
      <c r="U4" s="1200"/>
      <c r="V4" s="1200"/>
      <c r="W4" s="1200"/>
      <c r="X4" s="1200"/>
      <c r="Y4" s="1200"/>
      <c r="Z4" s="1200"/>
    </row>
    <row r="5" spans="2:27">
      <c r="C5" s="1545"/>
      <c r="D5" s="1973" t="s">
        <v>2473</v>
      </c>
      <c r="E5" s="1974"/>
      <c r="F5" s="1975"/>
      <c r="G5" s="1973" t="s">
        <v>2474</v>
      </c>
      <c r="H5" s="1974"/>
      <c r="I5" s="1975"/>
      <c r="J5" s="1546" t="s">
        <v>1807</v>
      </c>
      <c r="K5" s="1547"/>
      <c r="P5" s="850"/>
      <c r="Q5" s="1312"/>
      <c r="T5" s="1312"/>
      <c r="U5" s="1312"/>
      <c r="V5" s="1312"/>
      <c r="W5" s="1312"/>
      <c r="X5" s="1312"/>
      <c r="Y5" s="1312"/>
      <c r="Z5" s="1312"/>
      <c r="AA5" s="1312"/>
    </row>
    <row r="6" spans="2:27" ht="29.4" thickBot="1">
      <c r="C6" s="1548" t="s">
        <v>2458</v>
      </c>
      <c r="D6" s="1316" t="s">
        <v>2475</v>
      </c>
      <c r="E6" s="1317" t="s">
        <v>2476</v>
      </c>
      <c r="F6" s="1318" t="s">
        <v>704</v>
      </c>
      <c r="G6" s="1536" t="s">
        <v>2475</v>
      </c>
      <c r="H6" s="1319" t="s">
        <v>2477</v>
      </c>
      <c r="I6" s="1320" t="s">
        <v>704</v>
      </c>
      <c r="J6" s="1321" t="s">
        <v>2478</v>
      </c>
      <c r="K6" s="1319" t="s">
        <v>2479</v>
      </c>
      <c r="T6" s="928"/>
      <c r="U6" s="928"/>
      <c r="V6" s="928"/>
      <c r="W6" s="928"/>
      <c r="X6" s="928"/>
      <c r="Y6" s="928"/>
      <c r="Z6" s="928"/>
    </row>
    <row r="7" spans="2:27" ht="6.9" customHeight="1">
      <c r="C7" s="1549"/>
      <c r="D7" s="1550"/>
      <c r="E7" s="1550"/>
      <c r="F7" s="1550"/>
      <c r="G7" s="1535"/>
      <c r="H7" s="1550"/>
      <c r="I7" s="833"/>
      <c r="J7" s="1550"/>
      <c r="K7" s="1551"/>
    </row>
    <row r="8" spans="2:27" ht="16.2">
      <c r="C8" s="1552" t="s">
        <v>2461</v>
      </c>
      <c r="D8" s="1553"/>
      <c r="E8" s="1554"/>
      <c r="F8" s="1554"/>
      <c r="G8" s="1535"/>
      <c r="H8" s="1554"/>
      <c r="I8" s="835"/>
      <c r="J8" s="1554"/>
      <c r="K8" s="887"/>
      <c r="M8" s="859"/>
      <c r="N8" s="859"/>
      <c r="O8" s="841"/>
    </row>
    <row r="9" spans="2:27">
      <c r="C9" s="868" t="s">
        <v>2462</v>
      </c>
      <c r="D9" s="1555">
        <f>'Exh 2, Proof of Revenue'!AE7</f>
        <v>2344308</v>
      </c>
      <c r="E9" s="1556">
        <f>'Exh 2, Proof of Revenue'!L7</f>
        <v>5</v>
      </c>
      <c r="F9" s="1557">
        <f>ROUND(D9*E9,2)</f>
        <v>11721540</v>
      </c>
      <c r="G9" s="1535">
        <f>D9</f>
        <v>2344308</v>
      </c>
      <c r="H9" s="1558">
        <f>E9</f>
        <v>5</v>
      </c>
      <c r="I9" s="1322">
        <f>ROUND(G9*H9,2)</f>
        <v>11721540</v>
      </c>
      <c r="J9" s="1557">
        <f>I9-F9</f>
        <v>0</v>
      </c>
      <c r="K9" s="1574">
        <f>J9/F9</f>
        <v>0</v>
      </c>
      <c r="M9" s="838"/>
      <c r="N9" s="838"/>
      <c r="O9" s="841"/>
    </row>
    <row r="10" spans="2:27">
      <c r="C10" s="868" t="s">
        <v>2463</v>
      </c>
      <c r="D10" s="1555">
        <f>'Exh 2, Proof of Revenue'!AE13</f>
        <v>131741687.23064102</v>
      </c>
      <c r="E10" s="1559">
        <f>'Exh 2, Proof of Revenue'!L8</f>
        <v>0.31073000000000001</v>
      </c>
      <c r="F10" s="1557">
        <f>ROUND(D10*E10,2)</f>
        <v>40936094.469999999</v>
      </c>
      <c r="G10" s="1535">
        <f>D10</f>
        <v>131741687.23064102</v>
      </c>
      <c r="H10" s="1560">
        <f>'Exh 4, Revenue Distribution'!F7</f>
        <v>0.30927327776368324</v>
      </c>
      <c r="I10" s="1322">
        <f>ROUND(G10*H10,2)</f>
        <v>40744183.43</v>
      </c>
      <c r="J10" s="1557">
        <f>I10-F10</f>
        <v>-191911.03999999911</v>
      </c>
      <c r="K10" s="1574">
        <f>J10/F10</f>
        <v>-4.688064225097024E-3</v>
      </c>
      <c r="M10" s="1323"/>
    </row>
    <row r="11" spans="2:27" ht="16.8" thickBot="1">
      <c r="C11" s="1561" t="str">
        <f>"Total "&amp;RIGHT(C8,3)&amp;" Revenue"</f>
        <v>Total 503 Revenue</v>
      </c>
      <c r="D11" s="1562"/>
      <c r="E11" s="1562"/>
      <c r="F11" s="1324">
        <f>SUM(F9:F10)</f>
        <v>52657634.469999999</v>
      </c>
      <c r="G11" s="1537"/>
      <c r="H11" s="1563"/>
      <c r="I11" s="1325">
        <f>SUM(I9:I10)</f>
        <v>52465723.43</v>
      </c>
      <c r="J11" s="843">
        <f>SUM(J9:J10)</f>
        <v>-191911.03999999911</v>
      </c>
      <c r="K11" s="1574">
        <f>J11/F11</f>
        <v>-3.644505529570157E-3</v>
      </c>
      <c r="M11" s="827"/>
      <c r="O11" s="928"/>
    </row>
    <row r="12" spans="2:27" ht="6.9" customHeight="1" thickTop="1" thickBot="1">
      <c r="C12" s="1561"/>
      <c r="D12" s="1542"/>
      <c r="E12" s="1542"/>
      <c r="F12" s="1542"/>
      <c r="G12" s="1538"/>
      <c r="H12" s="844"/>
      <c r="I12" s="845"/>
      <c r="J12" s="1542"/>
      <c r="K12" s="1574"/>
    </row>
    <row r="13" spans="2:27" ht="8.1" customHeight="1">
      <c r="C13" s="1549"/>
      <c r="D13" s="1550"/>
      <c r="E13" s="1550"/>
      <c r="F13" s="1550"/>
      <c r="G13" s="1535"/>
      <c r="H13" s="1550"/>
      <c r="I13" s="833"/>
      <c r="J13" s="1550"/>
      <c r="K13" s="1575"/>
    </row>
    <row r="14" spans="2:27" ht="16.2">
      <c r="C14" s="1552" t="s">
        <v>2480</v>
      </c>
      <c r="D14" s="1553"/>
      <c r="E14" s="1554"/>
      <c r="F14" s="1554"/>
      <c r="G14" s="1535"/>
      <c r="H14" s="1554"/>
      <c r="I14" s="835"/>
      <c r="J14" s="1554"/>
      <c r="K14" s="1576"/>
      <c r="N14" s="838"/>
    </row>
    <row r="15" spans="2:27">
      <c r="C15" s="868" t="s">
        <v>2462</v>
      </c>
      <c r="D15" s="1555">
        <f>'Exh 2, Proof of Revenue'!AE43</f>
        <v>322116</v>
      </c>
      <c r="E15" s="1556">
        <f>'Exh 2, Proof of Revenue'!L43</f>
        <v>13</v>
      </c>
      <c r="F15" s="1557">
        <f>ROUND(D15*E15,2)</f>
        <v>4187508</v>
      </c>
      <c r="G15" s="1535">
        <f>D15</f>
        <v>322116</v>
      </c>
      <c r="H15" s="1558">
        <f>E15</f>
        <v>13</v>
      </c>
      <c r="I15" s="1322">
        <f>ROUND(G15*H15,2)</f>
        <v>4187508</v>
      </c>
      <c r="J15" s="1557">
        <f>I15-F15</f>
        <v>0</v>
      </c>
      <c r="K15" s="1574">
        <f>J15/F15</f>
        <v>0</v>
      </c>
    </row>
    <row r="16" spans="2:27">
      <c r="C16" s="868" t="s">
        <v>2463</v>
      </c>
      <c r="D16" s="1555">
        <f>'Exh 2, Proof of Revenue'!AE49</f>
        <v>93296003.311035588</v>
      </c>
      <c r="E16" s="1559">
        <f>'Exh 2, Proof of Revenue'!L44</f>
        <v>0.26179999999999998</v>
      </c>
      <c r="F16" s="1557">
        <f>ROUND(D16*E16,2)</f>
        <v>24424893.670000002</v>
      </c>
      <c r="G16" s="1535">
        <f>D16</f>
        <v>93296003.311035588</v>
      </c>
      <c r="H16" s="1560">
        <f>'Exh 4, Revenue Distribution'!F11</f>
        <v>0.26057266475246121</v>
      </c>
      <c r="I16" s="1322">
        <f>ROUND(G16*H16,2)</f>
        <v>24310388.190000001</v>
      </c>
      <c r="J16" s="1557">
        <f>I16-F16</f>
        <v>-114505.48000000045</v>
      </c>
      <c r="K16" s="1574">
        <f>J16/F16</f>
        <v>-4.68806462566682E-3</v>
      </c>
      <c r="M16" s="1323"/>
      <c r="N16" s="859"/>
    </row>
    <row r="17" spans="3:15" ht="16.8" thickBot="1">
      <c r="C17" s="1561" t="str">
        <f>"Total "&amp;RIGHT(C14,3)&amp;" Revenue"</f>
        <v>Total 504 Revenue</v>
      </c>
      <c r="D17" s="1562"/>
      <c r="E17" s="1562"/>
      <c r="F17" s="1324">
        <f>SUM(F15:F16)</f>
        <v>28612401.670000002</v>
      </c>
      <c r="G17" s="1537"/>
      <c r="H17" s="1563"/>
      <c r="I17" s="1325">
        <f>SUM(I15:I16)</f>
        <v>28497896.190000001</v>
      </c>
      <c r="J17" s="843">
        <f>SUM(J15:J16)</f>
        <v>-114505.48000000045</v>
      </c>
      <c r="K17" s="1574">
        <f>J17/F17</f>
        <v>-4.0019527658196911E-3</v>
      </c>
      <c r="M17" s="827"/>
      <c r="O17" s="928"/>
    </row>
    <row r="18" spans="3:15" ht="7.5" customHeight="1" thickTop="1" thickBot="1">
      <c r="C18" s="1561"/>
      <c r="D18" s="1542"/>
      <c r="E18" s="1542"/>
      <c r="F18" s="1542"/>
      <c r="G18" s="1538"/>
      <c r="H18" s="844"/>
      <c r="I18" s="845"/>
      <c r="J18" s="1542"/>
      <c r="K18" s="1574"/>
    </row>
    <row r="19" spans="3:15" ht="7.5" customHeight="1">
      <c r="C19" s="1549"/>
      <c r="D19" s="1550"/>
      <c r="E19" s="1550"/>
      <c r="F19" s="1550"/>
      <c r="G19" s="1535"/>
      <c r="H19" s="1550"/>
      <c r="I19" s="833"/>
      <c r="J19" s="1550"/>
      <c r="K19" s="1575"/>
    </row>
    <row r="20" spans="3:15" ht="16.2">
      <c r="C20" s="1552" t="s">
        <v>2481</v>
      </c>
      <c r="D20" s="1553"/>
      <c r="E20" s="1554"/>
      <c r="F20" s="1554"/>
      <c r="G20" s="1535"/>
      <c r="H20" s="1554"/>
      <c r="I20" s="835"/>
      <c r="J20" s="1554"/>
      <c r="K20" s="1576"/>
    </row>
    <row r="21" spans="3:15">
      <c r="C21" s="868" t="s">
        <v>2462</v>
      </c>
      <c r="D21" s="1555">
        <f>'Exh 2, Proof of Revenue'!AE80</f>
        <v>5856</v>
      </c>
      <c r="E21" s="1556">
        <f>'Exh 2, Proof of Revenue'!L80</f>
        <v>60</v>
      </c>
      <c r="F21" s="1557">
        <f>ROUND(D21*E21,2)</f>
        <v>351360</v>
      </c>
      <c r="G21" s="1535">
        <f>D21</f>
        <v>5856</v>
      </c>
      <c r="H21" s="1558">
        <f>E21</f>
        <v>60</v>
      </c>
      <c r="I21" s="1322">
        <f>ROUND(G21*H21,2)</f>
        <v>351360</v>
      </c>
      <c r="J21" s="1557">
        <f>I21-F21</f>
        <v>0</v>
      </c>
      <c r="K21" s="1574">
        <f>J21/F21</f>
        <v>0</v>
      </c>
    </row>
    <row r="22" spans="3:15">
      <c r="C22" s="868" t="s">
        <v>2482</v>
      </c>
      <c r="D22" s="1555">
        <f>'Exh 2, Proof of Revenue'!AE81</f>
        <v>1796054.322900241</v>
      </c>
      <c r="E22" s="1559">
        <f>'Exh 2, Proof of Revenue'!L81</f>
        <v>0.20175999999999999</v>
      </c>
      <c r="F22" s="1557">
        <f>ROUND(D22*E22,2)</f>
        <v>362371.92</v>
      </c>
      <c r="G22" s="1535">
        <f>D22</f>
        <v>1796054.322900241</v>
      </c>
      <c r="H22" s="1560">
        <f>'Exh 4, Revenue Distribution'!F15</f>
        <v>0.20081413613619778</v>
      </c>
      <c r="I22" s="1322">
        <f>ROUND(G22*H22,2)</f>
        <v>360673.1</v>
      </c>
      <c r="J22" s="1557">
        <f>I22-F22</f>
        <v>-1698.820000000007</v>
      </c>
      <c r="K22" s="1574">
        <f>J22/F22</f>
        <v>-4.6880564034873541E-3</v>
      </c>
      <c r="M22" s="1323"/>
    </row>
    <row r="23" spans="3:15">
      <c r="C23" s="868" t="s">
        <v>2483</v>
      </c>
      <c r="D23" s="1555">
        <f>'Exh 2, Proof of Revenue'!AE82</f>
        <v>5955588.143686397</v>
      </c>
      <c r="E23" s="1559">
        <f>'Exh 2, Proof of Revenue'!L82</f>
        <v>0.16481000000000001</v>
      </c>
      <c r="F23" s="1557">
        <f>ROUND(D23*E23,2)</f>
        <v>981540.48</v>
      </c>
      <c r="G23" s="1535">
        <f>D23</f>
        <v>5955588.143686397</v>
      </c>
      <c r="H23" s="1560">
        <f>'Exh 4, Revenue Distribution'!F16</f>
        <v>0.16403736011403033</v>
      </c>
      <c r="I23" s="1322">
        <f>ROUND(G23*H23,2)</f>
        <v>976938.96</v>
      </c>
      <c r="J23" s="1557">
        <f>I23-F23</f>
        <v>-4601.5200000000186</v>
      </c>
      <c r="K23" s="1574">
        <f>J23/F23</f>
        <v>-4.6880593248686177E-3</v>
      </c>
      <c r="M23" s="1323"/>
    </row>
    <row r="24" spans="3:15">
      <c r="C24" s="868" t="s">
        <v>2484</v>
      </c>
      <c r="D24" s="1555">
        <f>'Exh 2, Proof of Revenue'!AE83</f>
        <v>5561734.9161735196</v>
      </c>
      <c r="E24" s="1559">
        <f>'Exh 2, Proof of Revenue'!L83</f>
        <v>0.15923000000000001</v>
      </c>
      <c r="F24" s="1557">
        <f>ROUND(D24*E24,2)</f>
        <v>885595.05</v>
      </c>
      <c r="G24" s="1535">
        <f>D24</f>
        <v>5561734.9161735196</v>
      </c>
      <c r="H24" s="1560">
        <f>'Exh 4, Revenue Distribution'!F17</f>
        <v>0.15848351951311843</v>
      </c>
      <c r="I24" s="1322">
        <f>ROUND(G24*H24,2)</f>
        <v>881443.32</v>
      </c>
      <c r="J24" s="1557">
        <f>I24-F24</f>
        <v>-4151.7300000000978</v>
      </c>
      <c r="K24" s="1574">
        <f>J24/F24</f>
        <v>-4.6880682090534465E-3</v>
      </c>
      <c r="M24" s="1323"/>
    </row>
    <row r="25" spans="3:15" ht="16.8" thickBot="1">
      <c r="C25" s="1561" t="str">
        <f>"Total "&amp;RIGHT(C20,3)&amp;" Revenue"</f>
        <v>Total 505 Revenue</v>
      </c>
      <c r="D25" s="1562"/>
      <c r="E25" s="1562"/>
      <c r="F25" s="1324">
        <f>SUM(F21:F24)</f>
        <v>2580867.4500000002</v>
      </c>
      <c r="G25" s="1537"/>
      <c r="H25" s="1563"/>
      <c r="I25" s="1325">
        <f>SUM(I21:I24)</f>
        <v>2570415.38</v>
      </c>
      <c r="J25" s="843">
        <f>SUM(J21:J24)</f>
        <v>-10452.070000000123</v>
      </c>
      <c r="K25" s="1574">
        <f>J25/F25</f>
        <v>-4.0498282854472527E-3</v>
      </c>
      <c r="M25" s="827"/>
      <c r="O25" s="928"/>
    </row>
    <row r="26" spans="3:15" ht="7.5" customHeight="1" thickTop="1" thickBot="1">
      <c r="C26" s="1561"/>
      <c r="D26" s="1542"/>
      <c r="E26" s="1542"/>
      <c r="F26" s="1542"/>
      <c r="G26" s="1538"/>
      <c r="H26" s="844"/>
      <c r="I26" s="845"/>
      <c r="J26" s="1542"/>
      <c r="K26" s="1574"/>
    </row>
    <row r="27" spans="3:15" ht="7.5" customHeight="1">
      <c r="C27" s="1549"/>
      <c r="D27" s="1550"/>
      <c r="E27" s="1550"/>
      <c r="F27" s="1550"/>
      <c r="G27" s="1535"/>
      <c r="H27" s="1550"/>
      <c r="I27" s="833"/>
      <c r="J27" s="1550"/>
      <c r="K27" s="1575"/>
    </row>
    <row r="28" spans="3:15" ht="16.2">
      <c r="C28" s="1552" t="s">
        <v>2485</v>
      </c>
      <c r="D28" s="1564"/>
      <c r="E28" s="1554"/>
      <c r="F28" s="1554"/>
      <c r="G28" s="1535"/>
      <c r="H28" s="1554"/>
      <c r="I28" s="835"/>
      <c r="J28" s="1554"/>
      <c r="K28" s="1576"/>
    </row>
    <row r="29" spans="3:15">
      <c r="C29" s="868" t="s">
        <v>2462</v>
      </c>
      <c r="D29" s="1555">
        <f>'Exh 2, Proof of Revenue'!AE115</f>
        <v>1080</v>
      </c>
      <c r="E29" s="1556">
        <f>'Exh 2, Proof of Revenue'!L115</f>
        <v>125</v>
      </c>
      <c r="F29" s="1557">
        <f>ROUND(D29*E29,2)</f>
        <v>135000</v>
      </c>
      <c r="G29" s="1535">
        <f>D29</f>
        <v>1080</v>
      </c>
      <c r="H29" s="1558">
        <f>E29</f>
        <v>125</v>
      </c>
      <c r="I29" s="1322">
        <f>ROUND(G29*H29,2)</f>
        <v>135000</v>
      </c>
      <c r="J29" s="1557">
        <f>I29-F29</f>
        <v>0</v>
      </c>
      <c r="K29" s="1574">
        <f>IFERROR(J29/F29,"")</f>
        <v>0</v>
      </c>
    </row>
    <row r="30" spans="3:15">
      <c r="C30" s="857" t="s">
        <v>2486</v>
      </c>
      <c r="D30" s="1555">
        <f>'Exh 2, Proof of Revenue'!AE116</f>
        <v>9393316.614548726</v>
      </c>
      <c r="E30" s="1559">
        <f>'Exh 2, Proof of Revenue'!L116</f>
        <v>0.16113</v>
      </c>
      <c r="F30" s="1557">
        <f>ROUND(D30*E30,2)</f>
        <v>1513545.11</v>
      </c>
      <c r="G30" s="1535">
        <f>D30</f>
        <v>9393316.614548726</v>
      </c>
      <c r="H30" s="1560">
        <f>'Exh 4, Revenue Distribution'!F21</f>
        <v>0.16037461219084828</v>
      </c>
      <c r="I30" s="1322">
        <f>ROUND(G30*H30,2)</f>
        <v>1506449.51</v>
      </c>
      <c r="J30" s="1557">
        <f>I30-F30</f>
        <v>-7095.6000000000931</v>
      </c>
      <c r="K30" s="1574">
        <f>J30/F30</f>
        <v>-4.6880664164678197E-3</v>
      </c>
      <c r="M30" s="1323"/>
    </row>
    <row r="31" spans="3:15">
      <c r="C31" s="857" t="s">
        <v>2487</v>
      </c>
      <c r="D31" s="1555">
        <f>'Exh 2, Proof of Revenue'!AE117</f>
        <v>4907613.8275464717</v>
      </c>
      <c r="E31" s="1559">
        <f>'Exh 2, Proof of Revenue'!L117</f>
        <v>0.12471</v>
      </c>
      <c r="F31" s="1557">
        <f>ROUND(D31*E31,2)</f>
        <v>612028.52</v>
      </c>
      <c r="G31" s="1535">
        <f>D31</f>
        <v>4907613.8275464717</v>
      </c>
      <c r="H31" s="1560">
        <f>'Exh 4, Revenue Distribution'!F22</f>
        <v>0.12412535149457388</v>
      </c>
      <c r="I31" s="1322">
        <f>ROUND(G31*H31,2)</f>
        <v>609159.29</v>
      </c>
      <c r="J31" s="1557">
        <f>I31-F31</f>
        <v>-2869.2299999999814</v>
      </c>
      <c r="K31" s="1574">
        <f>J31/F31</f>
        <v>-4.6880658437289512E-3</v>
      </c>
      <c r="M31" s="1323"/>
    </row>
    <row r="32" spans="3:15">
      <c r="C32" s="857" t="s">
        <v>2488</v>
      </c>
      <c r="D32" s="1555">
        <f>'Exh 2, Proof of Revenue'!AE118</f>
        <v>1204028.6422506776</v>
      </c>
      <c r="E32" s="1559">
        <f>'Exh 2, Proof of Revenue'!L118</f>
        <v>3.4639999999999997E-2</v>
      </c>
      <c r="F32" s="1557">
        <f>ROUND(D32*E32,2)</f>
        <v>41707.550000000003</v>
      </c>
      <c r="G32" s="1535">
        <f>D32</f>
        <v>1204028.6422506776</v>
      </c>
      <c r="H32" s="1560">
        <f>'Exh 4, Revenue Distribution'!F23</f>
        <v>3.4477605450822214E-2</v>
      </c>
      <c r="I32" s="1322">
        <f>ROUND(G32*H32,2)</f>
        <v>41512.019999999997</v>
      </c>
      <c r="J32" s="1557">
        <f>I32-F32</f>
        <v>-195.53000000000611</v>
      </c>
      <c r="K32" s="1574">
        <f>J32/F32</f>
        <v>-4.6881200166398193E-3</v>
      </c>
      <c r="M32" s="1323"/>
    </row>
    <row r="33" spans="3:18" ht="16.8" thickBot="1">
      <c r="C33" s="1561" t="str">
        <f>"Total "&amp;RIGHT(C28,3)&amp;" Revenue"</f>
        <v>Total 511 Revenue</v>
      </c>
      <c r="D33" s="1562"/>
      <c r="E33" s="1562"/>
      <c r="F33" s="1324">
        <f>SUM(F29:F32)</f>
        <v>2302281.1799999997</v>
      </c>
      <c r="G33" s="1537"/>
      <c r="H33" s="1563"/>
      <c r="I33" s="1325">
        <f>SUM(I29:I32)</f>
        <v>2292120.8199999998</v>
      </c>
      <c r="J33" s="843">
        <f>SUM(J29:J32)</f>
        <v>-10160.360000000081</v>
      </c>
      <c r="K33" s="1574">
        <f>J33/F33</f>
        <v>-4.4131707665699118E-3</v>
      </c>
      <c r="M33" s="827"/>
      <c r="O33" s="928"/>
    </row>
    <row r="34" spans="3:18" ht="7.5" customHeight="1" thickTop="1" thickBot="1">
      <c r="C34" s="1561"/>
      <c r="D34" s="1542"/>
      <c r="E34" s="1542"/>
      <c r="F34" s="1542"/>
      <c r="G34" s="1538"/>
      <c r="H34" s="844"/>
      <c r="I34" s="845"/>
      <c r="J34" s="1542"/>
      <c r="K34" s="1574"/>
    </row>
    <row r="35" spans="3:18" ht="7.5" customHeight="1">
      <c r="C35" s="1549"/>
      <c r="D35" s="1550"/>
      <c r="E35" s="1550"/>
      <c r="F35" s="1550"/>
      <c r="G35" s="1535"/>
      <c r="H35" s="1550"/>
      <c r="I35" s="833"/>
      <c r="J35" s="1550"/>
      <c r="K35" s="1575"/>
    </row>
    <row r="36" spans="3:18" ht="16.2">
      <c r="C36" s="1552" t="s">
        <v>2489</v>
      </c>
      <c r="D36" s="1553"/>
      <c r="E36" s="1554"/>
      <c r="F36" s="1554"/>
      <c r="G36" s="1535"/>
      <c r="H36" s="1554"/>
      <c r="I36" s="835"/>
      <c r="J36" s="1554"/>
      <c r="K36" s="1576"/>
    </row>
    <row r="37" spans="3:18">
      <c r="C37" s="857" t="s">
        <v>2490</v>
      </c>
      <c r="D37" s="1555">
        <f>'Exh 2, Proof of Revenue'!S314</f>
        <v>2260</v>
      </c>
      <c r="E37" s="1565">
        <f>'Exh 2, Proof of Revenue'!L314</f>
        <v>625</v>
      </c>
      <c r="F37" s="1557">
        <f t="shared" ref="F37:F42" si="0">ROUND(D37*E37,2)</f>
        <v>1412500</v>
      </c>
      <c r="G37" s="1535">
        <f t="shared" ref="G37:G43" si="1">D37</f>
        <v>2260</v>
      </c>
      <c r="H37" s="1558">
        <f>E37</f>
        <v>625</v>
      </c>
      <c r="I37" s="1322">
        <f t="shared" ref="I37:I43" si="2">ROUND(G37*H37,2)</f>
        <v>1412500</v>
      </c>
      <c r="J37" s="1557">
        <f>I37-F37</f>
        <v>0</v>
      </c>
      <c r="K37" s="1574">
        <f>J37/F37</f>
        <v>0</v>
      </c>
      <c r="M37" s="1323"/>
    </row>
    <row r="38" spans="3:18">
      <c r="C38" s="857" t="s">
        <v>2491</v>
      </c>
      <c r="D38" s="1555">
        <f>'Exh 2, Proof of Revenue'!S315</f>
        <v>30354152</v>
      </c>
      <c r="E38" s="1566">
        <f>'Exh 2, Proof of Revenue'!L315</f>
        <v>0.2</v>
      </c>
      <c r="F38" s="1557">
        <f t="shared" si="0"/>
        <v>6070830.4000000004</v>
      </c>
      <c r="G38" s="1535">
        <f t="shared" si="1"/>
        <v>30354152</v>
      </c>
      <c r="H38" s="1560">
        <f>E38</f>
        <v>0.2</v>
      </c>
      <c r="I38" s="1322">
        <f t="shared" si="2"/>
        <v>6070830.4000000004</v>
      </c>
      <c r="J38" s="1557">
        <f>I38-F38</f>
        <v>0</v>
      </c>
      <c r="K38" s="1574" t="s">
        <v>2467</v>
      </c>
      <c r="M38" s="836"/>
    </row>
    <row r="39" spans="3:18">
      <c r="C39" s="857" t="s">
        <v>2492</v>
      </c>
      <c r="D39" s="1555">
        <f>'Exh 2, Proof of Revenue'!S316</f>
        <v>641617734.59945512</v>
      </c>
      <c r="E39" s="1566">
        <f>'Exh 2, Proof of Revenue'!L316</f>
        <v>4.0000000000000002E-4</v>
      </c>
      <c r="F39" s="1557">
        <f t="shared" si="0"/>
        <v>256647.09</v>
      </c>
      <c r="G39" s="1535">
        <f t="shared" si="1"/>
        <v>641617734.59945512</v>
      </c>
      <c r="H39" s="1560">
        <f>E39</f>
        <v>4.0000000000000002E-4</v>
      </c>
      <c r="I39" s="1322">
        <f t="shared" si="2"/>
        <v>256647.09</v>
      </c>
      <c r="J39" s="1557">
        <f t="shared" ref="J39:J44" si="3">I39-F39</f>
        <v>0</v>
      </c>
      <c r="K39" s="1574">
        <f t="shared" ref="K39:K44" si="4">J39/F39</f>
        <v>0</v>
      </c>
      <c r="M39" s="836"/>
    </row>
    <row r="40" spans="3:18">
      <c r="C40" s="868" t="s">
        <v>2493</v>
      </c>
      <c r="D40" s="1555">
        <f>'Exh 2, Proof of Revenue'!S317</f>
        <v>125402945.77158709</v>
      </c>
      <c r="E40" s="1566">
        <f>'Exh 2, Proof of Revenue'!L317</f>
        <v>5.9889999999999999E-2</v>
      </c>
      <c r="F40" s="1557">
        <f t="shared" si="0"/>
        <v>7510382.4199999999</v>
      </c>
      <c r="G40" s="1535">
        <f t="shared" si="1"/>
        <v>125402945.77158709</v>
      </c>
      <c r="H40" s="1560">
        <f>'Exh 4, Revenue Distribution'!F34</f>
        <v>5.9609231825916362E-2</v>
      </c>
      <c r="I40" s="1322">
        <f t="shared" si="2"/>
        <v>7475173.2699999996</v>
      </c>
      <c r="J40" s="1557">
        <f t="shared" si="3"/>
        <v>-35209.150000000373</v>
      </c>
      <c r="K40" s="1574">
        <f t="shared" si="4"/>
        <v>-4.6880635407112034E-3</v>
      </c>
      <c r="M40" s="836"/>
      <c r="O40" s="838"/>
      <c r="P40" s="838"/>
      <c r="Q40" s="839"/>
      <c r="R40" s="839"/>
    </row>
    <row r="41" spans="3:18">
      <c r="C41" s="868" t="s">
        <v>2494</v>
      </c>
      <c r="D41" s="1555">
        <f>'Exh 2, Proof of Revenue'!S318</f>
        <v>98562895.00321956</v>
      </c>
      <c r="E41" s="1566">
        <f>'Exh 2, Proof of Revenue'!L318</f>
        <v>2.3029999999999998E-2</v>
      </c>
      <c r="F41" s="1557">
        <f t="shared" si="0"/>
        <v>2269903.4700000002</v>
      </c>
      <c r="G41" s="1535">
        <f t="shared" si="1"/>
        <v>98562895.00321956</v>
      </c>
      <c r="H41" s="1560">
        <f>'Exh 4, Revenue Distribution'!F35</f>
        <v>2.2922033877957149E-2</v>
      </c>
      <c r="I41" s="1322">
        <f t="shared" si="2"/>
        <v>2259262.02</v>
      </c>
      <c r="J41" s="1557">
        <f t="shared" si="3"/>
        <v>-10641.450000000186</v>
      </c>
      <c r="K41" s="1574">
        <f t="shared" si="4"/>
        <v>-4.6880627923795307E-3</v>
      </c>
      <c r="M41" s="836"/>
      <c r="O41" s="838"/>
      <c r="P41" s="838"/>
      <c r="Q41" s="839"/>
      <c r="R41" s="839"/>
    </row>
    <row r="42" spans="3:18">
      <c r="C42" s="868" t="s">
        <v>2494</v>
      </c>
      <c r="D42" s="1555">
        <f>'Exh 2, Proof of Revenue'!S319</f>
        <v>34638058.781353638</v>
      </c>
      <c r="E42" s="1566">
        <f>'Exh 2, Proof of Revenue'!L319</f>
        <v>1.473E-2</v>
      </c>
      <c r="F42" s="1557">
        <f t="shared" si="0"/>
        <v>510218.61</v>
      </c>
      <c r="G42" s="1535">
        <f t="shared" si="1"/>
        <v>34638058.781353638</v>
      </c>
      <c r="H42" s="1560">
        <f>'Exh 4, Revenue Distribution'!F36</f>
        <v>1.4660944812084622E-2</v>
      </c>
      <c r="I42" s="1322">
        <f t="shared" si="2"/>
        <v>507826.67</v>
      </c>
      <c r="J42" s="1557">
        <f t="shared" si="3"/>
        <v>-2391.9400000000023</v>
      </c>
      <c r="K42" s="1574">
        <f t="shared" si="4"/>
        <v>-4.6880689044251096E-3</v>
      </c>
      <c r="M42" s="836"/>
      <c r="O42" s="838"/>
      <c r="P42" s="838"/>
      <c r="Q42" s="839"/>
      <c r="R42" s="839"/>
    </row>
    <row r="43" spans="3:18">
      <c r="C43" s="868" t="s">
        <v>2495</v>
      </c>
      <c r="D43" s="1555">
        <f>'Exh 2, Proof of Revenue'!S320</f>
        <v>383013835.04329479</v>
      </c>
      <c r="E43" s="1566">
        <f>'Exh 2, Proof of Revenue'!L320</f>
        <v>7.9799999999999992E-3</v>
      </c>
      <c r="F43" s="1557">
        <f>ROUND(D43*E43,2)</f>
        <v>3056450.4</v>
      </c>
      <c r="G43" s="1535">
        <f t="shared" si="1"/>
        <v>383013835.04329479</v>
      </c>
      <c r="H43" s="1560">
        <f>'Exh 4, Revenue Distribution'!F37</f>
        <v>7.9425892464653949E-3</v>
      </c>
      <c r="I43" s="1322">
        <f t="shared" si="2"/>
        <v>3042121.57</v>
      </c>
      <c r="J43" s="1557">
        <f t="shared" si="3"/>
        <v>-14328.830000000075</v>
      </c>
      <c r="K43" s="1574">
        <f t="shared" si="4"/>
        <v>-4.6880623353155269E-3</v>
      </c>
      <c r="M43" s="836"/>
      <c r="N43" s="841"/>
      <c r="O43" s="838"/>
      <c r="P43" s="838"/>
      <c r="Q43" s="839"/>
      <c r="R43" s="839"/>
    </row>
    <row r="44" spans="3:18" ht="16.8" thickBot="1">
      <c r="C44" s="1561" t="str">
        <f>"Total "&amp;RIGHT(C36,3)&amp;" Revenue"</f>
        <v>Total 663 Revenue</v>
      </c>
      <c r="D44" s="1567"/>
      <c r="E44" s="1562"/>
      <c r="F44" s="1324">
        <f>SUM(F37:F43)</f>
        <v>21086932.389999997</v>
      </c>
      <c r="G44" s="1537"/>
      <c r="H44" s="1563"/>
      <c r="I44" s="1325">
        <f>SUM(I37:I43)</f>
        <v>21024361.020000003</v>
      </c>
      <c r="J44" s="843">
        <f t="shared" si="3"/>
        <v>-62571.369999993593</v>
      </c>
      <c r="K44" s="1574">
        <f t="shared" si="4"/>
        <v>-2.9673054782338401E-3</v>
      </c>
      <c r="M44" s="827"/>
      <c r="O44" s="1326"/>
    </row>
    <row r="45" spans="3:18" ht="7.5" customHeight="1" thickTop="1" thickBot="1">
      <c r="C45" s="1561"/>
      <c r="D45" s="1542"/>
      <c r="E45" s="1542"/>
      <c r="F45" s="1542"/>
      <c r="G45" s="1538"/>
      <c r="H45" s="844"/>
      <c r="I45" s="845"/>
      <c r="J45" s="1542"/>
      <c r="K45" s="1574"/>
    </row>
    <row r="46" spans="3:18" ht="6.75" customHeight="1" thickBot="1">
      <c r="C46" s="1549"/>
      <c r="D46" s="1550"/>
      <c r="E46" s="1550"/>
      <c r="F46" s="1550"/>
      <c r="G46" s="1539"/>
      <c r="H46" s="1550"/>
      <c r="I46" s="833"/>
      <c r="J46" s="1550"/>
      <c r="K46" s="1575"/>
      <c r="M46" s="827"/>
    </row>
    <row r="47" spans="3:18" ht="7.5" customHeight="1">
      <c r="C47" s="1549"/>
      <c r="D47" s="1550"/>
      <c r="E47" s="1550"/>
      <c r="F47" s="1550"/>
      <c r="G47" s="1535"/>
      <c r="H47" s="1550"/>
      <c r="I47" s="833"/>
      <c r="J47" s="1550"/>
      <c r="K47" s="1575"/>
    </row>
    <row r="48" spans="3:18" ht="16.2">
      <c r="C48" s="1552" t="s">
        <v>2496</v>
      </c>
      <c r="D48" s="1553"/>
      <c r="E48" s="1554"/>
      <c r="F48" s="1554"/>
      <c r="G48" s="1535"/>
      <c r="H48" s="1554"/>
      <c r="I48" s="835"/>
      <c r="J48" s="1554"/>
      <c r="K48" s="1576"/>
    </row>
    <row r="49" spans="3:15">
      <c r="C49" s="868" t="s">
        <v>2462</v>
      </c>
      <c r="D49" s="1555">
        <f>'Exh 2, Proof of Revenue'!S282</f>
        <v>96</v>
      </c>
      <c r="E49" s="1556">
        <f>'Exh 2, Proof of Revenue'!L282</f>
        <v>163</v>
      </c>
      <c r="F49" s="1557">
        <f>ROUND(D49*E49,2)</f>
        <v>15648</v>
      </c>
      <c r="G49" s="1535">
        <f>D49</f>
        <v>96</v>
      </c>
      <c r="H49" s="1558">
        <f>E49</f>
        <v>163</v>
      </c>
      <c r="I49" s="1322">
        <f>ROUND(G49*H49,2)</f>
        <v>15648</v>
      </c>
      <c r="J49" s="1557">
        <f>I49-F49</f>
        <v>0</v>
      </c>
      <c r="K49" s="1574">
        <f>J49/F49</f>
        <v>0</v>
      </c>
    </row>
    <row r="50" spans="3:15" ht="13.95" customHeight="1">
      <c r="C50" s="857" t="s">
        <v>2497</v>
      </c>
      <c r="D50" s="1555">
        <f>'Exh 2, Proof of Revenue'!S283</f>
        <v>1301512.7114810457</v>
      </c>
      <c r="E50" s="1559">
        <f>'Exh 2, Proof of Revenue'!L283</f>
        <v>8.9639999999999997E-2</v>
      </c>
      <c r="F50" s="1557">
        <f>ROUND(D50*E50,2)</f>
        <v>116667.6</v>
      </c>
      <c r="G50" s="1535">
        <f>D50</f>
        <v>1301512.7114810457</v>
      </c>
      <c r="H50" s="1560">
        <f>'Exh 4, Revenue Distribution'!F27</f>
        <v>8.921976191142332E-2</v>
      </c>
      <c r="I50" s="1322">
        <f>ROUND(G50*H50,2)</f>
        <v>116120.65</v>
      </c>
      <c r="J50" s="1557">
        <f>I50-F50</f>
        <v>-546.95000000001164</v>
      </c>
      <c r="K50" s="1574">
        <f>J50/F50</f>
        <v>-4.6881053523001384E-3</v>
      </c>
      <c r="M50" s="836"/>
    </row>
    <row r="51" spans="3:15" ht="13.95" customHeight="1">
      <c r="C51" s="857" t="s">
        <v>2498</v>
      </c>
      <c r="D51" s="1555">
        <f>'Exh 2, Proof of Revenue'!S284</f>
        <v>1032498.538383325</v>
      </c>
      <c r="E51" s="1559">
        <f>'Exh 2, Proof of Revenue'!L284</f>
        <v>2.8170000000000001E-2</v>
      </c>
      <c r="F51" s="1557">
        <f>ROUND(D51*E51,2)</f>
        <v>29085.48</v>
      </c>
      <c r="G51" s="1535">
        <f>D51</f>
        <v>1032498.538383325</v>
      </c>
      <c r="H51" s="1560">
        <f>'Exh 4, Revenue Distribution'!F28</f>
        <v>2.8037937227184236E-2</v>
      </c>
      <c r="I51" s="1322">
        <f>ROUND(G51*H51,2)</f>
        <v>28949.13</v>
      </c>
      <c r="J51" s="1557">
        <f>I51-F51</f>
        <v>-136.34999999999854</v>
      </c>
      <c r="K51" s="1574">
        <f>J51/F51</f>
        <v>-4.6879061304815513E-3</v>
      </c>
      <c r="M51" s="1323"/>
    </row>
    <row r="52" spans="3:15" ht="16.8" thickBot="1">
      <c r="C52" s="1561" t="str">
        <f>"Total "&amp;RIGHT(C48,3)&amp;" Revenue"</f>
        <v>Total 570 Revenue</v>
      </c>
      <c r="D52" s="1562"/>
      <c r="E52" s="1562"/>
      <c r="F52" s="1324">
        <f>SUM(F49:F51)</f>
        <v>161401.08000000002</v>
      </c>
      <c r="G52" s="1537"/>
      <c r="H52" s="1563"/>
      <c r="I52" s="1325">
        <f>SUM(I49:I51)</f>
        <v>160717.78</v>
      </c>
      <c r="J52" s="843">
        <f>I52-F52</f>
        <v>-683.30000000001746</v>
      </c>
      <c r="K52" s="1574">
        <f>J52/F52</f>
        <v>-4.2335528362016997E-3</v>
      </c>
      <c r="M52" s="827"/>
      <c r="O52" s="1312"/>
    </row>
    <row r="53" spans="3:15" ht="7.5" customHeight="1" thickTop="1">
      <c r="C53" s="1568"/>
      <c r="D53" s="1569"/>
      <c r="E53" s="1569"/>
      <c r="F53" s="1569"/>
      <c r="G53" s="1570"/>
      <c r="H53" s="1571"/>
      <c r="I53" s="1572"/>
      <c r="J53" s="1569"/>
      <c r="K53" s="1573"/>
    </row>
    <row r="54" spans="3:15" ht="16.2">
      <c r="C54" s="1541" t="s">
        <v>2499</v>
      </c>
      <c r="D54" s="1542"/>
      <c r="E54" s="1542"/>
      <c r="F54" s="1542"/>
      <c r="G54" s="1543"/>
      <c r="H54" s="1542"/>
      <c r="I54" s="1542"/>
      <c r="J54" s="1542"/>
      <c r="K54" s="1544"/>
      <c r="M54" s="827"/>
    </row>
    <row r="55" spans="3:15" ht="16.8" thickBot="1">
      <c r="C55" s="1328"/>
      <c r="D55" s="844"/>
      <c r="E55" s="844"/>
      <c r="F55" s="844"/>
      <c r="G55" s="1540"/>
      <c r="H55" s="844"/>
      <c r="I55" s="844"/>
      <c r="J55" s="844"/>
      <c r="K55" s="1329"/>
      <c r="M55" s="827"/>
    </row>
    <row r="57" spans="3:15" ht="16.5" customHeight="1">
      <c r="F57" s="1312">
        <f>F52+F44+F33+F25+F17+F11</f>
        <v>107401518.23999999</v>
      </c>
      <c r="J57" s="1312">
        <f>J52+J44+J33+J25+J17+J11</f>
        <v>-390283.61999999336</v>
      </c>
      <c r="K57" s="1330">
        <f>J57/F57</f>
        <v>-3.6338743287395951E-3</v>
      </c>
    </row>
  </sheetData>
  <mergeCells count="2">
    <mergeCell ref="D5:F5"/>
    <mergeCell ref="G5:I5"/>
  </mergeCells>
  <printOptions horizontalCentered="1"/>
  <pageMargins left="0.45" right="0.45" top="0.5" bottom="0.5" header="0.3" footer="0.3"/>
  <pageSetup scale="6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B6AC-B482-434A-BAB6-52A61104052E}">
  <sheetPr codeName="Sheet46">
    <tabColor theme="8"/>
    <pageSetUpPr fitToPage="1"/>
  </sheetPr>
  <dimension ref="A1:AM605"/>
  <sheetViews>
    <sheetView zoomScale="80" zoomScaleNormal="80" workbookViewId="0">
      <pane xSplit="2" ySplit="5" topLeftCell="W112" activePane="bottomRight" state="frozen"/>
      <selection activeCell="F27" sqref="F27"/>
      <selection pane="topRight" activeCell="F27" sqref="F27"/>
      <selection pane="bottomLeft" activeCell="F27" sqref="F27"/>
      <selection pane="bottomRight" activeCell="AE114" sqref="AE114"/>
    </sheetView>
  </sheetViews>
  <sheetFormatPr defaultColWidth="8.6640625" defaultRowHeight="14.4"/>
  <cols>
    <col min="1" max="1" width="11.88671875" style="728" customWidth="1"/>
    <col min="2" max="2" width="63.33203125" style="727" customWidth="1"/>
    <col min="3" max="3" width="19" style="1404" customWidth="1"/>
    <col min="4" max="4" width="14.5546875" style="1404" customWidth="1"/>
    <col min="5" max="5" width="20.88671875" style="1404" bestFit="1" customWidth="1"/>
    <col min="6" max="6" width="2.109375" style="1404" customWidth="1"/>
    <col min="7" max="7" width="15.88671875" style="1404" customWidth="1"/>
    <col min="8" max="8" width="13" style="1404" customWidth="1"/>
    <col min="9" max="9" width="17.109375" style="1404" customWidth="1"/>
    <col min="10" max="10" width="2.109375" style="1404" customWidth="1"/>
    <col min="11" max="11" width="17.5546875" style="1404" customWidth="1"/>
    <col min="12" max="12" width="19.44140625" style="1404" customWidth="1"/>
    <col min="13" max="13" width="20" style="1404" customWidth="1"/>
    <col min="14" max="14" width="2.109375" style="1404" customWidth="1"/>
    <col min="15" max="15" width="16.88671875" style="1404" customWidth="1"/>
    <col min="16" max="16" width="15.88671875" style="1404" customWidth="1"/>
    <col min="17" max="17" width="17.6640625" style="1404" bestFit="1" customWidth="1"/>
    <col min="18" max="18" width="2.109375" style="1404" customWidth="1"/>
    <col min="19" max="19" width="16.88671875" style="1404" customWidth="1"/>
    <col min="20" max="20" width="15.88671875" style="1404" customWidth="1"/>
    <col min="21" max="21" width="17.6640625" style="1404" bestFit="1" customWidth="1"/>
    <col min="22" max="22" width="2.109375" style="1404" customWidth="1"/>
    <col min="23" max="23" width="15.6640625" style="1404" customWidth="1"/>
    <col min="24" max="24" width="15.44140625" style="1404" customWidth="1"/>
    <col min="25" max="25" width="20.6640625" style="1404" customWidth="1"/>
    <col min="26" max="26" width="2.109375" style="1404" customWidth="1"/>
    <col min="27" max="27" width="16.44140625" style="1404" customWidth="1"/>
    <col min="28" max="28" width="13.88671875" style="1404" customWidth="1"/>
    <col min="29" max="29" width="20.109375" style="1404" customWidth="1"/>
    <col min="30" max="30" width="2.109375" style="1404" customWidth="1"/>
    <col min="31" max="31" width="19.109375" style="1405" customWidth="1"/>
    <col min="32" max="32" width="18.109375" style="1404" customWidth="1"/>
    <col min="33" max="33" width="18.33203125" style="1404" customWidth="1"/>
    <col min="34" max="34" width="2.109375" style="1404" customWidth="1"/>
    <col min="35" max="35" width="19.6640625" style="1404" customWidth="1"/>
    <col min="36" max="36" width="19.109375" style="1404" customWidth="1"/>
    <col min="37" max="37" width="19.88671875" style="1404" customWidth="1"/>
    <col min="38" max="38" width="17.6640625" style="727" customWidth="1"/>
    <col min="39" max="16384" width="8.6640625" style="727"/>
  </cols>
  <sheetData>
    <row r="1" spans="1:39">
      <c r="A1" s="1400"/>
      <c r="B1" s="1401" t="s">
        <v>52</v>
      </c>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3"/>
      <c r="AF1" s="1402"/>
      <c r="AG1" s="1402"/>
      <c r="AH1" s="1402"/>
      <c r="AI1" s="1402"/>
      <c r="AJ1" s="1402"/>
      <c r="AK1" s="1402"/>
    </row>
    <row r="2" spans="1:39">
      <c r="B2" s="1400" t="s">
        <v>2600</v>
      </c>
      <c r="AM2" s="1685">
        <v>2020</v>
      </c>
    </row>
    <row r="3" spans="1:39">
      <c r="C3" s="1406" t="s">
        <v>1089</v>
      </c>
      <c r="D3" s="1407"/>
      <c r="E3" s="1408"/>
      <c r="F3" s="1409"/>
      <c r="G3" s="1851" t="s">
        <v>2601</v>
      </c>
      <c r="H3" s="1851"/>
      <c r="I3" s="1851"/>
      <c r="J3" s="1409"/>
      <c r="K3" s="1854" t="s">
        <v>2602</v>
      </c>
      <c r="L3" s="1854"/>
      <c r="M3" s="1854"/>
      <c r="N3" s="1409"/>
      <c r="O3" s="1851" t="s">
        <v>2603</v>
      </c>
      <c r="P3" s="1851"/>
      <c r="Q3" s="1851"/>
      <c r="R3" s="1409"/>
      <c r="S3" s="1851" t="s">
        <v>2604</v>
      </c>
      <c r="T3" s="1851"/>
      <c r="U3" s="1851"/>
      <c r="V3" s="1409"/>
      <c r="W3" s="1851" t="s">
        <v>2605</v>
      </c>
      <c r="X3" s="1851"/>
      <c r="Y3" s="1851"/>
      <c r="Z3" s="1409"/>
      <c r="AA3" s="1851" t="s">
        <v>2606</v>
      </c>
      <c r="AB3" s="1851"/>
      <c r="AC3" s="1851"/>
      <c r="AD3" s="1409"/>
      <c r="AE3" s="1851" t="s">
        <v>2607</v>
      </c>
      <c r="AF3" s="1851"/>
      <c r="AG3" s="1851"/>
      <c r="AH3" s="1409"/>
      <c r="AI3" s="1852" t="s">
        <v>2314</v>
      </c>
      <c r="AJ3" s="1851"/>
      <c r="AK3" s="1853"/>
      <c r="AM3" s="1686" t="s">
        <v>3255</v>
      </c>
    </row>
    <row r="4" spans="1:39" ht="52.5" customHeight="1">
      <c r="A4" s="1410"/>
      <c r="B4" s="1410" t="s">
        <v>2608</v>
      </c>
      <c r="C4" s="1411" t="s">
        <v>2609</v>
      </c>
      <c r="D4" s="1411" t="s">
        <v>2610</v>
      </c>
      <c r="E4" s="1411" t="s">
        <v>2611</v>
      </c>
      <c r="F4" s="1412"/>
      <c r="G4" s="1413" t="s">
        <v>2612</v>
      </c>
      <c r="H4" s="1414" t="s">
        <v>2613</v>
      </c>
      <c r="I4" s="1415" t="s">
        <v>2614</v>
      </c>
      <c r="J4" s="1412"/>
      <c r="K4" s="1411" t="s">
        <v>2615</v>
      </c>
      <c r="L4" s="1411" t="s">
        <v>2613</v>
      </c>
      <c r="M4" s="1411" t="s">
        <v>2616</v>
      </c>
      <c r="N4" s="1412"/>
      <c r="O4" s="1411" t="s">
        <v>2615</v>
      </c>
      <c r="P4" s="1411" t="s">
        <v>2613</v>
      </c>
      <c r="Q4" s="1411" t="s">
        <v>2616</v>
      </c>
      <c r="R4" s="1412"/>
      <c r="S4" s="1411" t="s">
        <v>2612</v>
      </c>
      <c r="T4" s="1411" t="s">
        <v>2617</v>
      </c>
      <c r="U4" s="1411" t="s">
        <v>2618</v>
      </c>
      <c r="V4" s="1412"/>
      <c r="W4" s="1411" t="s">
        <v>2612</v>
      </c>
      <c r="X4" s="1411" t="s">
        <v>2617</v>
      </c>
      <c r="Y4" s="1411" t="s">
        <v>2618</v>
      </c>
      <c r="Z4" s="1412"/>
      <c r="AA4" s="1416" t="s">
        <v>2619</v>
      </c>
      <c r="AB4" s="1417" t="s">
        <v>2613</v>
      </c>
      <c r="AC4" s="1414" t="s">
        <v>2620</v>
      </c>
      <c r="AD4" s="1412"/>
      <c r="AE4" s="1418" t="s">
        <v>2619</v>
      </c>
      <c r="AF4" s="1411" t="s">
        <v>2621</v>
      </c>
      <c r="AG4" s="1411" t="s">
        <v>2622</v>
      </c>
      <c r="AH4" s="1412"/>
      <c r="AI4" s="1411" t="s">
        <v>2477</v>
      </c>
      <c r="AJ4" s="1411" t="s">
        <v>2623</v>
      </c>
      <c r="AK4" s="1411" t="s">
        <v>2624</v>
      </c>
    </row>
    <row r="5" spans="1:39">
      <c r="B5" s="728" t="s">
        <v>1798</v>
      </c>
      <c r="C5" s="728" t="s">
        <v>2625</v>
      </c>
      <c r="D5" s="728" t="s">
        <v>1800</v>
      </c>
      <c r="E5" s="728" t="s">
        <v>1801</v>
      </c>
      <c r="F5" s="728"/>
      <c r="G5" s="728" t="s">
        <v>1802</v>
      </c>
      <c r="H5" s="728" t="s">
        <v>2626</v>
      </c>
      <c r="I5" s="728" t="s">
        <v>1804</v>
      </c>
      <c r="J5" s="728"/>
      <c r="K5" s="728" t="s">
        <v>2627</v>
      </c>
      <c r="L5" s="728" t="s">
        <v>1806</v>
      </c>
      <c r="M5" s="728" t="s">
        <v>2628</v>
      </c>
      <c r="N5" s="728"/>
      <c r="O5" s="728" t="s">
        <v>2629</v>
      </c>
      <c r="P5" s="728" t="s">
        <v>2630</v>
      </c>
      <c r="Q5" s="728" t="s">
        <v>2631</v>
      </c>
      <c r="R5" s="728"/>
      <c r="S5" s="728" t="s">
        <v>2632</v>
      </c>
      <c r="T5" s="728" t="s">
        <v>2633</v>
      </c>
      <c r="U5" s="728" t="s">
        <v>2634</v>
      </c>
      <c r="V5" s="728"/>
      <c r="W5" s="728" t="s">
        <v>2635</v>
      </c>
      <c r="X5" s="728" t="s">
        <v>2636</v>
      </c>
      <c r="Y5" s="728" t="s">
        <v>2637</v>
      </c>
      <c r="Z5" s="728"/>
      <c r="AA5" s="728" t="s">
        <v>2638</v>
      </c>
      <c r="AB5" s="728" t="s">
        <v>2639</v>
      </c>
      <c r="AC5" s="728" t="s">
        <v>2640</v>
      </c>
      <c r="AD5" s="728"/>
      <c r="AE5" s="1419" t="s">
        <v>2641</v>
      </c>
      <c r="AF5" s="728" t="s">
        <v>2642</v>
      </c>
      <c r="AG5" s="728" t="s">
        <v>2643</v>
      </c>
      <c r="AH5" s="728"/>
      <c r="AI5" s="728" t="s">
        <v>2644</v>
      </c>
      <c r="AJ5" s="728" t="s">
        <v>2645</v>
      </c>
      <c r="AK5" s="728" t="s">
        <v>2646</v>
      </c>
    </row>
    <row r="6" spans="1:39">
      <c r="A6" s="728">
        <v>1</v>
      </c>
      <c r="B6" s="1420" t="s">
        <v>2647</v>
      </c>
      <c r="G6" s="1421"/>
    </row>
    <row r="7" spans="1:39">
      <c r="A7" s="728">
        <v>2</v>
      </c>
      <c r="B7" s="727" t="s">
        <v>2462</v>
      </c>
      <c r="C7" s="1405">
        <f>E7/D7</f>
        <v>2321731.12</v>
      </c>
      <c r="D7" s="1422">
        <v>5</v>
      </c>
      <c r="E7" s="1423">
        <f>'1501 Summary'!AD6</f>
        <v>11608655.6</v>
      </c>
      <c r="F7" s="1422"/>
      <c r="G7" s="1424"/>
      <c r="H7" s="1422"/>
      <c r="I7" s="1423"/>
      <c r="J7" s="1422"/>
      <c r="K7" s="1405">
        <f>C7+G7</f>
        <v>2321731.12</v>
      </c>
      <c r="L7" s="1422">
        <f>D7</f>
        <v>5</v>
      </c>
      <c r="M7" s="1423">
        <f>L7*K7</f>
        <v>11608655.600000001</v>
      </c>
      <c r="N7" s="1422"/>
      <c r="O7" s="1405"/>
      <c r="P7" s="1423"/>
      <c r="Q7" s="1423"/>
      <c r="R7" s="1422"/>
      <c r="S7" s="1405">
        <f>'End of Period Calculations'!AB99</f>
        <v>2344308</v>
      </c>
      <c r="T7" s="1423">
        <f>S7*L7</f>
        <v>11721540</v>
      </c>
      <c r="U7" s="1423">
        <f>T7-M7</f>
        <v>112884.39999999851</v>
      </c>
      <c r="V7" s="1422"/>
      <c r="W7" s="1422"/>
      <c r="X7" s="1422"/>
      <c r="Y7" s="1422"/>
      <c r="Z7" s="1422"/>
      <c r="AA7" s="1425"/>
      <c r="AB7" s="1425"/>
      <c r="AC7" s="1425"/>
      <c r="AD7" s="1422"/>
      <c r="AE7" s="1405">
        <f>IF($AM$3="No", S7,'End of Period Calculations'!AD99)</f>
        <v>2344308</v>
      </c>
      <c r="AF7" s="1422">
        <f>AE7*L7</f>
        <v>11721540</v>
      </c>
      <c r="AG7" s="1422">
        <f>AF7-T7</f>
        <v>0</v>
      </c>
      <c r="AH7" s="1422"/>
      <c r="AI7" s="1426">
        <f>'Exh 18, Class Rates'!H9</f>
        <v>5</v>
      </c>
      <c r="AJ7" s="1425">
        <f>AI7*AE7</f>
        <v>11721540</v>
      </c>
      <c r="AK7" s="1425">
        <f>AJ7-AF7</f>
        <v>0</v>
      </c>
      <c r="AL7" s="748"/>
    </row>
    <row r="8" spans="1:39">
      <c r="A8" s="728">
        <v>3</v>
      </c>
      <c r="B8" s="727" t="s">
        <v>2463</v>
      </c>
      <c r="C8" s="1405">
        <f>E8/D8</f>
        <v>130707634.73626167</v>
      </c>
      <c r="D8" s="1361">
        <v>0.27205000000000001</v>
      </c>
      <c r="E8" s="1423">
        <f>'1501 Summary'!AD7</f>
        <v>35559012.029999986</v>
      </c>
      <c r="F8" s="1422"/>
      <c r="G8" s="1424"/>
      <c r="H8" s="1427"/>
      <c r="I8" s="1422"/>
      <c r="J8" s="1422"/>
      <c r="K8" s="1405">
        <f>C8+G8</f>
        <v>130707634.73626167</v>
      </c>
      <c r="L8" s="1427">
        <v>0.31073000000000001</v>
      </c>
      <c r="M8" s="1423">
        <f>L8*K8</f>
        <v>40614783.341598585</v>
      </c>
      <c r="N8" s="1422"/>
      <c r="O8" s="1405"/>
      <c r="P8" s="1405"/>
      <c r="Q8" s="1423"/>
      <c r="R8" s="1422"/>
      <c r="S8" s="1405"/>
      <c r="T8" s="1405"/>
      <c r="U8" s="1423"/>
      <c r="V8" s="1422"/>
      <c r="W8" s="1422"/>
      <c r="X8" s="1422"/>
      <c r="Y8" s="1422"/>
      <c r="Z8" s="1422"/>
      <c r="AA8" s="1405">
        <f>+'End of Period Calculations'!AA99</f>
        <v>131741687.23064102</v>
      </c>
      <c r="AB8" s="1428">
        <v>3.47E-3</v>
      </c>
      <c r="AC8" s="1425">
        <f>AB8*AA8</f>
        <v>457143.65469032433</v>
      </c>
      <c r="AD8" s="1422"/>
      <c r="AF8" s="1422"/>
      <c r="AG8" s="1422"/>
      <c r="AH8" s="1422"/>
      <c r="AI8" s="1429"/>
      <c r="AJ8" s="1430"/>
      <c r="AK8" s="1425"/>
      <c r="AL8" s="748"/>
    </row>
    <row r="9" spans="1:39">
      <c r="A9" s="728">
        <v>4</v>
      </c>
      <c r="B9" s="727" t="s">
        <v>2648</v>
      </c>
      <c r="E9" s="1431">
        <f>SUM(E7:E8)</f>
        <v>47167667.629999988</v>
      </c>
      <c r="F9" s="1422"/>
      <c r="G9" s="1422"/>
      <c r="H9" s="1422"/>
      <c r="I9" s="1422"/>
      <c r="J9" s="1422"/>
      <c r="K9" s="1405"/>
      <c r="L9" s="1427"/>
      <c r="M9" s="1423"/>
      <c r="N9" s="1422"/>
      <c r="O9" s="1423"/>
      <c r="P9" s="1423"/>
      <c r="Q9" s="1423"/>
      <c r="R9" s="1422"/>
      <c r="S9" s="1423"/>
      <c r="T9" s="1423"/>
      <c r="U9" s="1423"/>
      <c r="V9" s="1422"/>
      <c r="W9" s="1422"/>
      <c r="X9" s="1422"/>
      <c r="Y9" s="1422"/>
      <c r="Z9" s="1422"/>
      <c r="AA9" s="1425"/>
      <c r="AB9" s="1425"/>
      <c r="AC9" s="1425"/>
      <c r="AD9" s="1422"/>
      <c r="AF9" s="1422"/>
      <c r="AG9" s="1422"/>
      <c r="AH9" s="1422"/>
      <c r="AI9" s="1432"/>
      <c r="AJ9" s="1430"/>
      <c r="AK9" s="1425"/>
      <c r="AL9" s="748"/>
    </row>
    <row r="10" spans="1:39" ht="15.6">
      <c r="A10" s="728">
        <v>5</v>
      </c>
      <c r="E10" s="1423"/>
      <c r="L10" s="1427"/>
      <c r="O10" s="1423"/>
      <c r="P10" s="1423"/>
      <c r="Q10" s="1423"/>
      <c r="S10" s="1423"/>
      <c r="T10" s="1423"/>
      <c r="U10" s="1423"/>
      <c r="AA10" s="1425"/>
      <c r="AB10" s="1425"/>
      <c r="AC10" s="1425"/>
      <c r="AI10" s="1433"/>
      <c r="AJ10" s="1430"/>
      <c r="AK10" s="1425"/>
      <c r="AL10" s="748"/>
    </row>
    <row r="11" spans="1:39" ht="15.6">
      <c r="A11" s="728">
        <v>6</v>
      </c>
      <c r="B11" s="727" t="s">
        <v>2649</v>
      </c>
      <c r="E11" s="1423"/>
      <c r="K11" s="1434">
        <f>'Weather Normalization'!E16-SUM('Exh 2, Proof of Revenue'!K8:K8)</f>
        <v>-179086.38636855781</v>
      </c>
      <c r="L11" s="1427">
        <f>L8</f>
        <v>0.31073000000000001</v>
      </c>
      <c r="M11" s="1435">
        <f>L11*K11</f>
        <v>-55647.512836301968</v>
      </c>
      <c r="O11" s="1423"/>
      <c r="P11" s="1423"/>
      <c r="Q11" s="1423"/>
      <c r="S11" s="1423"/>
      <c r="T11" s="1423"/>
      <c r="U11" s="1423"/>
      <c r="AA11" s="1425"/>
      <c r="AB11" s="1425"/>
      <c r="AC11" s="1425"/>
      <c r="AI11" s="1433"/>
      <c r="AJ11" s="1430"/>
      <c r="AK11" s="1425"/>
      <c r="AL11" s="748"/>
    </row>
    <row r="12" spans="1:39" ht="15.6">
      <c r="A12" s="728">
        <v>7</v>
      </c>
      <c r="E12" s="1423"/>
      <c r="L12" s="1427"/>
      <c r="M12" s="1435"/>
      <c r="O12" s="1423"/>
      <c r="P12" s="1423"/>
      <c r="Q12" s="1423"/>
      <c r="S12" s="1423"/>
      <c r="T12" s="1423"/>
      <c r="U12" s="1423"/>
      <c r="AA12" s="1425"/>
      <c r="AB12" s="1425"/>
      <c r="AC12" s="1425"/>
      <c r="AI12" s="1433"/>
      <c r="AJ12" s="1430"/>
      <c r="AK12" s="1425"/>
      <c r="AL12" s="748"/>
    </row>
    <row r="13" spans="1:39">
      <c r="A13" s="728">
        <v>8</v>
      </c>
      <c r="B13" s="727" t="s">
        <v>2650</v>
      </c>
      <c r="E13" s="1423">
        <f>'1501 Summary'!AD8</f>
        <v>57026087.02000007</v>
      </c>
      <c r="F13" s="1422"/>
      <c r="G13" s="1422"/>
      <c r="H13" s="1422"/>
      <c r="I13" s="1422"/>
      <c r="J13" s="1422"/>
      <c r="K13" s="1405">
        <f>SUM(K8:K11)</f>
        <v>130528548.34989311</v>
      </c>
      <c r="L13" s="1427">
        <f>L8</f>
        <v>0.31073000000000001</v>
      </c>
      <c r="M13" s="1436">
        <f>L13*K13</f>
        <v>40559135.828762285</v>
      </c>
      <c r="N13" s="1422"/>
      <c r="O13" s="1405"/>
      <c r="P13" s="1437"/>
      <c r="Q13" s="1437"/>
      <c r="R13" s="1422"/>
      <c r="S13" s="1405">
        <f>'End of Period Calculations'!AA99</f>
        <v>131741687.23064102</v>
      </c>
      <c r="T13" s="1437">
        <f>S13*L13</f>
        <v>40936094.473177083</v>
      </c>
      <c r="U13" s="1437">
        <f>T13-M13</f>
        <v>376958.64441479743</v>
      </c>
      <c r="V13" s="1422"/>
      <c r="W13" s="1422"/>
      <c r="X13" s="1422"/>
      <c r="Y13" s="1422"/>
      <c r="Z13" s="1422"/>
      <c r="AA13" s="1425"/>
      <c r="AB13" s="1425"/>
      <c r="AC13" s="1425"/>
      <c r="AD13" s="1422"/>
      <c r="AE13" s="1405">
        <f>IF($AM$3="No", S13, 'End of Period Calculations'!AA126)</f>
        <v>131741687.23064102</v>
      </c>
      <c r="AF13" s="1438">
        <f>AE13*L13</f>
        <v>40936094.473177083</v>
      </c>
      <c r="AG13" s="1438">
        <f>AF13-T13</f>
        <v>0</v>
      </c>
      <c r="AH13" s="1422"/>
      <c r="AI13" s="1439">
        <f>'Exh 18, Class Rates'!H10</f>
        <v>0.30927327776368324</v>
      </c>
      <c r="AJ13" s="1440">
        <f>AI13*AE13</f>
        <v>40744183.42793832</v>
      </c>
      <c r="AK13" s="1425">
        <f>AJ13-AF13</f>
        <v>-191911.04523876309</v>
      </c>
      <c r="AL13" s="748"/>
    </row>
    <row r="14" spans="1:39">
      <c r="A14" s="728">
        <v>9</v>
      </c>
      <c r="E14" s="1423"/>
      <c r="L14" s="1427"/>
      <c r="M14" s="1435">
        <f>SUM(M13,M7)</f>
        <v>52167791.428762287</v>
      </c>
      <c r="O14" s="1423"/>
      <c r="P14" s="1423"/>
      <c r="Q14" s="1423"/>
      <c r="S14" s="1423"/>
      <c r="T14" s="1423">
        <f>SUM(T7,T13)</f>
        <v>52657634.473177083</v>
      </c>
      <c r="U14" s="1423">
        <f>T14-M14</f>
        <v>489843.04441479594</v>
      </c>
      <c r="AA14" s="1425"/>
      <c r="AB14" s="1425"/>
      <c r="AC14" s="1425"/>
      <c r="AF14" s="1422">
        <f>SUM(AF7:AF13)</f>
        <v>52657634.473177083</v>
      </c>
      <c r="AG14" s="1422">
        <f>SUM(AG7:AG13)</f>
        <v>0</v>
      </c>
      <c r="AI14" s="1432"/>
      <c r="AJ14" s="1441">
        <f>SUM(AJ7:AJ13)</f>
        <v>52465723.42793832</v>
      </c>
      <c r="AK14" s="1441">
        <f>SUM(AK7:AK13)</f>
        <v>-191911.04523876309</v>
      </c>
      <c r="AL14" s="748"/>
    </row>
    <row r="15" spans="1:39">
      <c r="A15" s="728">
        <v>10</v>
      </c>
      <c r="B15" s="727" t="s">
        <v>2651</v>
      </c>
      <c r="E15" s="1423"/>
      <c r="L15" s="1427"/>
      <c r="O15" s="1423"/>
      <c r="P15" s="1423"/>
      <c r="Q15" s="1423"/>
      <c r="S15" s="1423"/>
      <c r="T15" s="1423"/>
      <c r="U15" s="1423"/>
      <c r="AA15" s="1425"/>
      <c r="AB15" s="1425"/>
      <c r="AC15" s="1425"/>
      <c r="AK15" s="1425"/>
      <c r="AL15" s="748"/>
    </row>
    <row r="16" spans="1:39">
      <c r="A16" s="728">
        <v>11</v>
      </c>
      <c r="B16" s="727" t="s">
        <v>2652</v>
      </c>
      <c r="E16" s="1423">
        <f>'1501 Summary'!AD9</f>
        <v>5759452.8200000022</v>
      </c>
      <c r="L16" s="1427"/>
      <c r="O16" s="1423"/>
      <c r="P16" s="1423"/>
      <c r="Q16" s="1423"/>
      <c r="S16" s="1423"/>
      <c r="T16" s="1423"/>
      <c r="U16" s="1423"/>
      <c r="AA16" s="1425"/>
      <c r="AB16" s="1425"/>
      <c r="AC16" s="1425"/>
      <c r="AK16" s="1425"/>
      <c r="AL16" s="748"/>
    </row>
    <row r="17" spans="1:38">
      <c r="A17" s="728">
        <v>12</v>
      </c>
      <c r="B17" s="727" t="s">
        <v>2653</v>
      </c>
      <c r="E17" s="1423">
        <f>'1501 Summary'!AD10</f>
        <v>441169.52000000025</v>
      </c>
      <c r="F17" s="1422"/>
      <c r="G17" s="1422"/>
      <c r="H17" s="1422"/>
      <c r="I17" s="1422"/>
      <c r="J17" s="1422"/>
      <c r="K17" s="1422"/>
      <c r="L17" s="1427"/>
      <c r="M17" s="1422"/>
      <c r="N17" s="1422"/>
      <c r="O17" s="1423"/>
      <c r="P17" s="1423"/>
      <c r="Q17" s="1423"/>
      <c r="R17" s="1422"/>
      <c r="S17" s="1423"/>
      <c r="T17" s="1423"/>
      <c r="U17" s="1423"/>
      <c r="V17" s="1422"/>
      <c r="W17" s="1422"/>
      <c r="X17" s="1422"/>
      <c r="Y17" s="1422"/>
      <c r="Z17" s="1422"/>
      <c r="AD17" s="1422"/>
      <c r="AF17" s="1422"/>
      <c r="AG17" s="1422"/>
      <c r="AH17" s="1422"/>
      <c r="AK17" s="1441"/>
      <c r="AL17" s="748"/>
    </row>
    <row r="18" spans="1:38">
      <c r="A18" s="728">
        <v>13</v>
      </c>
      <c r="B18" s="727" t="s">
        <v>2654</v>
      </c>
      <c r="E18" s="1423">
        <f>'1501 Summary'!AD11</f>
        <v>1799420.8200000019</v>
      </c>
      <c r="F18" s="1422"/>
      <c r="G18" s="1422"/>
      <c r="H18" s="1422"/>
      <c r="I18" s="1422"/>
      <c r="J18" s="1422"/>
      <c r="K18" s="1422"/>
      <c r="L18" s="1427"/>
      <c r="M18" s="1422"/>
      <c r="N18" s="1422"/>
      <c r="O18" s="1423"/>
      <c r="P18" s="1423"/>
      <c r="Q18" s="1423"/>
      <c r="R18" s="1422"/>
      <c r="S18" s="1423"/>
      <c r="T18" s="1423"/>
      <c r="U18" s="1423"/>
      <c r="V18" s="1422"/>
      <c r="W18" s="1422"/>
      <c r="X18" s="1422"/>
      <c r="Y18" s="1422"/>
      <c r="Z18" s="1422"/>
      <c r="AD18" s="1422"/>
      <c r="AF18" s="1422"/>
      <c r="AG18" s="1422"/>
      <c r="AH18" s="1422"/>
      <c r="AL18" s="748"/>
    </row>
    <row r="19" spans="1:38">
      <c r="A19" s="728">
        <v>14</v>
      </c>
      <c r="B19" s="727" t="s">
        <v>2655</v>
      </c>
      <c r="E19" s="1423">
        <f>'1501 Summary'!AD12</f>
        <v>-2529025.379999999</v>
      </c>
      <c r="F19" s="1422"/>
      <c r="G19" s="1422"/>
      <c r="H19" s="1422"/>
      <c r="I19" s="1422"/>
      <c r="J19" s="1422"/>
      <c r="K19" s="1422"/>
      <c r="L19" s="1427"/>
      <c r="M19" s="1422"/>
      <c r="N19" s="1422"/>
      <c r="O19" s="1423"/>
      <c r="P19" s="1423"/>
      <c r="Q19" s="1423"/>
      <c r="R19" s="1422"/>
      <c r="S19" s="1423"/>
      <c r="T19" s="1423"/>
      <c r="U19" s="1423"/>
      <c r="V19" s="1422"/>
      <c r="W19" s="1422"/>
      <c r="X19" s="1422"/>
      <c r="Y19" s="1422"/>
      <c r="Z19" s="1422"/>
      <c r="AD19" s="1422"/>
      <c r="AF19" s="1422"/>
      <c r="AG19" s="1422"/>
      <c r="AH19" s="1422"/>
      <c r="AL19" s="748"/>
    </row>
    <row r="20" spans="1:38">
      <c r="A20" s="728">
        <v>15</v>
      </c>
      <c r="B20" s="727" t="s">
        <v>2656</v>
      </c>
      <c r="E20" s="1423">
        <f>'1501 Summary'!AD13</f>
        <v>846347.13</v>
      </c>
      <c r="F20" s="1422"/>
      <c r="G20" s="1422"/>
      <c r="H20" s="1422"/>
      <c r="I20" s="1422"/>
      <c r="J20" s="1422"/>
      <c r="K20" s="1422"/>
      <c r="L20" s="1427"/>
      <c r="M20" s="1422"/>
      <c r="N20" s="1422"/>
      <c r="O20" s="1423"/>
      <c r="P20" s="1423"/>
      <c r="Q20" s="1423"/>
      <c r="R20" s="1422"/>
      <c r="S20" s="1423"/>
      <c r="T20" s="1423"/>
      <c r="U20" s="1423"/>
      <c r="V20" s="1422"/>
      <c r="W20" s="1422"/>
      <c r="X20" s="1422"/>
      <c r="Y20" s="1422"/>
      <c r="Z20" s="1422"/>
      <c r="AD20" s="1422"/>
      <c r="AF20" s="1422"/>
      <c r="AG20" s="1422"/>
      <c r="AH20" s="1422"/>
      <c r="AL20" s="748"/>
    </row>
    <row r="21" spans="1:38">
      <c r="A21" s="728">
        <v>16</v>
      </c>
      <c r="B21" s="727" t="s">
        <v>2657</v>
      </c>
      <c r="E21" s="1423">
        <f>'1501 Summary'!AD14</f>
        <v>3574018.8199999989</v>
      </c>
      <c r="F21" s="1422"/>
      <c r="G21" s="1422"/>
      <c r="H21" s="1422"/>
      <c r="I21" s="1422"/>
      <c r="J21" s="1422"/>
      <c r="K21" s="1422"/>
      <c r="L21" s="1427"/>
      <c r="M21" s="1422"/>
      <c r="N21" s="1422"/>
      <c r="O21" s="1423"/>
      <c r="P21" s="1423"/>
      <c r="Q21" s="1423"/>
      <c r="R21" s="1422"/>
      <c r="S21" s="1423"/>
      <c r="T21" s="1423"/>
      <c r="U21" s="1423"/>
      <c r="V21" s="1422"/>
      <c r="W21" s="1422"/>
      <c r="X21" s="1422"/>
      <c r="Y21" s="1422"/>
      <c r="Z21" s="1422"/>
      <c r="AD21" s="1422"/>
      <c r="AF21" s="1422"/>
      <c r="AG21" s="1422"/>
      <c r="AH21" s="1422"/>
      <c r="AL21" s="748"/>
    </row>
    <row r="22" spans="1:38">
      <c r="A22" s="728">
        <v>17</v>
      </c>
      <c r="B22" s="1442" t="s">
        <v>2658</v>
      </c>
      <c r="E22" s="1423">
        <f>'1501 Summary'!AD15</f>
        <v>-956022.1800000011</v>
      </c>
      <c r="F22" s="1422"/>
      <c r="G22" s="1422"/>
      <c r="H22" s="1422"/>
      <c r="I22" s="1422"/>
      <c r="J22" s="1422"/>
      <c r="K22" s="1422"/>
      <c r="L22" s="1427"/>
      <c r="M22" s="1422"/>
      <c r="N22" s="1422"/>
      <c r="O22" s="1423"/>
      <c r="P22" s="1423"/>
      <c r="Q22" s="1423"/>
      <c r="R22" s="1422"/>
      <c r="S22" s="1423"/>
      <c r="T22" s="1423"/>
      <c r="U22" s="1423"/>
      <c r="V22" s="1422"/>
      <c r="W22" s="1422"/>
      <c r="X22" s="1422"/>
      <c r="Y22" s="1422"/>
      <c r="Z22" s="1422"/>
      <c r="AD22" s="1422"/>
      <c r="AF22" s="1422"/>
      <c r="AG22" s="1422"/>
      <c r="AH22" s="1422"/>
      <c r="AL22" s="748"/>
    </row>
    <row r="23" spans="1:38">
      <c r="A23" s="728">
        <v>18</v>
      </c>
      <c r="B23" s="1442" t="s">
        <v>2659</v>
      </c>
      <c r="E23" s="1423">
        <f>'1501 Summary'!AD16</f>
        <v>-428744.85000000044</v>
      </c>
      <c r="F23" s="1422"/>
      <c r="G23" s="1422"/>
      <c r="H23" s="1422"/>
      <c r="I23" s="1422"/>
      <c r="J23" s="1422"/>
      <c r="K23" s="1422"/>
      <c r="L23" s="1427"/>
      <c r="M23" s="1422"/>
      <c r="N23" s="1422"/>
      <c r="O23" s="1423"/>
      <c r="P23" s="1423"/>
      <c r="Q23" s="1423"/>
      <c r="R23" s="1422"/>
      <c r="S23" s="1423"/>
      <c r="T23" s="1423"/>
      <c r="U23" s="1423"/>
      <c r="V23" s="1422"/>
      <c r="W23" s="1422"/>
      <c r="X23" s="1422"/>
      <c r="Y23" s="1422"/>
      <c r="Z23" s="1422"/>
      <c r="AD23" s="1422"/>
      <c r="AF23" s="1422"/>
      <c r="AG23" s="1422"/>
      <c r="AH23" s="1422"/>
      <c r="AL23" s="748"/>
    </row>
    <row r="24" spans="1:38">
      <c r="A24" s="728">
        <v>19</v>
      </c>
      <c r="B24" s="1442" t="s">
        <v>2660</v>
      </c>
      <c r="E24" s="1423">
        <f>'1501 Summary'!AD17</f>
        <v>-667501.94999999995</v>
      </c>
      <c r="F24" s="1422"/>
      <c r="G24" s="1422"/>
      <c r="H24" s="1422"/>
      <c r="I24" s="1422"/>
      <c r="J24" s="1422"/>
      <c r="K24" s="1422"/>
      <c r="L24" s="1427"/>
      <c r="M24" s="1422"/>
      <c r="N24" s="1422"/>
      <c r="O24" s="1423"/>
      <c r="P24" s="1423"/>
      <c r="Q24" s="1423"/>
      <c r="R24" s="1422"/>
      <c r="S24" s="1423"/>
      <c r="T24" s="1423"/>
      <c r="U24" s="1423"/>
      <c r="V24" s="1422"/>
      <c r="W24" s="1422"/>
      <c r="X24" s="1422"/>
      <c r="Y24" s="1422"/>
      <c r="Z24" s="1422"/>
      <c r="AD24" s="1422"/>
      <c r="AF24" s="1422"/>
      <c r="AG24" s="1422"/>
      <c r="AH24" s="1422"/>
      <c r="AL24" s="748"/>
    </row>
    <row r="25" spans="1:38">
      <c r="A25" s="728">
        <v>20</v>
      </c>
      <c r="B25" s="727" t="s">
        <v>2661</v>
      </c>
      <c r="E25" s="1423">
        <f>'1501 Summary'!AD18</f>
        <v>5506161.7299999967</v>
      </c>
      <c r="F25" s="1422"/>
      <c r="G25" s="1422"/>
      <c r="H25" s="1422"/>
      <c r="I25" s="1422"/>
      <c r="J25" s="1422"/>
      <c r="K25" s="1422"/>
      <c r="L25" s="1427"/>
      <c r="M25" s="1422"/>
      <c r="N25" s="1422"/>
      <c r="O25" s="1423"/>
      <c r="P25" s="1423"/>
      <c r="Q25" s="1423"/>
      <c r="R25" s="1422"/>
      <c r="S25" s="1423"/>
      <c r="T25" s="1423"/>
      <c r="U25" s="1423"/>
      <c r="V25" s="1422"/>
      <c r="W25" s="1422"/>
      <c r="X25" s="1422"/>
      <c r="Y25" s="1422"/>
      <c r="Z25" s="1422"/>
      <c r="AA25" s="1423"/>
      <c r="AB25" s="1423"/>
      <c r="AC25" s="1423"/>
      <c r="AD25" s="1422"/>
      <c r="AF25" s="1422"/>
      <c r="AG25" s="1422"/>
      <c r="AH25" s="1422"/>
      <c r="AK25" s="1423"/>
      <c r="AL25" s="748"/>
    </row>
    <row r="26" spans="1:38">
      <c r="A26" s="728">
        <v>21</v>
      </c>
      <c r="B26" s="727" t="s">
        <v>2662</v>
      </c>
      <c r="E26" s="1423">
        <f>'1501 Summary'!AD19</f>
        <v>13767.33</v>
      </c>
      <c r="F26" s="1422"/>
      <c r="G26" s="1422"/>
      <c r="H26" s="1422"/>
      <c r="I26" s="1422"/>
      <c r="J26" s="1422"/>
      <c r="K26" s="1422"/>
      <c r="L26" s="1427"/>
      <c r="M26" s="1422"/>
      <c r="N26" s="1422"/>
      <c r="O26" s="1423"/>
      <c r="P26" s="1423"/>
      <c r="Q26" s="1423"/>
      <c r="R26" s="1422"/>
      <c r="S26" s="1423"/>
      <c r="T26" s="1423"/>
      <c r="U26" s="1423"/>
      <c r="V26" s="1422"/>
      <c r="W26" s="1422"/>
      <c r="X26" s="1422"/>
      <c r="Y26" s="1422"/>
      <c r="Z26" s="1422"/>
      <c r="AA26" s="1423"/>
      <c r="AB26" s="1423"/>
      <c r="AC26" s="1423"/>
      <c r="AD26" s="1422"/>
      <c r="AF26" s="1422"/>
      <c r="AG26" s="1422"/>
      <c r="AH26" s="1422"/>
      <c r="AK26" s="1423"/>
      <c r="AL26" s="748"/>
    </row>
    <row r="27" spans="1:38">
      <c r="A27" s="728">
        <v>22</v>
      </c>
      <c r="B27" s="727" t="s">
        <v>2663</v>
      </c>
      <c r="E27" s="1423">
        <f>'1501 Summary'!AD20</f>
        <v>1289.7299999999998</v>
      </c>
      <c r="F27" s="1422"/>
      <c r="G27" s="1422"/>
      <c r="H27" s="1422"/>
      <c r="I27" s="1422"/>
      <c r="J27" s="1422"/>
      <c r="K27" s="1422"/>
      <c r="L27" s="1427"/>
      <c r="M27" s="1422"/>
      <c r="N27" s="1422"/>
      <c r="O27" s="1423"/>
      <c r="P27" s="1423"/>
      <c r="Q27" s="1423"/>
      <c r="R27" s="1422"/>
      <c r="S27" s="1423"/>
      <c r="T27" s="1423"/>
      <c r="U27" s="1423"/>
      <c r="V27" s="1422"/>
      <c r="W27" s="1422"/>
      <c r="X27" s="1422"/>
      <c r="Y27" s="1422"/>
      <c r="Z27" s="1422"/>
      <c r="AA27" s="1423"/>
      <c r="AB27" s="1423"/>
      <c r="AC27" s="1423"/>
      <c r="AD27" s="1422"/>
      <c r="AF27" s="1422"/>
      <c r="AG27" s="1422"/>
      <c r="AH27" s="1422"/>
      <c r="AK27" s="1423"/>
      <c r="AL27" s="748"/>
    </row>
    <row r="28" spans="1:38">
      <c r="A28" s="728">
        <v>23</v>
      </c>
      <c r="B28" s="727" t="s">
        <v>2664</v>
      </c>
      <c r="E28" s="1423">
        <f>'1501 Summary'!AD21</f>
        <v>-709.94</v>
      </c>
      <c r="F28" s="1422"/>
      <c r="G28" s="1422"/>
      <c r="H28" s="1422"/>
      <c r="I28" s="1422"/>
      <c r="J28" s="1422"/>
      <c r="K28" s="1422"/>
      <c r="L28" s="1427"/>
      <c r="M28" s="1422"/>
      <c r="N28" s="1422"/>
      <c r="O28" s="1423"/>
      <c r="P28" s="1423"/>
      <c r="Q28" s="1423"/>
      <c r="R28" s="1422"/>
      <c r="S28" s="1423"/>
      <c r="T28" s="1423"/>
      <c r="U28" s="1423"/>
      <c r="V28" s="1422"/>
      <c r="W28" s="1422"/>
      <c r="X28" s="1422"/>
      <c r="Y28" s="1422"/>
      <c r="Z28" s="1422"/>
      <c r="AA28" s="1423"/>
      <c r="AB28" s="1423"/>
      <c r="AC28" s="1423"/>
      <c r="AD28" s="1422"/>
      <c r="AF28" s="1422"/>
      <c r="AG28" s="1422"/>
      <c r="AH28" s="1422"/>
      <c r="AK28" s="1423"/>
      <c r="AL28" s="748"/>
    </row>
    <row r="29" spans="1:38">
      <c r="A29" s="728">
        <v>24</v>
      </c>
      <c r="B29" s="727" t="s">
        <v>2665</v>
      </c>
      <c r="E29" s="1423">
        <f>'1501 Summary'!AD22</f>
        <v>20656.729999999996</v>
      </c>
      <c r="F29" s="1422"/>
      <c r="G29" s="1422"/>
      <c r="H29" s="1422"/>
      <c r="I29" s="1422"/>
      <c r="J29" s="1422"/>
      <c r="K29" s="1422"/>
      <c r="L29" s="1427"/>
      <c r="M29" s="1422"/>
      <c r="N29" s="1422"/>
      <c r="O29" s="1423"/>
      <c r="P29" s="1423"/>
      <c r="Q29" s="1423"/>
      <c r="R29" s="1422"/>
      <c r="S29" s="1423"/>
      <c r="T29" s="1423"/>
      <c r="U29" s="1423"/>
      <c r="V29" s="1422"/>
      <c r="W29" s="1422"/>
      <c r="X29" s="1422"/>
      <c r="Y29" s="1422"/>
      <c r="Z29" s="1422"/>
      <c r="AA29" s="1423"/>
      <c r="AB29" s="1423"/>
      <c r="AC29" s="1423"/>
      <c r="AD29" s="1422"/>
      <c r="AF29" s="1422"/>
      <c r="AG29" s="1422"/>
      <c r="AH29" s="1422"/>
      <c r="AK29" s="1423"/>
      <c r="AL29" s="748"/>
    </row>
    <row r="30" spans="1:38">
      <c r="A30" s="728">
        <v>25</v>
      </c>
      <c r="B30" s="1443" t="s">
        <v>54</v>
      </c>
      <c r="E30" s="1423">
        <f>'1501 Summary'!AD23</f>
        <v>-381.85</v>
      </c>
      <c r="F30" s="1422"/>
      <c r="G30" s="1422"/>
      <c r="H30" s="1422"/>
      <c r="I30" s="1422"/>
      <c r="J30" s="1422"/>
      <c r="K30" s="1422"/>
      <c r="L30" s="1427"/>
      <c r="M30" s="1422"/>
      <c r="N30" s="1422"/>
      <c r="O30" s="1423"/>
      <c r="P30" s="1423"/>
      <c r="Q30" s="1423"/>
      <c r="R30" s="1422"/>
      <c r="S30" s="1423"/>
      <c r="T30" s="1423"/>
      <c r="U30" s="1423"/>
      <c r="V30" s="1422"/>
      <c r="W30" s="1422"/>
      <c r="X30" s="1422"/>
      <c r="Y30" s="1422"/>
      <c r="Z30" s="1422"/>
      <c r="AA30" s="1423"/>
      <c r="AB30" s="1423"/>
      <c r="AC30" s="1423"/>
      <c r="AD30" s="1422"/>
      <c r="AF30" s="1422"/>
      <c r="AG30" s="1422"/>
      <c r="AH30" s="1422"/>
      <c r="AK30" s="1423"/>
      <c r="AL30" s="748"/>
    </row>
    <row r="31" spans="1:38">
      <c r="A31" s="728">
        <v>26</v>
      </c>
      <c r="B31" s="1443" t="s">
        <v>2666</v>
      </c>
      <c r="E31" s="1423">
        <f>'Revenue Reconcilliation'!Q14</f>
        <v>73352000.449999988</v>
      </c>
      <c r="F31" s="1422"/>
      <c r="G31" s="1422"/>
      <c r="H31" s="1422"/>
      <c r="I31" s="1422"/>
      <c r="J31" s="1422"/>
      <c r="K31" s="1422"/>
      <c r="L31" s="1427"/>
      <c r="M31" s="1422"/>
      <c r="N31" s="1422"/>
      <c r="O31" s="1423"/>
      <c r="P31" s="1423"/>
      <c r="Q31" s="1423"/>
      <c r="R31" s="1422"/>
      <c r="S31" s="1423"/>
      <c r="T31" s="1423"/>
      <c r="U31" s="1423"/>
      <c r="V31" s="1422"/>
      <c r="W31" s="1422"/>
      <c r="X31" s="1422"/>
      <c r="Y31" s="1422"/>
      <c r="Z31" s="1422"/>
      <c r="AA31" s="1423"/>
      <c r="AB31" s="1423"/>
      <c r="AC31" s="1423"/>
      <c r="AD31" s="1422"/>
      <c r="AF31" s="1422"/>
      <c r="AG31" s="1422"/>
      <c r="AH31" s="1422"/>
      <c r="AK31" s="1423"/>
      <c r="AL31" s="748"/>
    </row>
    <row r="32" spans="1:38">
      <c r="A32" s="728">
        <v>27</v>
      </c>
      <c r="B32" s="1443" t="s">
        <v>2667</v>
      </c>
      <c r="E32" s="1423">
        <f>'Revenue Reconcilliation'!Q15</f>
        <v>-71347018.019999996</v>
      </c>
      <c r="F32" s="1422"/>
      <c r="G32" s="1422"/>
      <c r="H32" s="1422"/>
      <c r="I32" s="1422"/>
      <c r="J32" s="1422"/>
      <c r="K32" s="1422"/>
      <c r="L32" s="1427"/>
      <c r="M32" s="1422"/>
      <c r="N32" s="1422"/>
      <c r="O32" s="1423"/>
      <c r="P32" s="1423"/>
      <c r="Q32" s="1423"/>
      <c r="R32" s="1422"/>
      <c r="S32" s="1423"/>
      <c r="T32" s="1423"/>
      <c r="U32" s="1423"/>
      <c r="V32" s="1422"/>
      <c r="W32" s="1422"/>
      <c r="X32" s="1422"/>
      <c r="Y32" s="1422"/>
      <c r="Z32" s="1422"/>
      <c r="AA32" s="1423"/>
      <c r="AB32" s="1423"/>
      <c r="AC32" s="1423"/>
      <c r="AD32" s="1422"/>
      <c r="AF32" s="1422"/>
      <c r="AG32" s="1422"/>
      <c r="AH32" s="1422"/>
      <c r="AK32" s="1423"/>
      <c r="AL32" s="748"/>
    </row>
    <row r="33" spans="1:38">
      <c r="A33" s="728">
        <v>28</v>
      </c>
      <c r="B33" s="1443" t="s">
        <v>2668</v>
      </c>
      <c r="E33" s="1423">
        <f>'Revenue Reconcilliation'!Q16</f>
        <v>-1197917.9699999995</v>
      </c>
      <c r="F33" s="1422"/>
      <c r="G33" s="1422"/>
      <c r="H33" s="1422"/>
      <c r="I33" s="1422"/>
      <c r="J33" s="1422"/>
      <c r="K33" s="1422"/>
      <c r="L33" s="1427"/>
      <c r="M33" s="1422"/>
      <c r="N33" s="1422"/>
      <c r="O33" s="1423"/>
      <c r="P33" s="1423"/>
      <c r="Q33" s="1423"/>
      <c r="R33" s="1422"/>
      <c r="S33" s="1423"/>
      <c r="T33" s="1423"/>
      <c r="U33" s="1423"/>
      <c r="V33" s="1422"/>
      <c r="W33" s="1422"/>
      <c r="X33" s="1422"/>
      <c r="Y33" s="1422"/>
      <c r="Z33" s="1422"/>
      <c r="AA33" s="1423"/>
      <c r="AB33" s="1423"/>
      <c r="AC33" s="1423"/>
      <c r="AD33" s="1422"/>
      <c r="AF33" s="1422"/>
      <c r="AG33" s="1422"/>
      <c r="AH33" s="1422"/>
      <c r="AK33" s="1423"/>
      <c r="AL33" s="748"/>
    </row>
    <row r="34" spans="1:38">
      <c r="A34" s="728">
        <v>29</v>
      </c>
      <c r="B34" s="1443" t="s">
        <v>2669</v>
      </c>
      <c r="E34" s="1423">
        <f>'Revenue Reconcilliation'!Q17</f>
        <v>2095723.1499999994</v>
      </c>
      <c r="F34" s="1422"/>
      <c r="G34" s="1422"/>
      <c r="H34" s="1422"/>
      <c r="I34" s="1422"/>
      <c r="J34" s="1422"/>
      <c r="K34" s="1422"/>
      <c r="L34" s="1427"/>
      <c r="M34" s="1422"/>
      <c r="N34" s="1422"/>
      <c r="O34" s="1423"/>
      <c r="P34" s="1423"/>
      <c r="Q34" s="1423"/>
      <c r="R34" s="1422"/>
      <c r="S34" s="1423"/>
      <c r="T34" s="1423"/>
      <c r="U34" s="1423"/>
      <c r="V34" s="1422"/>
      <c r="W34" s="1422"/>
      <c r="X34" s="1422"/>
      <c r="Y34" s="1422"/>
      <c r="Z34" s="1422"/>
      <c r="AA34" s="1423"/>
      <c r="AB34" s="1423"/>
      <c r="AC34" s="1423"/>
      <c r="AD34" s="1422"/>
      <c r="AF34" s="1422"/>
      <c r="AG34" s="1422"/>
      <c r="AH34" s="1422"/>
      <c r="AK34" s="1423"/>
      <c r="AL34" s="748"/>
    </row>
    <row r="35" spans="1:38">
      <c r="A35" s="728">
        <v>30</v>
      </c>
      <c r="B35" s="1443" t="s">
        <v>2670</v>
      </c>
      <c r="E35" s="1423">
        <f>'Revenue Reconcilliation'!Q18</f>
        <v>0</v>
      </c>
      <c r="F35" s="1422"/>
      <c r="G35" s="1422"/>
      <c r="H35" s="1422"/>
      <c r="I35" s="1422"/>
      <c r="J35" s="1422"/>
      <c r="K35" s="1422"/>
      <c r="L35" s="1427"/>
      <c r="M35" s="1422"/>
      <c r="N35" s="1422"/>
      <c r="O35" s="1423"/>
      <c r="P35" s="1423"/>
      <c r="Q35" s="1423"/>
      <c r="R35" s="1422"/>
      <c r="S35" s="1423"/>
      <c r="T35" s="1423"/>
      <c r="U35" s="1423"/>
      <c r="V35" s="1422"/>
      <c r="W35" s="1422"/>
      <c r="X35" s="1422"/>
      <c r="Y35" s="1422"/>
      <c r="Z35" s="1422"/>
      <c r="AA35" s="1423"/>
      <c r="AB35" s="1423"/>
      <c r="AC35" s="1423"/>
      <c r="AD35" s="1422"/>
      <c r="AF35" s="1422"/>
      <c r="AG35" s="1422"/>
      <c r="AH35" s="1422"/>
      <c r="AK35" s="1423"/>
      <c r="AL35" s="748"/>
    </row>
    <row r="36" spans="1:38">
      <c r="A36" s="728">
        <v>31</v>
      </c>
      <c r="B36" s="1443" t="s">
        <v>2671</v>
      </c>
      <c r="E36" s="1437">
        <f>'Revenue Reconcilliation'!Q19</f>
        <v>-14.36</v>
      </c>
      <c r="F36" s="1422"/>
      <c r="G36" s="1422"/>
      <c r="H36" s="1422"/>
      <c r="I36" s="1422"/>
      <c r="J36" s="1422"/>
      <c r="K36" s="1422"/>
      <c r="L36" s="1427"/>
      <c r="M36" s="1422"/>
      <c r="N36" s="1422"/>
      <c r="O36" s="1423"/>
      <c r="P36" s="1423"/>
      <c r="Q36" s="1423"/>
      <c r="R36" s="1422"/>
      <c r="S36" s="1423"/>
      <c r="T36" s="1423"/>
      <c r="U36" s="1423"/>
      <c r="V36" s="1422"/>
      <c r="W36" s="1422"/>
      <c r="X36" s="1422"/>
      <c r="Y36" s="1422"/>
      <c r="Z36" s="1422"/>
      <c r="AA36" s="1423"/>
      <c r="AB36" s="1423"/>
      <c r="AC36" s="1423"/>
      <c r="AD36" s="1422"/>
      <c r="AF36" s="1422"/>
      <c r="AG36" s="1422"/>
      <c r="AH36" s="1422"/>
      <c r="AK36" s="1423"/>
      <c r="AL36" s="748"/>
    </row>
    <row r="37" spans="1:38">
      <c r="A37" s="728">
        <v>32</v>
      </c>
      <c r="B37" s="727" t="s">
        <v>2672</v>
      </c>
      <c r="E37" s="1423">
        <f>SUM(E16:E36)</f>
        <v>16282671.729999997</v>
      </c>
      <c r="F37" s="1422"/>
      <c r="G37" s="1422"/>
      <c r="H37" s="1422"/>
      <c r="I37" s="1422"/>
      <c r="J37" s="1422"/>
      <c r="K37" s="1422"/>
      <c r="L37" s="1427"/>
      <c r="M37" s="1422"/>
      <c r="N37" s="1422"/>
      <c r="O37" s="1423"/>
      <c r="P37" s="1423"/>
      <c r="Q37" s="1423"/>
      <c r="R37" s="1422"/>
      <c r="S37" s="1423"/>
      <c r="T37" s="1423"/>
      <c r="U37" s="1423"/>
      <c r="V37" s="1422"/>
      <c r="W37" s="1422"/>
      <c r="X37" s="1422"/>
      <c r="Y37" s="1422"/>
      <c r="Z37" s="1422"/>
      <c r="AA37" s="1423"/>
      <c r="AB37" s="1423"/>
      <c r="AC37" s="1423"/>
      <c r="AD37" s="1422"/>
      <c r="AF37" s="1422"/>
      <c r="AG37" s="1422"/>
      <c r="AH37" s="1422"/>
      <c r="AK37" s="1423"/>
      <c r="AL37" s="748"/>
    </row>
    <row r="38" spans="1:38">
      <c r="A38" s="728">
        <v>33</v>
      </c>
      <c r="E38" s="1423"/>
      <c r="L38" s="1427"/>
      <c r="O38" s="1423"/>
      <c r="P38" s="1423"/>
      <c r="Q38" s="1423"/>
      <c r="S38" s="1423"/>
      <c r="T38" s="1423"/>
      <c r="U38" s="1423"/>
      <c r="AL38" s="748"/>
    </row>
    <row r="39" spans="1:38">
      <c r="A39" s="728">
        <v>34</v>
      </c>
      <c r="B39" s="1444" t="str">
        <f>"Total "&amp;LEFT(B6,17)&amp;" Revenue"</f>
        <v>Total Rate Schedule 503 Revenue</v>
      </c>
      <c r="C39" s="1438">
        <f>E39-'Revenue Reconcilliation'!Q22</f>
        <v>0</v>
      </c>
      <c r="D39" s="1445" t="s">
        <v>2673</v>
      </c>
      <c r="E39" s="1438">
        <f>SUM(E9,E13,E37)</f>
        <v>120476426.38000005</v>
      </c>
      <c r="F39" s="1438"/>
      <c r="G39" s="1438"/>
      <c r="H39" s="1438"/>
      <c r="I39" s="1438"/>
      <c r="J39" s="1438"/>
      <c r="K39" s="1438"/>
      <c r="L39" s="1446"/>
      <c r="M39" s="1438"/>
      <c r="N39" s="1438"/>
      <c r="O39" s="1437"/>
      <c r="P39" s="1437"/>
      <c r="Q39" s="1437"/>
      <c r="R39" s="1438"/>
      <c r="S39" s="1437"/>
      <c r="T39" s="1437"/>
      <c r="U39" s="1437"/>
      <c r="V39" s="1438"/>
      <c r="W39" s="1438"/>
      <c r="X39" s="1438"/>
      <c r="Y39" s="1438"/>
      <c r="Z39" s="1438"/>
      <c r="AA39" s="1437"/>
      <c r="AB39" s="1437"/>
      <c r="AC39" s="1437"/>
      <c r="AD39" s="1438"/>
      <c r="AE39" s="1447"/>
      <c r="AF39" s="1438"/>
      <c r="AG39" s="1438"/>
      <c r="AH39" s="1438"/>
      <c r="AI39" s="1438"/>
      <c r="AJ39" s="1438"/>
      <c r="AK39" s="1437"/>
      <c r="AL39" s="748"/>
    </row>
    <row r="40" spans="1:38">
      <c r="A40" s="728">
        <v>35</v>
      </c>
      <c r="B40" s="1448"/>
      <c r="C40" s="1449"/>
      <c r="D40" s="1450"/>
      <c r="E40" s="1429"/>
      <c r="F40" s="1429"/>
      <c r="G40" s="1429"/>
      <c r="H40" s="1429"/>
      <c r="I40" s="1429"/>
      <c r="J40" s="1429"/>
      <c r="K40" s="1429"/>
      <c r="L40" s="1427"/>
      <c r="M40" s="1429"/>
      <c r="N40" s="1429"/>
      <c r="O40" s="1423"/>
      <c r="P40" s="1423"/>
      <c r="Q40" s="1423"/>
      <c r="R40" s="1429"/>
      <c r="S40" s="1423"/>
      <c r="T40" s="1423"/>
      <c r="U40" s="1423"/>
      <c r="V40" s="1429"/>
      <c r="W40" s="1429"/>
      <c r="X40" s="1429"/>
      <c r="Y40" s="1429"/>
      <c r="Z40" s="1429"/>
      <c r="AD40" s="1429"/>
      <c r="AF40" s="1429"/>
      <c r="AG40" s="1429"/>
      <c r="AH40" s="1429"/>
      <c r="AL40" s="748"/>
    </row>
    <row r="41" spans="1:38">
      <c r="A41" s="728">
        <v>36</v>
      </c>
      <c r="C41" s="1449"/>
      <c r="L41" s="1427"/>
      <c r="O41" s="1423"/>
      <c r="P41" s="1423"/>
      <c r="Q41" s="1423"/>
      <c r="S41" s="1423"/>
      <c r="T41" s="1423"/>
      <c r="U41" s="1423"/>
      <c r="AL41" s="748"/>
    </row>
    <row r="42" spans="1:38" ht="28.8">
      <c r="A42" s="728">
        <v>37</v>
      </c>
      <c r="B42" s="1420" t="s">
        <v>2674</v>
      </c>
      <c r="G42" s="1451" t="s">
        <v>2675</v>
      </c>
      <c r="L42" s="1427"/>
      <c r="M42" s="1423"/>
      <c r="O42" s="1423"/>
      <c r="P42" s="1423"/>
      <c r="Q42" s="1423"/>
      <c r="S42" s="1423"/>
      <c r="T42" s="1423"/>
      <c r="U42" s="1423"/>
      <c r="AL42" s="748"/>
    </row>
    <row r="43" spans="1:38">
      <c r="A43" s="728">
        <v>38</v>
      </c>
      <c r="B43" s="727" t="s">
        <v>2462</v>
      </c>
      <c r="C43" s="1405">
        <f>E43/D43</f>
        <v>319323.51538461534</v>
      </c>
      <c r="D43" s="1422">
        <v>13</v>
      </c>
      <c r="E43" s="1423">
        <f>'1501 Summary'!AD49</f>
        <v>4151205.6999999997</v>
      </c>
      <c r="F43" s="1423"/>
      <c r="G43" s="1424">
        <f>-G185</f>
        <v>12</v>
      </c>
      <c r="H43" s="1423">
        <f>D43</f>
        <v>13</v>
      </c>
      <c r="I43" s="1423">
        <f>G43*H43</f>
        <v>156</v>
      </c>
      <c r="J43" s="1423"/>
      <c r="K43" s="1405">
        <f>C43+G43</f>
        <v>319335.51538461534</v>
      </c>
      <c r="L43" s="1422">
        <f>D43</f>
        <v>13</v>
      </c>
      <c r="M43" s="1423">
        <f>L43*K43</f>
        <v>4151361.6999999993</v>
      </c>
      <c r="N43" s="1423"/>
      <c r="O43" s="1405"/>
      <c r="P43" s="1423"/>
      <c r="Q43" s="1423"/>
      <c r="R43" s="1423"/>
      <c r="S43" s="1405">
        <f>'End of Period Calculations'!AB100</f>
        <v>322116</v>
      </c>
      <c r="T43" s="1423">
        <f>S43*L43</f>
        <v>4187508</v>
      </c>
      <c r="U43" s="1423">
        <f>T43-M43</f>
        <v>36146.300000000745</v>
      </c>
      <c r="V43" s="1423"/>
      <c r="W43" s="1423"/>
      <c r="X43" s="1423"/>
      <c r="Y43" s="1423"/>
      <c r="Z43" s="1423"/>
      <c r="AA43" s="1425"/>
      <c r="AB43" s="1425"/>
      <c r="AC43" s="1425"/>
      <c r="AD43" s="1423"/>
      <c r="AE43" s="1405">
        <f>IF($AM$3="No", S43, 'End of Period Calculations'!AD100)</f>
        <v>322116</v>
      </c>
      <c r="AF43" s="1423">
        <f>AE43*L43</f>
        <v>4187508</v>
      </c>
      <c r="AG43" s="1422">
        <f>AF43-T43</f>
        <v>0</v>
      </c>
      <c r="AH43" s="1423"/>
      <c r="AI43" s="1452">
        <f>'Exh 18, Class Rates'!H15</f>
        <v>13</v>
      </c>
      <c r="AJ43" s="1425">
        <f>AI43*AE43</f>
        <v>4187508</v>
      </c>
      <c r="AK43" s="1425">
        <f>AJ43-AF43</f>
        <v>0</v>
      </c>
      <c r="AL43" s="748"/>
    </row>
    <row r="44" spans="1:38">
      <c r="A44" s="728">
        <v>39</v>
      </c>
      <c r="B44" s="1453" t="s">
        <v>2463</v>
      </c>
      <c r="C44" s="1405">
        <f>E44/D44</f>
        <v>94501074.928701058</v>
      </c>
      <c r="D44" s="1361">
        <v>0.23141999999999999</v>
      </c>
      <c r="E44" s="1423">
        <f>'1501 Summary'!AD50</f>
        <v>21869438.759999998</v>
      </c>
      <c r="F44" s="1423"/>
      <c r="G44" s="1424">
        <f>-G186</f>
        <v>29649.079595540581</v>
      </c>
      <c r="H44" s="1427">
        <f>D44</f>
        <v>0.23141999999999999</v>
      </c>
      <c r="I44" s="1437">
        <f>G44*H44</f>
        <v>6861.3900000000012</v>
      </c>
      <c r="J44" s="1423"/>
      <c r="K44" s="1405">
        <f>C44+G44</f>
        <v>94530724.008296594</v>
      </c>
      <c r="L44" s="1427">
        <v>0.26179999999999998</v>
      </c>
      <c r="M44" s="1423">
        <f>L44*K44</f>
        <v>24748143.545372047</v>
      </c>
      <c r="N44" s="1423"/>
      <c r="Q44" s="1423"/>
      <c r="R44" s="1423"/>
      <c r="U44" s="1423"/>
      <c r="V44" s="1423"/>
      <c r="W44" s="1423"/>
      <c r="X44" s="1423"/>
      <c r="Y44" s="1423"/>
      <c r="Z44" s="1423"/>
      <c r="AA44" s="1405">
        <f>+'End of Period Calculations'!AA100</f>
        <v>93296003.311035588</v>
      </c>
      <c r="AB44" s="1428">
        <v>2.2599999999999999E-3</v>
      </c>
      <c r="AC44" s="1425">
        <f>AB44*AA44</f>
        <v>210848.96748294041</v>
      </c>
      <c r="AD44" s="1423"/>
      <c r="AF44" s="1423"/>
      <c r="AG44" s="1423"/>
      <c r="AH44" s="1423"/>
      <c r="AJ44" s="1425"/>
      <c r="AK44" s="1425"/>
      <c r="AL44" s="748"/>
    </row>
    <row r="45" spans="1:38">
      <c r="A45" s="728">
        <v>40</v>
      </c>
      <c r="B45" s="727" t="s">
        <v>2648</v>
      </c>
      <c r="E45" s="1431">
        <f>SUM(E43:E44)</f>
        <v>26020644.459999997</v>
      </c>
      <c r="F45" s="1423"/>
      <c r="G45" s="1423"/>
      <c r="H45" s="1423"/>
      <c r="I45" s="1423">
        <f>SUM(I43:I44)</f>
        <v>7017.3900000000012</v>
      </c>
      <c r="J45" s="1423"/>
      <c r="K45" s="1405"/>
      <c r="L45" s="1427"/>
      <c r="M45" s="1423"/>
      <c r="N45" s="1423"/>
      <c r="Q45" s="1423"/>
      <c r="R45" s="1423"/>
      <c r="U45" s="1423"/>
      <c r="V45" s="1423"/>
      <c r="W45" s="1423"/>
      <c r="X45" s="1423"/>
      <c r="Y45" s="1423"/>
      <c r="Z45" s="1423"/>
      <c r="AA45" s="1425"/>
      <c r="AB45" s="1425"/>
      <c r="AC45" s="1425"/>
      <c r="AD45" s="1423"/>
      <c r="AF45" s="1423"/>
      <c r="AG45" s="1423"/>
      <c r="AH45" s="1423"/>
      <c r="AJ45" s="1425"/>
      <c r="AK45" s="1425"/>
      <c r="AL45" s="748"/>
    </row>
    <row r="46" spans="1:38" ht="15.6">
      <c r="A46" s="728">
        <v>41</v>
      </c>
      <c r="K46" s="1405"/>
      <c r="L46" s="1427"/>
      <c r="M46" s="1423"/>
      <c r="O46" s="1423"/>
      <c r="P46" s="1423"/>
      <c r="Q46" s="1423"/>
      <c r="S46" s="1423"/>
      <c r="T46" s="1423"/>
      <c r="U46" s="1423"/>
      <c r="AA46" s="1425"/>
      <c r="AB46" s="1425"/>
      <c r="AC46" s="1425"/>
      <c r="AI46" s="1433"/>
      <c r="AJ46" s="1425"/>
      <c r="AK46" s="1425"/>
      <c r="AL46" s="748"/>
    </row>
    <row r="47" spans="1:38" ht="15.6">
      <c r="A47" s="728">
        <v>42</v>
      </c>
      <c r="B47" s="727" t="s">
        <v>2649</v>
      </c>
      <c r="K47" s="1405">
        <f>'Weather Normalization'!J16-SUM(K44:K44)</f>
        <v>-1851008.9542511702</v>
      </c>
      <c r="L47" s="1427">
        <f>L44</f>
        <v>0.26179999999999998</v>
      </c>
      <c r="M47" s="1423">
        <f>K47*L47</f>
        <v>-484594.14422295633</v>
      </c>
      <c r="O47" s="1423"/>
      <c r="P47" s="1423"/>
      <c r="Q47" s="1423"/>
      <c r="S47" s="1423"/>
      <c r="T47" s="1423"/>
      <c r="U47" s="1423"/>
      <c r="AA47" s="1425"/>
      <c r="AB47" s="1425"/>
      <c r="AC47" s="1425"/>
      <c r="AI47" s="1433"/>
      <c r="AJ47" s="1425"/>
      <c r="AK47" s="1425"/>
      <c r="AL47" s="748"/>
    </row>
    <row r="48" spans="1:38" ht="15.6">
      <c r="A48" s="728">
        <v>43</v>
      </c>
      <c r="K48" s="1405"/>
      <c r="L48" s="1427"/>
      <c r="M48" s="1423"/>
      <c r="O48" s="1423"/>
      <c r="P48" s="1423"/>
      <c r="Q48" s="1423"/>
      <c r="S48" s="1423"/>
      <c r="T48" s="1423"/>
      <c r="U48" s="1423"/>
      <c r="AA48" s="1425"/>
      <c r="AB48" s="1425"/>
      <c r="AC48" s="1425"/>
      <c r="AI48" s="1433"/>
      <c r="AJ48" s="1425"/>
      <c r="AK48" s="1425"/>
      <c r="AL48" s="748"/>
    </row>
    <row r="49" spans="1:38">
      <c r="A49" s="728">
        <v>44</v>
      </c>
      <c r="B49" s="727" t="s">
        <v>2650</v>
      </c>
      <c r="E49" s="1423">
        <f>'1501 Summary'!AD51</f>
        <v>40967038.829999998</v>
      </c>
      <c r="F49" s="1423"/>
      <c r="G49" s="1423"/>
      <c r="H49" s="1423"/>
      <c r="I49" s="1423"/>
      <c r="J49" s="1423"/>
      <c r="K49" s="1405">
        <f>SUM(K44:K48)</f>
        <v>92679715.054045424</v>
      </c>
      <c r="L49" s="1427">
        <f>L44</f>
        <v>0.26179999999999998</v>
      </c>
      <c r="M49" s="1437">
        <f>K49*L49</f>
        <v>24263549.40114909</v>
      </c>
      <c r="N49" s="1423"/>
      <c r="O49" s="1405"/>
      <c r="P49" s="1437"/>
      <c r="Q49" s="1437"/>
      <c r="R49" s="1423"/>
      <c r="S49" s="1405">
        <f>'End of Period Calculations'!AA100</f>
        <v>93296003.311035588</v>
      </c>
      <c r="T49" s="1437">
        <f>S49*L49</f>
        <v>24424893.666829117</v>
      </c>
      <c r="U49" s="1437">
        <f>T49-M49</f>
        <v>161344.26568002626</v>
      </c>
      <c r="V49" s="1423"/>
      <c r="W49" s="1423"/>
      <c r="X49" s="1423"/>
      <c r="Y49" s="1423"/>
      <c r="Z49" s="1423"/>
      <c r="AA49" s="1425"/>
      <c r="AB49" s="1425"/>
      <c r="AC49" s="1425"/>
      <c r="AD49" s="1423"/>
      <c r="AE49" s="1405">
        <f>IF($AM$3="No", S49, 'End of Period Calculations'!AA127)</f>
        <v>93296003.311035588</v>
      </c>
      <c r="AF49" s="1437">
        <f>AE49*L49</f>
        <v>24424893.666829117</v>
      </c>
      <c r="AG49" s="1437">
        <f>AF49-T49</f>
        <v>0</v>
      </c>
      <c r="AH49" s="1423"/>
      <c r="AI49" s="1428">
        <f>'Exh 18, Class Rates'!H16</f>
        <v>0.26057266475246121</v>
      </c>
      <c r="AJ49" s="1440">
        <f>AI49*AE49</f>
        <v>24310388.193510987</v>
      </c>
      <c r="AK49" s="1425">
        <f>AJ49-AF49</f>
        <v>-114505.47331812978</v>
      </c>
      <c r="AL49" s="748"/>
    </row>
    <row r="50" spans="1:38">
      <c r="A50" s="728">
        <v>45</v>
      </c>
      <c r="K50" s="1405"/>
      <c r="L50" s="1427"/>
      <c r="M50" s="1423">
        <f>SUM(M49,M43)</f>
        <v>28414911.10114909</v>
      </c>
      <c r="O50" s="1423"/>
      <c r="P50" s="1423"/>
      <c r="Q50" s="1423"/>
      <c r="S50" s="1423"/>
      <c r="T50" s="1423">
        <f>SUM(T43:T49)</f>
        <v>28612401.666829117</v>
      </c>
      <c r="U50" s="1423">
        <f>T50-M50</f>
        <v>197490.56568002701</v>
      </c>
      <c r="AA50" s="1425"/>
      <c r="AB50" s="1425"/>
      <c r="AC50" s="1425"/>
      <c r="AF50" s="1423">
        <f>SUM(AF43:AF49)</f>
        <v>28612401.666829117</v>
      </c>
      <c r="AG50" s="1423">
        <f>SUM(AG43:AG49)</f>
        <v>0</v>
      </c>
      <c r="AI50" s="1434"/>
      <c r="AJ50" s="1441">
        <f>SUM(AJ43:AJ49)</f>
        <v>28497896.193510987</v>
      </c>
      <c r="AK50" s="1441">
        <f>SUM(AK43:AK49)</f>
        <v>-114505.47331812978</v>
      </c>
      <c r="AL50" s="748"/>
    </row>
    <row r="51" spans="1:38">
      <c r="A51" s="728">
        <v>46</v>
      </c>
      <c r="B51" s="727" t="s">
        <v>2651</v>
      </c>
      <c r="K51" s="1405"/>
      <c r="L51" s="1427"/>
      <c r="M51" s="1423"/>
      <c r="O51" s="1423"/>
      <c r="P51" s="1423"/>
      <c r="Q51" s="1423"/>
      <c r="S51" s="1423"/>
      <c r="T51" s="1423"/>
      <c r="U51" s="1423"/>
      <c r="AA51" s="1425"/>
      <c r="AB51" s="1425"/>
      <c r="AC51" s="1425"/>
      <c r="AK51" s="1425"/>
      <c r="AL51" s="748"/>
    </row>
    <row r="52" spans="1:38">
      <c r="A52" s="728">
        <v>47</v>
      </c>
      <c r="B52" s="727" t="s">
        <v>2652</v>
      </c>
      <c r="E52" s="1454">
        <f>'1501 Summary'!AD52</f>
        <v>4218400.13</v>
      </c>
      <c r="K52" s="1405"/>
      <c r="L52" s="1427"/>
      <c r="M52" s="1423"/>
      <c r="O52" s="1423"/>
      <c r="P52" s="1423"/>
      <c r="Q52" s="1423"/>
      <c r="S52" s="1423"/>
      <c r="T52" s="1423"/>
      <c r="U52" s="1423"/>
      <c r="AA52" s="1425"/>
      <c r="AB52" s="1425"/>
      <c r="AC52" s="1425"/>
      <c r="AK52" s="1425"/>
      <c r="AL52" s="748"/>
    </row>
    <row r="53" spans="1:38">
      <c r="A53" s="728">
        <v>48</v>
      </c>
      <c r="B53" s="727" t="s">
        <v>2653</v>
      </c>
      <c r="E53" s="1423">
        <f>'1501 Summary'!AD53</f>
        <v>258124.72999999995</v>
      </c>
      <c r="F53" s="1423"/>
      <c r="G53" s="1423"/>
      <c r="H53" s="1423"/>
      <c r="I53" s="1423"/>
      <c r="J53" s="1423"/>
      <c r="K53" s="1405"/>
      <c r="L53" s="1427"/>
      <c r="M53" s="1423"/>
      <c r="N53" s="1423"/>
      <c r="O53" s="1423"/>
      <c r="P53" s="1423"/>
      <c r="Q53" s="1423"/>
      <c r="R53" s="1423"/>
      <c r="S53" s="1423"/>
      <c r="T53" s="1423"/>
      <c r="U53" s="1423"/>
      <c r="V53" s="1423"/>
      <c r="W53" s="1423"/>
      <c r="X53" s="1423"/>
      <c r="Y53" s="1423"/>
      <c r="Z53" s="1423"/>
      <c r="AD53" s="1423"/>
      <c r="AF53" s="1423"/>
      <c r="AG53" s="1423"/>
      <c r="AH53" s="1423"/>
      <c r="AI53" s="1455"/>
      <c r="AJ53" s="1455"/>
      <c r="AL53" s="748"/>
    </row>
    <row r="54" spans="1:38">
      <c r="A54" s="728">
        <v>49</v>
      </c>
      <c r="B54" s="727" t="s">
        <v>2654</v>
      </c>
      <c r="E54" s="1423">
        <f>'1501 Summary'!AD54</f>
        <v>874516.67999999993</v>
      </c>
      <c r="F54" s="1423"/>
      <c r="G54" s="1423"/>
      <c r="H54" s="1423"/>
      <c r="I54" s="1423"/>
      <c r="J54" s="1423"/>
      <c r="K54" s="1405"/>
      <c r="L54" s="1427"/>
      <c r="M54" s="1423"/>
      <c r="N54" s="1423"/>
      <c r="O54" s="1423"/>
      <c r="P54" s="1423"/>
      <c r="Q54" s="1423"/>
      <c r="R54" s="1423"/>
      <c r="S54" s="1423"/>
      <c r="T54" s="1423"/>
      <c r="U54" s="1423"/>
      <c r="V54" s="1423"/>
      <c r="W54" s="1423"/>
      <c r="X54" s="1423"/>
      <c r="Y54" s="1423"/>
      <c r="Z54" s="1423"/>
      <c r="AD54" s="1423"/>
      <c r="AF54" s="1423"/>
      <c r="AG54" s="1423"/>
      <c r="AH54" s="1423"/>
      <c r="AI54" s="1455"/>
      <c r="AJ54" s="1455"/>
      <c r="AL54" s="748"/>
    </row>
    <row r="55" spans="1:38">
      <c r="A55" s="728">
        <v>50</v>
      </c>
      <c r="B55" s="727" t="s">
        <v>2655</v>
      </c>
      <c r="E55" s="1423">
        <f>'1501 Summary'!AD55</f>
        <v>-2430207.4699999997</v>
      </c>
      <c r="F55" s="1423"/>
      <c r="G55" s="1423"/>
      <c r="H55" s="1423"/>
      <c r="I55" s="1423"/>
      <c r="J55" s="1423"/>
      <c r="K55" s="1405"/>
      <c r="L55" s="1427"/>
      <c r="M55" s="1423"/>
      <c r="N55" s="1423"/>
      <c r="O55" s="1423"/>
      <c r="P55" s="1423"/>
      <c r="Q55" s="1423"/>
      <c r="R55" s="1423"/>
      <c r="S55" s="1423"/>
      <c r="T55" s="1423"/>
      <c r="U55" s="1423"/>
      <c r="V55" s="1423"/>
      <c r="W55" s="1423"/>
      <c r="X55" s="1423"/>
      <c r="Y55" s="1423"/>
      <c r="Z55" s="1423"/>
      <c r="AD55" s="1423"/>
      <c r="AF55" s="1423"/>
      <c r="AG55" s="1423"/>
      <c r="AH55" s="1423"/>
      <c r="AI55" s="1455"/>
      <c r="AJ55" s="1455"/>
      <c r="AL55" s="748"/>
    </row>
    <row r="56" spans="1:38">
      <c r="A56" s="728">
        <v>51</v>
      </c>
      <c r="B56" s="727" t="s">
        <v>2656</v>
      </c>
      <c r="E56" s="1423">
        <f>'1501 Summary'!AD56</f>
        <v>620575.6</v>
      </c>
      <c r="F56" s="1423"/>
      <c r="G56" s="1423"/>
      <c r="H56" s="1423"/>
      <c r="I56" s="1423"/>
      <c r="J56" s="1423"/>
      <c r="K56" s="1405"/>
      <c r="L56" s="1427"/>
      <c r="M56" s="1423"/>
      <c r="N56" s="1423"/>
      <c r="O56" s="1423"/>
      <c r="P56" s="1423"/>
      <c r="Q56" s="1423"/>
      <c r="R56" s="1423"/>
      <c r="S56" s="1423"/>
      <c r="T56" s="1423"/>
      <c r="U56" s="1423"/>
      <c r="V56" s="1423"/>
      <c r="W56" s="1423"/>
      <c r="X56" s="1423"/>
      <c r="Y56" s="1423"/>
      <c r="Z56" s="1423"/>
      <c r="AD56" s="1423"/>
      <c r="AF56" s="1423"/>
      <c r="AG56" s="1423"/>
      <c r="AH56" s="1423"/>
      <c r="AI56" s="1455"/>
      <c r="AJ56" s="1455"/>
      <c r="AL56" s="748"/>
    </row>
    <row r="57" spans="1:38">
      <c r="A57" s="728">
        <v>52</v>
      </c>
      <c r="B57" s="727" t="s">
        <v>2657</v>
      </c>
      <c r="E57" s="1423">
        <f>'1501 Summary'!AD57</f>
        <v>2584956.7399999998</v>
      </c>
      <c r="F57" s="1423"/>
      <c r="G57" s="1423"/>
      <c r="H57" s="1423"/>
      <c r="I57" s="1423"/>
      <c r="J57" s="1423"/>
      <c r="K57" s="1405"/>
      <c r="L57" s="1427"/>
      <c r="M57" s="1423"/>
      <c r="N57" s="1423"/>
      <c r="O57" s="1423"/>
      <c r="P57" s="1423"/>
      <c r="Q57" s="1423"/>
      <c r="R57" s="1423"/>
      <c r="S57" s="1423"/>
      <c r="T57" s="1423"/>
      <c r="U57" s="1423"/>
      <c r="V57" s="1423"/>
      <c r="W57" s="1423"/>
      <c r="X57" s="1423"/>
      <c r="Y57" s="1423"/>
      <c r="Z57" s="1423"/>
      <c r="AD57" s="1423"/>
      <c r="AF57" s="1423"/>
      <c r="AG57" s="1423"/>
      <c r="AH57" s="1423"/>
      <c r="AI57" s="1455"/>
      <c r="AJ57" s="1455"/>
      <c r="AL57" s="748"/>
    </row>
    <row r="58" spans="1:38">
      <c r="A58" s="728">
        <v>53</v>
      </c>
      <c r="B58" s="1442" t="s">
        <v>2658</v>
      </c>
      <c r="E58" s="1423">
        <f>'1501 Summary'!AD58</f>
        <v>-530494.32000000007</v>
      </c>
      <c r="F58" s="1423"/>
      <c r="G58" s="1423"/>
      <c r="H58" s="1423"/>
      <c r="I58" s="1423"/>
      <c r="J58" s="1423"/>
      <c r="K58" s="1405"/>
      <c r="L58" s="1427"/>
      <c r="M58" s="1423"/>
      <c r="N58" s="1423"/>
      <c r="O58" s="1423"/>
      <c r="P58" s="1423"/>
      <c r="Q58" s="1423"/>
      <c r="R58" s="1423"/>
      <c r="S58" s="1423"/>
      <c r="T58" s="1423"/>
      <c r="U58" s="1423"/>
      <c r="V58" s="1423"/>
      <c r="W58" s="1423"/>
      <c r="X58" s="1423"/>
      <c r="Y58" s="1423"/>
      <c r="Z58" s="1423"/>
      <c r="AD58" s="1423"/>
      <c r="AF58" s="1423"/>
      <c r="AG58" s="1423"/>
      <c r="AH58" s="1423"/>
      <c r="AI58" s="1456"/>
      <c r="AJ58" s="1456"/>
      <c r="AL58" s="748"/>
    </row>
    <row r="59" spans="1:38">
      <c r="A59" s="728">
        <v>54</v>
      </c>
      <c r="B59" s="1442" t="s">
        <v>2659</v>
      </c>
      <c r="E59" s="1423">
        <f>'1501 Summary'!AD59</f>
        <v>-238281.65999999997</v>
      </c>
      <c r="F59" s="1423"/>
      <c r="G59" s="1423"/>
      <c r="H59" s="1423"/>
      <c r="I59" s="1423"/>
      <c r="J59" s="1423"/>
      <c r="K59" s="1405"/>
      <c r="L59" s="1427"/>
      <c r="M59" s="1423"/>
      <c r="N59" s="1423"/>
      <c r="O59" s="1423"/>
      <c r="P59" s="1423"/>
      <c r="Q59" s="1423"/>
      <c r="R59" s="1423"/>
      <c r="S59" s="1423"/>
      <c r="T59" s="1423"/>
      <c r="U59" s="1423"/>
      <c r="V59" s="1423"/>
      <c r="W59" s="1423"/>
      <c r="X59" s="1423"/>
      <c r="Y59" s="1423"/>
      <c r="Z59" s="1423"/>
      <c r="AD59" s="1423"/>
      <c r="AF59" s="1423"/>
      <c r="AG59" s="1423"/>
      <c r="AH59" s="1423"/>
      <c r="AI59" s="1456"/>
      <c r="AJ59" s="1456"/>
      <c r="AL59" s="748"/>
    </row>
    <row r="60" spans="1:38">
      <c r="A60" s="728">
        <v>55</v>
      </c>
      <c r="B60" s="1442" t="s">
        <v>2660</v>
      </c>
      <c r="E60" s="1423">
        <f>'1501 Summary'!AD60</f>
        <v>-376044.91</v>
      </c>
      <c r="F60" s="1423"/>
      <c r="G60" s="1423"/>
      <c r="H60" s="1423"/>
      <c r="I60" s="1423"/>
      <c r="J60" s="1423"/>
      <c r="K60" s="1405"/>
      <c r="L60" s="1427"/>
      <c r="M60" s="1423"/>
      <c r="N60" s="1423"/>
      <c r="O60" s="1423"/>
      <c r="P60" s="1423"/>
      <c r="Q60" s="1423"/>
      <c r="R60" s="1423"/>
      <c r="S60" s="1423"/>
      <c r="T60" s="1423"/>
      <c r="U60" s="1423"/>
      <c r="V60" s="1423"/>
      <c r="W60" s="1423"/>
      <c r="X60" s="1423"/>
      <c r="Y60" s="1423"/>
      <c r="Z60" s="1423"/>
      <c r="AD60" s="1423"/>
      <c r="AF60" s="1423"/>
      <c r="AG60" s="1423"/>
      <c r="AH60" s="1423"/>
      <c r="AI60" s="1456"/>
      <c r="AJ60" s="1456"/>
      <c r="AL60" s="748"/>
    </row>
    <row r="61" spans="1:38">
      <c r="A61" s="728">
        <v>56</v>
      </c>
      <c r="B61" s="727" t="s">
        <v>2661</v>
      </c>
      <c r="E61" s="1423">
        <f>'1501 Summary'!AD61</f>
        <v>4016748.2</v>
      </c>
      <c r="F61" s="1423"/>
      <c r="G61" s="1423"/>
      <c r="H61" s="1423"/>
      <c r="I61" s="1423"/>
      <c r="J61" s="1423"/>
      <c r="K61" s="1405"/>
      <c r="L61" s="1427"/>
      <c r="M61" s="1423"/>
      <c r="N61" s="1423"/>
      <c r="O61" s="1423"/>
      <c r="P61" s="1423"/>
      <c r="Q61" s="1423"/>
      <c r="R61" s="1423"/>
      <c r="S61" s="1423"/>
      <c r="T61" s="1423"/>
      <c r="U61" s="1423"/>
      <c r="V61" s="1423"/>
      <c r="W61" s="1423"/>
      <c r="X61" s="1423"/>
      <c r="Y61" s="1423"/>
      <c r="Z61" s="1423"/>
      <c r="AA61" s="1423"/>
      <c r="AB61" s="1423"/>
      <c r="AC61" s="1423"/>
      <c r="AD61" s="1423"/>
      <c r="AF61" s="1423"/>
      <c r="AG61" s="1423"/>
      <c r="AH61" s="1423"/>
      <c r="AI61" s="1455"/>
      <c r="AJ61" s="1455"/>
      <c r="AK61" s="1423"/>
      <c r="AL61" s="748"/>
    </row>
    <row r="62" spans="1:38">
      <c r="A62" s="728">
        <v>57</v>
      </c>
      <c r="B62" s="727" t="s">
        <v>2676</v>
      </c>
      <c r="E62" s="1423">
        <f>'1501 Summary'!AD62</f>
        <v>2523.23</v>
      </c>
      <c r="F62" s="1423"/>
      <c r="G62" s="1423"/>
      <c r="H62" s="1423"/>
      <c r="I62" s="1423"/>
      <c r="J62" s="1423"/>
      <c r="K62" s="1405"/>
      <c r="L62" s="1427"/>
      <c r="M62" s="1423"/>
      <c r="N62" s="1423"/>
      <c r="O62" s="1423"/>
      <c r="P62" s="1423"/>
      <c r="Q62" s="1423"/>
      <c r="R62" s="1423"/>
      <c r="S62" s="1423"/>
      <c r="T62" s="1423"/>
      <c r="U62" s="1423"/>
      <c r="V62" s="1423"/>
      <c r="W62" s="1423"/>
      <c r="X62" s="1423"/>
      <c r="Y62" s="1423"/>
      <c r="Z62" s="1423"/>
      <c r="AA62" s="1423"/>
      <c r="AB62" s="1423"/>
      <c r="AC62" s="1423"/>
      <c r="AD62" s="1423"/>
      <c r="AF62" s="1423"/>
      <c r="AG62" s="1423"/>
      <c r="AH62" s="1423"/>
      <c r="AI62" s="1455"/>
      <c r="AJ62" s="1455"/>
      <c r="AK62" s="1423"/>
      <c r="AL62" s="748"/>
    </row>
    <row r="63" spans="1:38">
      <c r="A63" s="728">
        <v>58</v>
      </c>
      <c r="B63" s="727" t="s">
        <v>2662</v>
      </c>
      <c r="E63" s="1423">
        <f>'1501 Summary'!AD63</f>
        <v>54976.049999999996</v>
      </c>
      <c r="F63" s="1423"/>
      <c r="G63" s="1423"/>
      <c r="H63" s="1423"/>
      <c r="I63" s="1423"/>
      <c r="J63" s="1423"/>
      <c r="K63" s="1405"/>
      <c r="L63" s="1427"/>
      <c r="M63" s="1423"/>
      <c r="N63" s="1423"/>
      <c r="O63" s="1423"/>
      <c r="P63" s="1423"/>
      <c r="Q63" s="1423"/>
      <c r="R63" s="1423"/>
      <c r="S63" s="1423"/>
      <c r="T63" s="1423"/>
      <c r="U63" s="1423"/>
      <c r="V63" s="1423"/>
      <c r="W63" s="1423"/>
      <c r="X63" s="1423"/>
      <c r="Y63" s="1423"/>
      <c r="Z63" s="1423"/>
      <c r="AA63" s="1423"/>
      <c r="AB63" s="1423"/>
      <c r="AC63" s="1423"/>
      <c r="AD63" s="1423"/>
      <c r="AF63" s="1423"/>
      <c r="AG63" s="1423"/>
      <c r="AH63" s="1423"/>
      <c r="AI63" s="1455"/>
      <c r="AJ63" s="1455"/>
      <c r="AK63" s="1423"/>
      <c r="AL63" s="748"/>
    </row>
    <row r="64" spans="1:38">
      <c r="A64" s="728">
        <v>59</v>
      </c>
      <c r="B64" s="727" t="s">
        <v>2663</v>
      </c>
      <c r="E64" s="1423">
        <f>'1501 Summary'!AD64</f>
        <v>618.15000000000009</v>
      </c>
      <c r="F64" s="1423"/>
      <c r="G64" s="1423"/>
      <c r="H64" s="1423"/>
      <c r="I64" s="1423"/>
      <c r="J64" s="1423"/>
      <c r="K64" s="1405"/>
      <c r="L64" s="1427"/>
      <c r="M64" s="1423"/>
      <c r="N64" s="1423"/>
      <c r="O64" s="1423"/>
      <c r="P64" s="1423"/>
      <c r="Q64" s="1423"/>
      <c r="R64" s="1423"/>
      <c r="S64" s="1423"/>
      <c r="T64" s="1423"/>
      <c r="U64" s="1423"/>
      <c r="V64" s="1423"/>
      <c r="W64" s="1423"/>
      <c r="X64" s="1423"/>
      <c r="Y64" s="1423"/>
      <c r="Z64" s="1423"/>
      <c r="AA64" s="1423"/>
      <c r="AB64" s="1423"/>
      <c r="AC64" s="1423"/>
      <c r="AD64" s="1423"/>
      <c r="AF64" s="1423"/>
      <c r="AG64" s="1423"/>
      <c r="AH64" s="1423"/>
      <c r="AI64" s="1455"/>
      <c r="AJ64" s="1455"/>
      <c r="AK64" s="1423"/>
      <c r="AL64" s="748"/>
    </row>
    <row r="65" spans="1:38">
      <c r="A65" s="728">
        <v>60</v>
      </c>
      <c r="B65" s="727" t="s">
        <v>2664</v>
      </c>
      <c r="E65" s="1423">
        <f>'1501 Summary'!AD65</f>
        <v>-4995.1299999999992</v>
      </c>
      <c r="F65" s="1423"/>
      <c r="G65" s="1423"/>
      <c r="H65" s="1423"/>
      <c r="I65" s="1423"/>
      <c r="J65" s="1423"/>
      <c r="K65" s="1405"/>
      <c r="L65" s="1427"/>
      <c r="M65" s="1423"/>
      <c r="N65" s="1423"/>
      <c r="O65" s="1423"/>
      <c r="P65" s="1423"/>
      <c r="Q65" s="1423"/>
      <c r="R65" s="1423"/>
      <c r="S65" s="1423"/>
      <c r="T65" s="1423"/>
      <c r="U65" s="1423"/>
      <c r="V65" s="1423"/>
      <c r="W65" s="1423"/>
      <c r="X65" s="1423"/>
      <c r="Y65" s="1423"/>
      <c r="Z65" s="1423"/>
      <c r="AA65" s="1423"/>
      <c r="AB65" s="1423"/>
      <c r="AC65" s="1423"/>
      <c r="AD65" s="1423"/>
      <c r="AF65" s="1423"/>
      <c r="AG65" s="1423"/>
      <c r="AH65" s="1423"/>
      <c r="AI65" s="1455"/>
      <c r="AJ65" s="1455"/>
      <c r="AK65" s="1423"/>
      <c r="AL65" s="748"/>
    </row>
    <row r="66" spans="1:38">
      <c r="A66" s="728">
        <v>61</v>
      </c>
      <c r="B66" s="727" t="s">
        <v>2665</v>
      </c>
      <c r="E66" s="1423">
        <f>'1501 Summary'!AD66</f>
        <v>35637.360000000001</v>
      </c>
      <c r="F66" s="1423"/>
      <c r="G66" s="1423"/>
      <c r="H66" s="1423"/>
      <c r="I66" s="1423"/>
      <c r="J66" s="1423"/>
      <c r="K66" s="1405"/>
      <c r="L66" s="1427"/>
      <c r="M66" s="1423"/>
      <c r="N66" s="1423"/>
      <c r="O66" s="1423"/>
      <c r="P66" s="1423"/>
      <c r="Q66" s="1423"/>
      <c r="R66" s="1423"/>
      <c r="S66" s="1423"/>
      <c r="T66" s="1423"/>
      <c r="U66" s="1423"/>
      <c r="V66" s="1423"/>
      <c r="W66" s="1423"/>
      <c r="X66" s="1423"/>
      <c r="Y66" s="1423"/>
      <c r="Z66" s="1423"/>
      <c r="AA66" s="1423"/>
      <c r="AB66" s="1423"/>
      <c r="AC66" s="1423"/>
      <c r="AD66" s="1423"/>
      <c r="AF66" s="1423"/>
      <c r="AG66" s="1423"/>
      <c r="AH66" s="1423"/>
      <c r="AI66" s="1455"/>
      <c r="AJ66" s="1455"/>
      <c r="AK66" s="1423"/>
      <c r="AL66" s="748"/>
    </row>
    <row r="67" spans="1:38">
      <c r="A67" s="728">
        <v>62</v>
      </c>
      <c r="B67" s="1443" t="s">
        <v>2677</v>
      </c>
      <c r="E67" s="1423">
        <f>'1501 Summary'!AD67</f>
        <v>-199293.31000000003</v>
      </c>
      <c r="F67" s="1423"/>
      <c r="G67" s="1423"/>
      <c r="H67" s="1423"/>
      <c r="I67" s="1423"/>
      <c r="J67" s="1423"/>
      <c r="K67" s="1405"/>
      <c r="L67" s="1427"/>
      <c r="M67" s="1423"/>
      <c r="N67" s="1423"/>
      <c r="O67" s="1423"/>
      <c r="P67" s="1423"/>
      <c r="Q67" s="1423"/>
      <c r="R67" s="1423"/>
      <c r="S67" s="1423"/>
      <c r="T67" s="1423"/>
      <c r="U67" s="1423"/>
      <c r="V67" s="1423"/>
      <c r="W67" s="1423"/>
      <c r="X67" s="1423"/>
      <c r="Y67" s="1423"/>
      <c r="Z67" s="1423"/>
      <c r="AA67" s="1423"/>
      <c r="AB67" s="1423"/>
      <c r="AC67" s="1423"/>
      <c r="AD67" s="1423"/>
      <c r="AF67" s="1423"/>
      <c r="AG67" s="1423"/>
      <c r="AH67" s="1423"/>
      <c r="AI67" s="1455"/>
      <c r="AJ67" s="1455"/>
      <c r="AK67" s="1423"/>
      <c r="AL67" s="748"/>
    </row>
    <row r="68" spans="1:38">
      <c r="A68" s="728">
        <v>63</v>
      </c>
      <c r="B68" s="1443" t="s">
        <v>2666</v>
      </c>
      <c r="E68" s="1423">
        <f>'Revenue Reconcilliation'!Q34</f>
        <v>56044302.649999999</v>
      </c>
      <c r="F68" s="1423"/>
      <c r="G68" s="1423"/>
      <c r="H68" s="1423"/>
      <c r="I68" s="1423"/>
      <c r="J68" s="1423"/>
      <c r="K68" s="1405"/>
      <c r="L68" s="1427"/>
      <c r="M68" s="1423"/>
      <c r="N68" s="1423"/>
      <c r="O68" s="1423"/>
      <c r="P68" s="1423"/>
      <c r="Q68" s="1423"/>
      <c r="R68" s="1423"/>
      <c r="S68" s="1423"/>
      <c r="T68" s="1423"/>
      <c r="U68" s="1423"/>
      <c r="V68" s="1423"/>
      <c r="W68" s="1423"/>
      <c r="X68" s="1423"/>
      <c r="Y68" s="1423"/>
      <c r="Z68" s="1423"/>
      <c r="AA68" s="1423"/>
      <c r="AB68" s="1423"/>
      <c r="AC68" s="1423"/>
      <c r="AD68" s="1423"/>
      <c r="AF68" s="1423"/>
      <c r="AG68" s="1423"/>
      <c r="AH68" s="1423"/>
      <c r="AI68" s="1457"/>
      <c r="AJ68" s="1457"/>
      <c r="AK68" s="1423"/>
      <c r="AL68" s="748"/>
    </row>
    <row r="69" spans="1:38">
      <c r="A69" s="728">
        <v>64</v>
      </c>
      <c r="B69" s="1443" t="s">
        <v>2667</v>
      </c>
      <c r="E69" s="1423">
        <f>'Revenue Reconcilliation'!Q35</f>
        <v>-53613698.700000003</v>
      </c>
      <c r="F69" s="1423"/>
      <c r="G69" s="1423"/>
      <c r="H69" s="1423"/>
      <c r="I69" s="1423"/>
      <c r="J69" s="1423"/>
      <c r="K69" s="1405"/>
      <c r="L69" s="1427"/>
      <c r="M69" s="1423"/>
      <c r="N69" s="1423"/>
      <c r="O69" s="1423"/>
      <c r="P69" s="1423"/>
      <c r="Q69" s="1423"/>
      <c r="R69" s="1423"/>
      <c r="S69" s="1423"/>
      <c r="T69" s="1423"/>
      <c r="U69" s="1423"/>
      <c r="V69" s="1423"/>
      <c r="W69" s="1423"/>
      <c r="X69" s="1423"/>
      <c r="Y69" s="1423"/>
      <c r="Z69" s="1423"/>
      <c r="AA69" s="1423"/>
      <c r="AB69" s="1423"/>
      <c r="AC69" s="1423"/>
      <c r="AD69" s="1423"/>
      <c r="AF69" s="1423"/>
      <c r="AG69" s="1423"/>
      <c r="AH69" s="1423"/>
      <c r="AI69" s="1457"/>
      <c r="AJ69" s="1457"/>
      <c r="AK69" s="1423"/>
      <c r="AL69" s="748"/>
    </row>
    <row r="70" spans="1:38">
      <c r="A70" s="728">
        <v>65</v>
      </c>
      <c r="B70" s="1443" t="s">
        <v>2668</v>
      </c>
      <c r="E70" s="1423">
        <f>'Revenue Reconcilliation'!Q36</f>
        <v>-2042970.2999999998</v>
      </c>
      <c r="F70" s="1423"/>
      <c r="G70" s="1423"/>
      <c r="H70" s="1423"/>
      <c r="I70" s="1423"/>
      <c r="J70" s="1423"/>
      <c r="K70" s="1405"/>
      <c r="L70" s="1427"/>
      <c r="M70" s="1423"/>
      <c r="N70" s="1423"/>
      <c r="O70" s="1423"/>
      <c r="P70" s="1423"/>
      <c r="Q70" s="1423"/>
      <c r="R70" s="1423"/>
      <c r="S70" s="1423"/>
      <c r="T70" s="1423"/>
      <c r="U70" s="1423"/>
      <c r="V70" s="1423"/>
      <c r="W70" s="1423"/>
      <c r="X70" s="1423"/>
      <c r="Y70" s="1423"/>
      <c r="Z70" s="1423"/>
      <c r="AA70" s="1423"/>
      <c r="AB70" s="1423"/>
      <c r="AC70" s="1423"/>
      <c r="AD70" s="1423"/>
      <c r="AF70" s="1423"/>
      <c r="AG70" s="1423"/>
      <c r="AH70" s="1423"/>
      <c r="AI70" s="1457"/>
      <c r="AJ70" s="1457"/>
      <c r="AK70" s="1423"/>
      <c r="AL70" s="748"/>
    </row>
    <row r="71" spans="1:38">
      <c r="A71" s="728">
        <v>66</v>
      </c>
      <c r="B71" s="1443" t="s">
        <v>2669</v>
      </c>
      <c r="E71" s="1423">
        <f>'Revenue Reconcilliation'!Q37</f>
        <v>2168042.2599999998</v>
      </c>
      <c r="F71" s="1423"/>
      <c r="G71" s="1423"/>
      <c r="H71" s="1423"/>
      <c r="I71" s="1423"/>
      <c r="J71" s="1423"/>
      <c r="K71" s="1405"/>
      <c r="L71" s="1427"/>
      <c r="M71" s="1423"/>
      <c r="N71" s="1423"/>
      <c r="O71" s="1423"/>
      <c r="P71" s="1423"/>
      <c r="Q71" s="1423"/>
      <c r="R71" s="1423"/>
      <c r="S71" s="1423"/>
      <c r="T71" s="1423"/>
      <c r="U71" s="1423"/>
      <c r="V71" s="1423"/>
      <c r="W71" s="1423"/>
      <c r="X71" s="1423"/>
      <c r="Y71" s="1423"/>
      <c r="Z71" s="1423"/>
      <c r="AA71" s="1423"/>
      <c r="AB71" s="1423"/>
      <c r="AC71" s="1423"/>
      <c r="AD71" s="1423"/>
      <c r="AF71" s="1423"/>
      <c r="AG71" s="1423"/>
      <c r="AH71" s="1423"/>
      <c r="AI71" s="1457"/>
      <c r="AJ71" s="1457"/>
      <c r="AK71" s="1423"/>
      <c r="AL71" s="748"/>
    </row>
    <row r="72" spans="1:38">
      <c r="A72" s="728">
        <v>67</v>
      </c>
      <c r="B72" s="1443" t="s">
        <v>2670</v>
      </c>
      <c r="E72" s="1423">
        <f>'Revenue Reconcilliation'!Q38</f>
        <v>51429.03</v>
      </c>
      <c r="F72" s="1423"/>
      <c r="G72" s="1423"/>
      <c r="H72" s="1423"/>
      <c r="I72" s="1423"/>
      <c r="J72" s="1423"/>
      <c r="K72" s="1405"/>
      <c r="L72" s="1427"/>
      <c r="M72" s="1423"/>
      <c r="N72" s="1423"/>
      <c r="O72" s="1423"/>
      <c r="P72" s="1423"/>
      <c r="Q72" s="1423"/>
      <c r="R72" s="1423"/>
      <c r="S72" s="1423"/>
      <c r="T72" s="1423"/>
      <c r="U72" s="1423"/>
      <c r="V72" s="1423"/>
      <c r="W72" s="1423"/>
      <c r="X72" s="1423"/>
      <c r="Y72" s="1423"/>
      <c r="Z72" s="1423"/>
      <c r="AA72" s="1423"/>
      <c r="AB72" s="1423"/>
      <c r="AC72" s="1423"/>
      <c r="AD72" s="1423"/>
      <c r="AF72" s="1423"/>
      <c r="AG72" s="1423"/>
      <c r="AH72" s="1423"/>
      <c r="AI72" s="1457"/>
      <c r="AJ72" s="1457"/>
      <c r="AK72" s="1423"/>
      <c r="AL72" s="748"/>
    </row>
    <row r="73" spans="1:38">
      <c r="A73" s="728">
        <v>68</v>
      </c>
      <c r="B73" s="1458" t="s">
        <v>54</v>
      </c>
      <c r="E73" s="1423">
        <f>'Revenue Reconcilliation'!Q39</f>
        <v>2.13</v>
      </c>
      <c r="F73" s="1422"/>
      <c r="G73" s="1422"/>
      <c r="H73" s="1422"/>
      <c r="I73" s="1422"/>
      <c r="J73" s="1422"/>
      <c r="K73" s="1405"/>
      <c r="L73" s="1427"/>
      <c r="M73" s="1423"/>
      <c r="N73" s="1422"/>
      <c r="O73" s="1423"/>
      <c r="P73" s="1423"/>
      <c r="Q73" s="1423"/>
      <c r="R73" s="1422"/>
      <c r="S73" s="1423"/>
      <c r="T73" s="1423"/>
      <c r="U73" s="1423"/>
      <c r="V73" s="1422"/>
      <c r="W73" s="1422"/>
      <c r="X73" s="1422"/>
      <c r="Y73" s="1422"/>
      <c r="Z73" s="1422"/>
      <c r="AA73" s="1423"/>
      <c r="AB73" s="1423"/>
      <c r="AC73" s="1423"/>
      <c r="AD73" s="1422"/>
      <c r="AF73" s="1422"/>
      <c r="AG73" s="1422"/>
      <c r="AH73" s="1422"/>
      <c r="AI73" s="1457"/>
      <c r="AJ73" s="1457"/>
      <c r="AK73" s="1423"/>
      <c r="AL73" s="748"/>
    </row>
    <row r="74" spans="1:38">
      <c r="A74" s="728">
        <v>69</v>
      </c>
      <c r="B74" s="727" t="s">
        <v>2678</v>
      </c>
      <c r="E74" s="1423">
        <f>SUM(E52:E73)</f>
        <v>11494867.139999995</v>
      </c>
      <c r="F74" s="1423"/>
      <c r="G74" s="1423"/>
      <c r="H74" s="1423"/>
      <c r="I74" s="1423"/>
      <c r="J74" s="1423"/>
      <c r="K74" s="1405"/>
      <c r="L74" s="1427"/>
      <c r="M74" s="1423"/>
      <c r="N74" s="1423"/>
      <c r="O74" s="1423"/>
      <c r="P74" s="1423"/>
      <c r="Q74" s="1423"/>
      <c r="R74" s="1423"/>
      <c r="S74" s="1423"/>
      <c r="T74" s="1423"/>
      <c r="U74" s="1423"/>
      <c r="V74" s="1423"/>
      <c r="W74" s="1423"/>
      <c r="X74" s="1423"/>
      <c r="Y74" s="1423"/>
      <c r="Z74" s="1423"/>
      <c r="AA74" s="1423"/>
      <c r="AB74" s="1423"/>
      <c r="AC74" s="1423"/>
      <c r="AD74" s="1423"/>
      <c r="AF74" s="1423"/>
      <c r="AG74" s="1423"/>
      <c r="AH74" s="1423"/>
      <c r="AI74" s="1457"/>
      <c r="AJ74" s="1457"/>
      <c r="AK74" s="1423"/>
      <c r="AL74" s="748"/>
    </row>
    <row r="75" spans="1:38">
      <c r="A75" s="728">
        <v>70</v>
      </c>
      <c r="E75" s="1423"/>
      <c r="F75" s="1423"/>
      <c r="G75" s="1423"/>
      <c r="H75" s="1423"/>
      <c r="I75" s="1423"/>
      <c r="J75" s="1423"/>
      <c r="K75" s="1405"/>
      <c r="L75" s="1427"/>
      <c r="M75" s="1423"/>
      <c r="N75" s="1423"/>
      <c r="O75" s="1423"/>
      <c r="P75" s="1423"/>
      <c r="Q75" s="1423"/>
      <c r="R75" s="1423"/>
      <c r="S75" s="1423"/>
      <c r="T75" s="1423"/>
      <c r="U75" s="1423"/>
      <c r="V75" s="1423"/>
      <c r="W75" s="1423"/>
      <c r="X75" s="1423"/>
      <c r="Y75" s="1423"/>
      <c r="Z75" s="1423"/>
      <c r="AA75" s="1423"/>
      <c r="AB75" s="1423"/>
      <c r="AC75" s="1423"/>
      <c r="AD75" s="1423"/>
      <c r="AF75" s="1423"/>
      <c r="AG75" s="1423"/>
      <c r="AH75" s="1423"/>
      <c r="AK75" s="1423"/>
      <c r="AL75" s="748"/>
    </row>
    <row r="76" spans="1:38">
      <c r="A76" s="728">
        <v>71</v>
      </c>
      <c r="B76" s="1444" t="str">
        <f>"Total "&amp;LEFT(B42,17)&amp;" Revenue"</f>
        <v>Total Rate Schedule 504 Revenue</v>
      </c>
      <c r="C76" s="1438">
        <f>E76-'Revenue Reconcilliation'!Q42</f>
        <v>0</v>
      </c>
      <c r="D76" s="1445" t="s">
        <v>2673</v>
      </c>
      <c r="E76" s="1437">
        <f>SUM(E45,E49,E74)</f>
        <v>78482550.429999992</v>
      </c>
      <c r="F76" s="1437"/>
      <c r="G76" s="1437"/>
      <c r="H76" s="1437"/>
      <c r="I76" s="1437"/>
      <c r="J76" s="1437"/>
      <c r="K76" s="1447"/>
      <c r="L76" s="1446"/>
      <c r="M76" s="1437"/>
      <c r="N76" s="1437"/>
      <c r="O76" s="1437"/>
      <c r="P76" s="1437"/>
      <c r="Q76" s="1437"/>
      <c r="R76" s="1437"/>
      <c r="S76" s="1437"/>
      <c r="T76" s="1437"/>
      <c r="U76" s="1437"/>
      <c r="V76" s="1437"/>
      <c r="W76" s="1437"/>
      <c r="X76" s="1437"/>
      <c r="Y76" s="1437"/>
      <c r="Z76" s="1437"/>
      <c r="AA76" s="1437"/>
      <c r="AB76" s="1437"/>
      <c r="AC76" s="1437"/>
      <c r="AD76" s="1437"/>
      <c r="AE76" s="1447"/>
      <c r="AF76" s="1437"/>
      <c r="AG76" s="1437"/>
      <c r="AH76" s="1437"/>
      <c r="AI76" s="1459"/>
      <c r="AJ76" s="1459"/>
      <c r="AK76" s="1437"/>
      <c r="AL76" s="748"/>
    </row>
    <row r="77" spans="1:38">
      <c r="A77" s="728">
        <v>72</v>
      </c>
      <c r="B77" s="1448"/>
      <c r="D77" s="1450"/>
      <c r="E77" s="1429"/>
      <c r="F77" s="1429"/>
      <c r="G77" s="1429"/>
      <c r="H77" s="1429"/>
      <c r="I77" s="1429"/>
      <c r="J77" s="1429"/>
      <c r="K77" s="1405"/>
      <c r="L77" s="1427"/>
      <c r="M77" s="1423"/>
      <c r="N77" s="1429"/>
      <c r="O77" s="1423"/>
      <c r="P77" s="1423"/>
      <c r="Q77" s="1423"/>
      <c r="R77" s="1429"/>
      <c r="S77" s="1423"/>
      <c r="T77" s="1423"/>
      <c r="U77" s="1423"/>
      <c r="V77" s="1429"/>
      <c r="W77" s="1429"/>
      <c r="X77" s="1429"/>
      <c r="Y77" s="1429"/>
      <c r="Z77" s="1429"/>
      <c r="AD77" s="1429"/>
      <c r="AF77" s="1429"/>
      <c r="AG77" s="1429"/>
      <c r="AH77" s="1429"/>
      <c r="AL77" s="748"/>
    </row>
    <row r="78" spans="1:38">
      <c r="A78" s="728">
        <v>73</v>
      </c>
      <c r="K78" s="1405"/>
      <c r="L78" s="1427"/>
      <c r="M78" s="1423"/>
      <c r="O78" s="1423"/>
      <c r="P78" s="1423"/>
      <c r="Q78" s="1423"/>
      <c r="S78" s="1423"/>
      <c r="T78" s="1423"/>
      <c r="U78" s="1423"/>
      <c r="AL78" s="748"/>
    </row>
    <row r="79" spans="1:38">
      <c r="A79" s="728">
        <v>74</v>
      </c>
      <c r="B79" s="1420" t="s">
        <v>2679</v>
      </c>
      <c r="G79" s="1404" t="s">
        <v>2680</v>
      </c>
      <c r="K79" s="1405"/>
      <c r="L79" s="1427"/>
      <c r="M79" s="1423"/>
      <c r="O79" s="1423"/>
      <c r="P79" s="1423"/>
      <c r="Q79" s="1423"/>
      <c r="S79" s="1423"/>
      <c r="T79" s="1423"/>
      <c r="U79" s="1423"/>
      <c r="AL79" s="748"/>
    </row>
    <row r="80" spans="1:38">
      <c r="A80" s="728">
        <v>75</v>
      </c>
      <c r="B80" s="727" t="s">
        <v>2462</v>
      </c>
      <c r="C80" s="1405">
        <f>E80/D80</f>
        <v>5771</v>
      </c>
      <c r="D80" s="1422">
        <v>60</v>
      </c>
      <c r="E80" s="1423">
        <f>'1501 Summary'!AD101</f>
        <v>346260</v>
      </c>
      <c r="F80" s="1423"/>
      <c r="G80" s="1460">
        <f>-G216</f>
        <v>12</v>
      </c>
      <c r="H80" s="746">
        <f>D80</f>
        <v>60</v>
      </c>
      <c r="I80" s="1362">
        <f>H80*G80</f>
        <v>720</v>
      </c>
      <c r="J80" s="1423"/>
      <c r="K80" s="1405">
        <f>C80+G80</f>
        <v>5783</v>
      </c>
      <c r="L80" s="1422">
        <f>D80</f>
        <v>60</v>
      </c>
      <c r="M80" s="1423">
        <f>L80*K80</f>
        <v>346980</v>
      </c>
      <c r="N80" s="1423"/>
      <c r="O80" s="1405"/>
      <c r="P80" s="1423"/>
      <c r="Q80" s="1423"/>
      <c r="R80" s="1423"/>
      <c r="S80" s="1405">
        <f>'End of Period Calculations'!AB102</f>
        <v>5856</v>
      </c>
      <c r="T80" s="1423">
        <f>S80*L80</f>
        <v>351360</v>
      </c>
      <c r="U80" s="1423">
        <f>T80-M80</f>
        <v>4380</v>
      </c>
      <c r="V80" s="1423"/>
      <c r="W80" s="1423"/>
      <c r="X80" s="1423"/>
      <c r="Y80" s="1423"/>
      <c r="Z80" s="1423"/>
      <c r="AA80" s="1425"/>
      <c r="AB80" s="1425"/>
      <c r="AC80" s="1425"/>
      <c r="AD80" s="1423"/>
      <c r="AE80" s="1405">
        <f>IF($AM$3="No", S80, 'End of Period Calculations'!AD102)</f>
        <v>5856</v>
      </c>
      <c r="AF80" s="1423">
        <f>AE80*L80</f>
        <v>351360</v>
      </c>
      <c r="AG80" s="1422">
        <f>AF80-T80</f>
        <v>0</v>
      </c>
      <c r="AH80" s="1423"/>
      <c r="AI80" s="1430">
        <f>'Exh 18, Class Rates'!H21</f>
        <v>60</v>
      </c>
      <c r="AJ80" s="1425">
        <f>AI80*AE80</f>
        <v>351360</v>
      </c>
      <c r="AK80" s="1425">
        <f>AJ80-AF80</f>
        <v>0</v>
      </c>
      <c r="AL80" s="748"/>
    </row>
    <row r="81" spans="1:38">
      <c r="A81" s="728">
        <v>76</v>
      </c>
      <c r="B81" s="727" t="s">
        <v>2681</v>
      </c>
      <c r="C81" s="1405">
        <f>E81/D81</f>
        <v>1772804.1566298807</v>
      </c>
      <c r="D81" s="1361">
        <v>0.17851</v>
      </c>
      <c r="E81" s="1423">
        <f>'1501 Summary'!AD102</f>
        <v>316463.27</v>
      </c>
      <c r="F81" s="1423"/>
      <c r="G81" s="1460">
        <f>-G217</f>
        <v>1747.0729931096298</v>
      </c>
      <c r="H81" s="746">
        <f>D81</f>
        <v>0.17851</v>
      </c>
      <c r="I81" s="1362">
        <f>H81*G81</f>
        <v>311.87</v>
      </c>
      <c r="J81" s="1423"/>
      <c r="K81" s="1405">
        <f>C81+G81</f>
        <v>1774551.2296229904</v>
      </c>
      <c r="L81" s="1427">
        <v>0.20175999999999999</v>
      </c>
      <c r="M81" s="1423">
        <f>L81*K81</f>
        <v>358033.4560887345</v>
      </c>
      <c r="N81" s="1423"/>
      <c r="O81" s="1424"/>
      <c r="P81" s="1423"/>
      <c r="Q81" s="1423"/>
      <c r="R81" s="1423"/>
      <c r="S81" s="1424">
        <f>'End of Period Calculations'!AA102</f>
        <v>1796054.322900241</v>
      </c>
      <c r="T81" s="1423">
        <f>S81*L81</f>
        <v>362371.92018835264</v>
      </c>
      <c r="U81" s="1423">
        <f>T81-M81</f>
        <v>4338.4640996181406</v>
      </c>
      <c r="V81" s="1423"/>
      <c r="W81" s="1423"/>
      <c r="X81" s="1423"/>
      <c r="Y81" s="1423"/>
      <c r="Z81" s="1423"/>
      <c r="AA81" s="1405">
        <f>+'End of Period Calculations'!AA102</f>
        <v>1796054.322900241</v>
      </c>
      <c r="AB81" s="1428">
        <v>1.9E-3</v>
      </c>
      <c r="AC81" s="1425">
        <f>AB81*AA81</f>
        <v>3412.503213510458</v>
      </c>
      <c r="AD81" s="1423"/>
      <c r="AE81" s="1405">
        <f>IF($AM$3="No", S81, 'End of Period Calculations'!AA129)</f>
        <v>1796054.322900241</v>
      </c>
      <c r="AF81" s="1423">
        <f>AE81*L81</f>
        <v>362371.92018835264</v>
      </c>
      <c r="AG81" s="1422">
        <f>AF81-T81</f>
        <v>0</v>
      </c>
      <c r="AH81" s="1423"/>
      <c r="AI81" s="1428">
        <f>'Exh 18, Class Rates'!H22</f>
        <v>0.20081413613619778</v>
      </c>
      <c r="AJ81" s="1425">
        <f>AI81*AE81</f>
        <v>360673.09730689554</v>
      </c>
      <c r="AK81" s="1425">
        <f>AJ81-AF81</f>
        <v>-1698.8228814571048</v>
      </c>
      <c r="AL81" s="748"/>
    </row>
    <row r="82" spans="1:38">
      <c r="A82" s="728">
        <v>77</v>
      </c>
      <c r="B82" s="727" t="s">
        <v>2682</v>
      </c>
      <c r="C82" s="1405">
        <f>E82/D82</f>
        <v>5885874.0402573152</v>
      </c>
      <c r="D82" s="1361">
        <v>0.14457</v>
      </c>
      <c r="E82" s="1423">
        <f>'1501 Summary'!AD103</f>
        <v>850920.81</v>
      </c>
      <c r="F82" s="1423"/>
      <c r="G82" s="1460">
        <f>-G218</f>
        <v>621.01404164072767</v>
      </c>
      <c r="H82" s="746">
        <f>D82</f>
        <v>0.14457</v>
      </c>
      <c r="I82" s="1362">
        <f>H82*G82</f>
        <v>89.78</v>
      </c>
      <c r="J82" s="1423"/>
      <c r="K82" s="1405">
        <f>C82+G82</f>
        <v>5886495.0542989559</v>
      </c>
      <c r="L82" s="1427">
        <v>0.16481000000000001</v>
      </c>
      <c r="M82" s="1423">
        <f>L82*K82</f>
        <v>970153.24989901099</v>
      </c>
      <c r="N82" s="1423"/>
      <c r="O82" s="1424"/>
      <c r="P82" s="1423"/>
      <c r="Q82" s="1423"/>
      <c r="R82" s="1423"/>
      <c r="S82" s="1424">
        <f>'End of Period Calculations'!AA103</f>
        <v>5955588.143686397</v>
      </c>
      <c r="T82" s="1423">
        <f>S82*L82</f>
        <v>981540.48196095519</v>
      </c>
      <c r="U82" s="1423">
        <f>T82-M82</f>
        <v>11387.232061944203</v>
      </c>
      <c r="V82" s="1423"/>
      <c r="W82" s="1423"/>
      <c r="X82" s="1423"/>
      <c r="Y82" s="1423"/>
      <c r="Z82" s="1423"/>
      <c r="AA82" s="1405">
        <f>+'End of Period Calculations'!AA103</f>
        <v>5955588.143686397</v>
      </c>
      <c r="AB82" s="1428">
        <v>1.9E-3</v>
      </c>
      <c r="AC82" s="1425">
        <f>AB82*AA82</f>
        <v>11315.617473004155</v>
      </c>
      <c r="AD82" s="1423"/>
      <c r="AE82" s="1405">
        <f>IF($AM$3="No", S82, 'End of Period Calculations'!AA130)</f>
        <v>5955588.143686397</v>
      </c>
      <c r="AF82" s="1423">
        <f>AE82*L82</f>
        <v>981540.48196095519</v>
      </c>
      <c r="AG82" s="1422">
        <f>AF82-T82</f>
        <v>0</v>
      </c>
      <c r="AH82" s="1423"/>
      <c r="AI82" s="1428">
        <f>'Exh 18, Class Rates'!H23</f>
        <v>0.16403736011403033</v>
      </c>
      <c r="AJ82" s="1425">
        <f>AI82*AE82</f>
        <v>976938.95701673499</v>
      </c>
      <c r="AK82" s="1425">
        <f>AJ82-AF82</f>
        <v>-4601.5249442202039</v>
      </c>
      <c r="AL82" s="748"/>
    </row>
    <row r="83" spans="1:38">
      <c r="A83" s="728">
        <v>78</v>
      </c>
      <c r="B83" s="1453" t="s">
        <v>2683</v>
      </c>
      <c r="C83" s="1405">
        <f>E83/D83</f>
        <v>5495418.3161216285</v>
      </c>
      <c r="D83" s="1361">
        <v>0.13944000000000001</v>
      </c>
      <c r="E83" s="1423">
        <f>'1501 Summary'!AD104</f>
        <v>766281.12999999989</v>
      </c>
      <c r="F83" s="1423"/>
      <c r="G83" s="1460">
        <f>-G219</f>
        <v>0</v>
      </c>
      <c r="H83" s="746">
        <f>D83</f>
        <v>0.13944000000000001</v>
      </c>
      <c r="I83" s="1461">
        <f>H83*G83</f>
        <v>0</v>
      </c>
      <c r="J83" s="1423"/>
      <c r="K83" s="1405">
        <f>C83+G83</f>
        <v>5495418.3161216285</v>
      </c>
      <c r="L83" s="1427">
        <v>0.15923000000000001</v>
      </c>
      <c r="M83" s="1437">
        <f>L83*K83</f>
        <v>875035.45847604692</v>
      </c>
      <c r="N83" s="1423"/>
      <c r="O83" s="1424"/>
      <c r="P83" s="1437"/>
      <c r="Q83" s="1437"/>
      <c r="R83" s="1423"/>
      <c r="S83" s="1424">
        <f>'End of Period Calculations'!AA104</f>
        <v>5561734.9161735196</v>
      </c>
      <c r="T83" s="1437">
        <f>S83*L83</f>
        <v>885595.05070230959</v>
      </c>
      <c r="U83" s="1437">
        <f>T83-M83</f>
        <v>10559.59222626267</v>
      </c>
      <c r="V83" s="1423"/>
      <c r="W83" s="1423"/>
      <c r="X83" s="1423"/>
      <c r="Y83" s="1423"/>
      <c r="Z83" s="1423"/>
      <c r="AA83" s="1405">
        <f>+'End of Period Calculations'!AA104</f>
        <v>5561734.9161735196</v>
      </c>
      <c r="AB83" s="1428">
        <v>1.9E-3</v>
      </c>
      <c r="AC83" s="1440">
        <f>AB83*AA83</f>
        <v>10567.296340729687</v>
      </c>
      <c r="AD83" s="1423"/>
      <c r="AE83" s="1405">
        <f>IF($AM$3="No", S83, 'End of Period Calculations'!AA131)</f>
        <v>5561734.9161735196</v>
      </c>
      <c r="AF83" s="1437">
        <f>AE83*L83</f>
        <v>885595.05070230959</v>
      </c>
      <c r="AG83" s="1438">
        <f>AF83-T83</f>
        <v>0</v>
      </c>
      <c r="AH83" s="1423"/>
      <c r="AI83" s="1428">
        <f>'Exh 18, Class Rates'!H24</f>
        <v>0.15848351951311843</v>
      </c>
      <c r="AJ83" s="1425">
        <f>AI83*AE83</f>
        <v>881443.32411417807</v>
      </c>
      <c r="AK83" s="1440">
        <f>AJ83-AF83</f>
        <v>-4151.7265881315107</v>
      </c>
      <c r="AL83" s="748"/>
    </row>
    <row r="84" spans="1:38">
      <c r="A84" s="728">
        <v>79</v>
      </c>
      <c r="B84" s="727" t="s">
        <v>2648</v>
      </c>
      <c r="E84" s="1431">
        <f>SUM(E80:E83)</f>
        <v>2279925.21</v>
      </c>
      <c r="F84" s="1423"/>
      <c r="G84" s="1423"/>
      <c r="H84" s="1423"/>
      <c r="I84" s="1423">
        <f>SUM(I80:I83)</f>
        <v>1121.6499999999999</v>
      </c>
      <c r="J84" s="1423"/>
      <c r="K84" s="1405"/>
      <c r="L84" s="1427"/>
      <c r="M84" s="1423">
        <f>SUM(M80:M83)</f>
        <v>2550202.1644637925</v>
      </c>
      <c r="N84" s="1423"/>
      <c r="O84" s="1423"/>
      <c r="P84" s="1423"/>
      <c r="Q84" s="1423"/>
      <c r="R84" s="1423"/>
      <c r="S84" s="1423"/>
      <c r="T84" s="1423">
        <f>SUM(T80:T83)</f>
        <v>2580867.4528516177</v>
      </c>
      <c r="U84" s="1423">
        <f>T84-M84</f>
        <v>30665.288387825247</v>
      </c>
      <c r="V84" s="1423"/>
      <c r="W84" s="1423"/>
      <c r="X84" s="1423"/>
      <c r="Y84" s="1423"/>
      <c r="Z84" s="1423"/>
      <c r="AA84" s="1425"/>
      <c r="AB84" s="1425"/>
      <c r="AC84" s="1425">
        <f>SUM(AC81:AC83)</f>
        <v>25295.417027244301</v>
      </c>
      <c r="AD84" s="1423"/>
      <c r="AF84" s="1423">
        <f>SUM(AF80:AF83)</f>
        <v>2580867.4528516177</v>
      </c>
      <c r="AG84" s="1423">
        <f>SUM(AG80:AG83)</f>
        <v>0</v>
      </c>
      <c r="AH84" s="1423"/>
      <c r="AI84" s="1430"/>
      <c r="AJ84" s="1425">
        <f>SUM(AJ80:AJ83)</f>
        <v>2570415.3784378087</v>
      </c>
      <c r="AK84" s="1425">
        <f>SUM(AK80:AK83)</f>
        <v>-10452.074413808819</v>
      </c>
      <c r="AL84" s="748"/>
    </row>
    <row r="85" spans="1:38">
      <c r="A85" s="728">
        <v>80</v>
      </c>
      <c r="K85" s="1405"/>
      <c r="L85" s="1427"/>
      <c r="M85" s="1423"/>
      <c r="O85" s="1423"/>
      <c r="P85" s="1423"/>
      <c r="Q85" s="1423"/>
      <c r="S85" s="1423"/>
      <c r="T85" s="1423"/>
      <c r="U85" s="1423"/>
      <c r="AL85" s="748"/>
    </row>
    <row r="86" spans="1:38">
      <c r="A86" s="728">
        <v>81</v>
      </c>
      <c r="B86" s="727" t="s">
        <v>2650</v>
      </c>
      <c r="E86" s="1423">
        <f>'1501 Summary'!AD105</f>
        <v>5522381.8900000006</v>
      </c>
      <c r="F86" s="1423"/>
      <c r="G86" s="1423"/>
      <c r="H86" s="1423"/>
      <c r="I86" s="1423"/>
      <c r="J86" s="1423"/>
      <c r="K86" s="1405"/>
      <c r="L86" s="1427"/>
      <c r="M86" s="1423"/>
      <c r="N86" s="1423"/>
      <c r="O86" s="1423"/>
      <c r="P86" s="1423"/>
      <c r="Q86" s="1423"/>
      <c r="R86" s="1423"/>
      <c r="S86" s="1423"/>
      <c r="T86" s="1423"/>
      <c r="U86" s="1423"/>
      <c r="V86" s="1423"/>
      <c r="W86" s="1423"/>
      <c r="X86" s="1423"/>
      <c r="Y86" s="1423"/>
      <c r="Z86" s="1423"/>
      <c r="AD86" s="1423"/>
      <c r="AF86" s="1423"/>
      <c r="AG86" s="1423"/>
      <c r="AH86" s="1423"/>
      <c r="AL86" s="748"/>
    </row>
    <row r="87" spans="1:38">
      <c r="A87" s="728">
        <v>82</v>
      </c>
      <c r="K87" s="1405"/>
      <c r="L87" s="1427"/>
      <c r="M87" s="1423"/>
      <c r="O87" s="1423"/>
      <c r="P87" s="1423"/>
      <c r="Q87" s="1423"/>
      <c r="S87" s="1423"/>
      <c r="T87" s="1423"/>
      <c r="U87" s="1423"/>
      <c r="AL87" s="748"/>
    </row>
    <row r="88" spans="1:38">
      <c r="A88" s="728">
        <v>83</v>
      </c>
      <c r="B88" s="1421" t="s">
        <v>2651</v>
      </c>
      <c r="K88" s="1405"/>
      <c r="L88" s="1427"/>
      <c r="M88" s="1423"/>
      <c r="O88" s="1423"/>
      <c r="P88" s="1423"/>
      <c r="Q88" s="1423"/>
      <c r="S88" s="1423"/>
      <c r="T88" s="1423"/>
      <c r="U88" s="1423"/>
      <c r="AL88" s="748"/>
    </row>
    <row r="89" spans="1:38">
      <c r="A89" s="728">
        <v>84</v>
      </c>
      <c r="B89" s="727" t="s">
        <v>2652</v>
      </c>
      <c r="E89" s="1454">
        <f>'1501 Summary'!AD106</f>
        <v>656984.07999999996</v>
      </c>
      <c r="K89" s="1405"/>
      <c r="L89" s="1427"/>
      <c r="M89" s="1423"/>
      <c r="O89" s="1423"/>
      <c r="P89" s="1423"/>
      <c r="Q89" s="1423"/>
      <c r="S89" s="1423"/>
      <c r="T89" s="1423"/>
      <c r="U89" s="1423"/>
      <c r="AL89" s="748"/>
    </row>
    <row r="90" spans="1:38">
      <c r="A90" s="728">
        <v>85</v>
      </c>
      <c r="B90" s="1421" t="s">
        <v>2653</v>
      </c>
      <c r="E90" s="1454">
        <f>'1501 Summary'!AD107</f>
        <v>22304.93</v>
      </c>
      <c r="F90" s="1423"/>
      <c r="G90" s="1423"/>
      <c r="H90" s="1423"/>
      <c r="I90" s="1423"/>
      <c r="J90" s="1423"/>
      <c r="K90" s="1405"/>
      <c r="L90" s="1427"/>
      <c r="M90" s="1423"/>
      <c r="N90" s="1423"/>
      <c r="O90" s="1423"/>
      <c r="P90" s="1423"/>
      <c r="Q90" s="1423"/>
      <c r="R90" s="1423"/>
      <c r="S90" s="1423"/>
      <c r="T90" s="1423"/>
      <c r="U90" s="1423"/>
      <c r="V90" s="1423"/>
      <c r="W90" s="1423"/>
      <c r="X90" s="1423"/>
      <c r="Y90" s="1423"/>
      <c r="Z90" s="1423"/>
      <c r="AA90" s="727"/>
      <c r="AB90" s="727"/>
      <c r="AC90" s="727"/>
      <c r="AD90" s="1423"/>
      <c r="AF90" s="1423"/>
      <c r="AG90" s="1423"/>
      <c r="AH90" s="1423"/>
      <c r="AK90" s="727"/>
      <c r="AL90" s="748"/>
    </row>
    <row r="91" spans="1:38">
      <c r="A91" s="728">
        <v>86</v>
      </c>
      <c r="B91" s="1421" t="s">
        <v>2654</v>
      </c>
      <c r="E91" s="1454">
        <f>'1501 Summary'!AD108</f>
        <v>92918.6</v>
      </c>
      <c r="F91" s="1423"/>
      <c r="G91" s="1423"/>
      <c r="H91" s="1423"/>
      <c r="I91" s="1423"/>
      <c r="J91" s="1423"/>
      <c r="K91" s="1405"/>
      <c r="L91" s="1427"/>
      <c r="M91" s="1423"/>
      <c r="N91" s="1423"/>
      <c r="O91" s="1423"/>
      <c r="P91" s="1423"/>
      <c r="Q91" s="1423"/>
      <c r="R91" s="1423"/>
      <c r="S91" s="1423"/>
      <c r="T91" s="1423"/>
      <c r="U91" s="1423"/>
      <c r="V91" s="1423"/>
      <c r="W91" s="1423"/>
      <c r="X91" s="1423"/>
      <c r="Y91" s="1423"/>
      <c r="Z91" s="1423"/>
      <c r="AA91" s="727"/>
      <c r="AB91" s="727"/>
      <c r="AC91" s="727"/>
      <c r="AD91" s="1423"/>
      <c r="AF91" s="1423"/>
      <c r="AG91" s="1423"/>
      <c r="AH91" s="1423"/>
      <c r="AK91" s="727"/>
      <c r="AL91" s="748"/>
    </row>
    <row r="92" spans="1:38">
      <c r="A92" s="728">
        <v>87</v>
      </c>
      <c r="B92" s="1421" t="s">
        <v>2655</v>
      </c>
      <c r="E92" s="1454">
        <f>'1501 Summary'!AD109</f>
        <v>26527.780000000002</v>
      </c>
      <c r="F92" s="1423"/>
      <c r="G92" s="1423"/>
      <c r="H92" s="1423"/>
      <c r="I92" s="1423"/>
      <c r="J92" s="1423"/>
      <c r="K92" s="1405"/>
      <c r="L92" s="1427"/>
      <c r="M92" s="1423"/>
      <c r="N92" s="1423"/>
      <c r="O92" s="1423"/>
      <c r="P92" s="1423"/>
      <c r="Q92" s="1423"/>
      <c r="R92" s="1423"/>
      <c r="S92" s="1423"/>
      <c r="T92" s="1423"/>
      <c r="U92" s="1423"/>
      <c r="V92" s="1423"/>
      <c r="W92" s="1423"/>
      <c r="X92" s="1423"/>
      <c r="Y92" s="1423"/>
      <c r="Z92" s="1423"/>
      <c r="AA92" s="727"/>
      <c r="AB92" s="727"/>
      <c r="AC92" s="727"/>
      <c r="AD92" s="1423"/>
      <c r="AF92" s="1423"/>
      <c r="AG92" s="1423"/>
      <c r="AH92" s="1423"/>
      <c r="AK92" s="727"/>
      <c r="AL92" s="748"/>
    </row>
    <row r="93" spans="1:38">
      <c r="A93" s="728">
        <v>88</v>
      </c>
      <c r="B93" s="1421" t="s">
        <v>2656</v>
      </c>
      <c r="E93" s="1454">
        <f>'1501 Summary'!AD110</f>
        <v>88407.780000000028</v>
      </c>
      <c r="F93" s="1423"/>
      <c r="G93" s="1423"/>
      <c r="H93" s="1423"/>
      <c r="I93" s="1423"/>
      <c r="J93" s="1423"/>
      <c r="K93" s="1405"/>
      <c r="L93" s="1427"/>
      <c r="M93" s="1423"/>
      <c r="N93" s="1423"/>
      <c r="O93" s="1423"/>
      <c r="P93" s="1423"/>
      <c r="Q93" s="1423"/>
      <c r="R93" s="1423"/>
      <c r="S93" s="1423"/>
      <c r="T93" s="1423"/>
      <c r="U93" s="1423"/>
      <c r="V93" s="1423"/>
      <c r="W93" s="1423"/>
      <c r="X93" s="1423"/>
      <c r="Y93" s="1423"/>
      <c r="Z93" s="1423"/>
      <c r="AA93" s="727"/>
      <c r="AB93" s="727"/>
      <c r="AC93" s="727"/>
      <c r="AD93" s="1423"/>
      <c r="AF93" s="1423"/>
      <c r="AG93" s="1423"/>
      <c r="AH93" s="1423"/>
      <c r="AK93" s="727"/>
      <c r="AL93" s="748"/>
    </row>
    <row r="94" spans="1:38">
      <c r="A94" s="728">
        <v>89</v>
      </c>
      <c r="B94" s="1421" t="s">
        <v>2657</v>
      </c>
      <c r="E94" s="1454">
        <f>'1501 Summary'!AD111</f>
        <v>360112.04000000004</v>
      </c>
      <c r="F94" s="1423"/>
      <c r="G94" s="1423"/>
      <c r="H94" s="1423"/>
      <c r="I94" s="1423"/>
      <c r="J94" s="1423"/>
      <c r="K94" s="1405"/>
      <c r="L94" s="1427"/>
      <c r="M94" s="1423"/>
      <c r="N94" s="1423"/>
      <c r="O94" s="1423"/>
      <c r="P94" s="1423"/>
      <c r="Q94" s="1423"/>
      <c r="R94" s="1423"/>
      <c r="S94" s="1423"/>
      <c r="T94" s="1423"/>
      <c r="U94" s="1423"/>
      <c r="V94" s="1423"/>
      <c r="W94" s="1423"/>
      <c r="X94" s="1423"/>
      <c r="Y94" s="1423"/>
      <c r="Z94" s="1423"/>
      <c r="AA94" s="727"/>
      <c r="AB94" s="727"/>
      <c r="AC94" s="727"/>
      <c r="AD94" s="1423"/>
      <c r="AF94" s="1423"/>
      <c r="AG94" s="1423"/>
      <c r="AH94" s="1423"/>
      <c r="AK94" s="727"/>
      <c r="AL94" s="748"/>
    </row>
    <row r="95" spans="1:38">
      <c r="A95" s="728">
        <v>90</v>
      </c>
      <c r="B95" s="1462" t="s">
        <v>2658</v>
      </c>
      <c r="E95" s="1454">
        <f>'1501 Summary'!AD112</f>
        <v>-46651.72</v>
      </c>
      <c r="F95" s="1423"/>
      <c r="G95" s="1423"/>
      <c r="H95" s="1423"/>
      <c r="I95" s="1423"/>
      <c r="J95" s="1423"/>
      <c r="K95" s="1405"/>
      <c r="L95" s="1427"/>
      <c r="M95" s="1423"/>
      <c r="N95" s="1423"/>
      <c r="O95" s="1423"/>
      <c r="P95" s="1423"/>
      <c r="Q95" s="1423"/>
      <c r="R95" s="1423"/>
      <c r="S95" s="1423"/>
      <c r="T95" s="1423"/>
      <c r="U95" s="1423"/>
      <c r="V95" s="1423"/>
      <c r="W95" s="1423"/>
      <c r="X95" s="1423"/>
      <c r="Y95" s="1423"/>
      <c r="Z95" s="1423"/>
      <c r="AA95" s="1463"/>
      <c r="AB95" s="1463"/>
      <c r="AC95" s="1463"/>
      <c r="AD95" s="1423"/>
      <c r="AF95" s="1423"/>
      <c r="AG95" s="1423"/>
      <c r="AH95" s="1423"/>
      <c r="AK95" s="1456"/>
      <c r="AL95" s="748"/>
    </row>
    <row r="96" spans="1:38">
      <c r="A96" s="728">
        <v>91</v>
      </c>
      <c r="B96" s="1462" t="s">
        <v>2659</v>
      </c>
      <c r="E96" s="1454">
        <f>'1501 Summary'!AD113</f>
        <v>-21028.46</v>
      </c>
      <c r="F96" s="1423"/>
      <c r="G96" s="1423"/>
      <c r="H96" s="1423"/>
      <c r="I96" s="1423"/>
      <c r="J96" s="1423"/>
      <c r="K96" s="1405"/>
      <c r="L96" s="1427"/>
      <c r="M96" s="1423"/>
      <c r="N96" s="1423"/>
      <c r="O96" s="1423"/>
      <c r="P96" s="1423"/>
      <c r="Q96" s="1423"/>
      <c r="R96" s="1423"/>
      <c r="S96" s="1423"/>
      <c r="T96" s="1423"/>
      <c r="U96" s="1423"/>
      <c r="V96" s="1423"/>
      <c r="W96" s="1423"/>
      <c r="X96" s="1423"/>
      <c r="Y96" s="1423"/>
      <c r="Z96" s="1423"/>
      <c r="AA96" s="1463"/>
      <c r="AB96" s="1463"/>
      <c r="AC96" s="1463"/>
      <c r="AD96" s="1423"/>
      <c r="AF96" s="1423"/>
      <c r="AG96" s="1423"/>
      <c r="AH96" s="1423"/>
      <c r="AK96" s="1456"/>
      <c r="AL96" s="748"/>
    </row>
    <row r="97" spans="1:38">
      <c r="A97" s="728">
        <v>92</v>
      </c>
      <c r="B97" s="1462" t="s">
        <v>2660</v>
      </c>
      <c r="E97" s="1454">
        <f>'1501 Summary'!AD114</f>
        <v>-33921.570000000007</v>
      </c>
      <c r="F97" s="1423"/>
      <c r="G97" s="1423"/>
      <c r="H97" s="1423"/>
      <c r="I97" s="1423"/>
      <c r="J97" s="1423"/>
      <c r="K97" s="1405"/>
      <c r="L97" s="1427"/>
      <c r="M97" s="1423"/>
      <c r="N97" s="1423"/>
      <c r="O97" s="1423"/>
      <c r="P97" s="1423"/>
      <c r="Q97" s="1423"/>
      <c r="R97" s="1423"/>
      <c r="S97" s="1423"/>
      <c r="T97" s="1423"/>
      <c r="U97" s="1423"/>
      <c r="V97" s="1423"/>
      <c r="W97" s="1423"/>
      <c r="X97" s="1423"/>
      <c r="Y97" s="1423"/>
      <c r="Z97" s="1423"/>
      <c r="AA97" s="1463"/>
      <c r="AB97" s="1463"/>
      <c r="AC97" s="1463"/>
      <c r="AD97" s="1423"/>
      <c r="AF97" s="1423"/>
      <c r="AG97" s="1423"/>
      <c r="AH97" s="1423"/>
      <c r="AK97" s="1456"/>
      <c r="AL97" s="748"/>
    </row>
    <row r="98" spans="1:38">
      <c r="A98" s="728">
        <v>93</v>
      </c>
      <c r="B98" s="1421" t="s">
        <v>2661</v>
      </c>
      <c r="E98" s="1454">
        <f>'1501 Summary'!AD115</f>
        <v>346994.70999999996</v>
      </c>
      <c r="F98" s="1423"/>
      <c r="G98" s="1423"/>
      <c r="H98" s="1423"/>
      <c r="I98" s="1423"/>
      <c r="J98" s="1423"/>
      <c r="K98" s="1405"/>
      <c r="L98" s="1427"/>
      <c r="M98" s="1423"/>
      <c r="N98" s="1423"/>
      <c r="O98" s="1423"/>
      <c r="P98" s="1423"/>
      <c r="Q98" s="1423"/>
      <c r="R98" s="1423"/>
      <c r="S98" s="1423"/>
      <c r="T98" s="1423"/>
      <c r="U98" s="1423"/>
      <c r="V98" s="1423"/>
      <c r="W98" s="1423"/>
      <c r="X98" s="1423"/>
      <c r="Y98" s="1423"/>
      <c r="Z98" s="1423"/>
      <c r="AA98" s="727"/>
      <c r="AB98" s="727"/>
      <c r="AC98" s="727"/>
      <c r="AD98" s="1423"/>
      <c r="AF98" s="1423"/>
      <c r="AG98" s="1423"/>
      <c r="AH98" s="1423"/>
      <c r="AK98" s="727"/>
      <c r="AL98" s="748"/>
    </row>
    <row r="99" spans="1:38">
      <c r="A99" s="728">
        <v>94</v>
      </c>
      <c r="B99" s="1421" t="s">
        <v>2676</v>
      </c>
      <c r="E99" s="1454">
        <f>'1501 Summary'!AD116</f>
        <v>808.46999999999991</v>
      </c>
      <c r="F99" s="1423"/>
      <c r="G99" s="1423"/>
      <c r="H99" s="1423"/>
      <c r="I99" s="1423"/>
      <c r="J99" s="1423"/>
      <c r="K99" s="1405"/>
      <c r="L99" s="1427"/>
      <c r="M99" s="1423"/>
      <c r="N99" s="1423"/>
      <c r="O99" s="1423"/>
      <c r="P99" s="1423"/>
      <c r="Q99" s="1423"/>
      <c r="R99" s="1423"/>
      <c r="S99" s="1423"/>
      <c r="T99" s="1423"/>
      <c r="U99" s="1423"/>
      <c r="V99" s="1423"/>
      <c r="W99" s="1423"/>
      <c r="X99" s="1423"/>
      <c r="Y99" s="1423"/>
      <c r="Z99" s="1423"/>
      <c r="AA99" s="727"/>
      <c r="AB99" s="727"/>
      <c r="AC99" s="727"/>
      <c r="AD99" s="1423"/>
      <c r="AF99" s="1423"/>
      <c r="AG99" s="1423"/>
      <c r="AH99" s="1423"/>
      <c r="AK99" s="727"/>
      <c r="AL99" s="748"/>
    </row>
    <row r="100" spans="1:38">
      <c r="A100" s="728">
        <v>95</v>
      </c>
      <c r="B100" s="1421" t="s">
        <v>2684</v>
      </c>
      <c r="E100" s="1454">
        <f>'1501 Summary'!AD117</f>
        <v>780</v>
      </c>
      <c r="F100" s="1423"/>
      <c r="G100" s="1423"/>
      <c r="H100" s="1423"/>
      <c r="I100" s="1423"/>
      <c r="J100" s="1423"/>
      <c r="K100" s="1405"/>
      <c r="L100" s="1427"/>
      <c r="M100" s="1423"/>
      <c r="N100" s="1423"/>
      <c r="O100" s="1423"/>
      <c r="P100" s="1423"/>
      <c r="Q100" s="1423"/>
      <c r="R100" s="1423"/>
      <c r="S100" s="1423"/>
      <c r="T100" s="1423"/>
      <c r="U100" s="1423"/>
      <c r="V100" s="1423"/>
      <c r="W100" s="1423"/>
      <c r="X100" s="1423"/>
      <c r="Y100" s="1423"/>
      <c r="Z100" s="1423"/>
      <c r="AA100" s="727"/>
      <c r="AB100" s="727"/>
      <c r="AC100" s="727"/>
      <c r="AD100" s="1423"/>
      <c r="AF100" s="1423"/>
      <c r="AG100" s="1423"/>
      <c r="AH100" s="1423"/>
      <c r="AK100" s="727"/>
      <c r="AL100" s="748"/>
    </row>
    <row r="101" spans="1:38">
      <c r="A101" s="728">
        <v>96</v>
      </c>
      <c r="B101" s="1421" t="s">
        <v>2662</v>
      </c>
      <c r="E101" s="1454">
        <f>'1501 Summary'!AD118</f>
        <v>893.96999999999991</v>
      </c>
      <c r="F101" s="1423"/>
      <c r="G101" s="1423"/>
      <c r="H101" s="1423"/>
      <c r="I101" s="1423"/>
      <c r="J101" s="1423"/>
      <c r="K101" s="1405"/>
      <c r="L101" s="1427"/>
      <c r="M101" s="1423"/>
      <c r="N101" s="1423"/>
      <c r="O101" s="1423"/>
      <c r="P101" s="1423"/>
      <c r="Q101" s="1423"/>
      <c r="R101" s="1423"/>
      <c r="S101" s="1423"/>
      <c r="T101" s="1423"/>
      <c r="U101" s="1423"/>
      <c r="V101" s="1423"/>
      <c r="W101" s="1423"/>
      <c r="X101" s="1423"/>
      <c r="Y101" s="1423"/>
      <c r="Z101" s="1423"/>
      <c r="AA101" s="727"/>
      <c r="AB101" s="727"/>
      <c r="AC101" s="727"/>
      <c r="AD101" s="1423"/>
      <c r="AF101" s="1423"/>
      <c r="AG101" s="1423"/>
      <c r="AH101" s="1423"/>
      <c r="AK101" s="727"/>
      <c r="AL101" s="748"/>
    </row>
    <row r="102" spans="1:38">
      <c r="A102" s="728">
        <v>97</v>
      </c>
      <c r="B102" s="1421" t="s">
        <v>2663</v>
      </c>
      <c r="E102" s="1454">
        <f>'1501 Summary'!AD119</f>
        <v>1371.67</v>
      </c>
      <c r="F102" s="1423"/>
      <c r="G102" s="1423"/>
      <c r="H102" s="1423"/>
      <c r="I102" s="1423"/>
      <c r="J102" s="1423"/>
      <c r="K102" s="1405"/>
      <c r="L102" s="1427"/>
      <c r="M102" s="1423"/>
      <c r="N102" s="1423"/>
      <c r="O102" s="1423"/>
      <c r="P102" s="1423"/>
      <c r="Q102" s="1423"/>
      <c r="R102" s="1423"/>
      <c r="S102" s="1423"/>
      <c r="T102" s="1423"/>
      <c r="U102" s="1423"/>
      <c r="V102" s="1423"/>
      <c r="W102" s="1423"/>
      <c r="X102" s="1423"/>
      <c r="Y102" s="1423"/>
      <c r="Z102" s="1423"/>
      <c r="AA102" s="727"/>
      <c r="AB102" s="727"/>
      <c r="AC102" s="727"/>
      <c r="AD102" s="1423"/>
      <c r="AF102" s="1423"/>
      <c r="AG102" s="1423"/>
      <c r="AH102" s="1423"/>
      <c r="AK102" s="727"/>
      <c r="AL102" s="748"/>
    </row>
    <row r="103" spans="1:38">
      <c r="A103" s="728">
        <v>98</v>
      </c>
      <c r="B103" s="1421" t="s">
        <v>2665</v>
      </c>
      <c r="E103" s="1454">
        <f>'1501 Summary'!AD120</f>
        <v>15526.04</v>
      </c>
      <c r="F103" s="1423"/>
      <c r="G103" s="1423"/>
      <c r="H103" s="1423"/>
      <c r="I103" s="1423"/>
      <c r="J103" s="1423"/>
      <c r="K103" s="1405"/>
      <c r="L103" s="1427"/>
      <c r="M103" s="1423"/>
      <c r="N103" s="1423"/>
      <c r="O103" s="1423"/>
      <c r="P103" s="1423"/>
      <c r="Q103" s="1423"/>
      <c r="R103" s="1423"/>
      <c r="S103" s="1423"/>
      <c r="T103" s="1423"/>
      <c r="U103" s="1423"/>
      <c r="V103" s="1423"/>
      <c r="W103" s="1423"/>
      <c r="X103" s="1423"/>
      <c r="Y103" s="1423"/>
      <c r="Z103" s="1423"/>
      <c r="AA103" s="727"/>
      <c r="AB103" s="727"/>
      <c r="AC103" s="727"/>
      <c r="AD103" s="1423"/>
      <c r="AF103" s="1423"/>
      <c r="AG103" s="1423"/>
      <c r="AH103" s="1423"/>
      <c r="AK103" s="727"/>
      <c r="AL103" s="748"/>
    </row>
    <row r="104" spans="1:38">
      <c r="A104" s="728">
        <v>99</v>
      </c>
      <c r="B104" s="1421" t="s">
        <v>54</v>
      </c>
      <c r="E104" s="1454">
        <f>'1501 Summary'!AD121</f>
        <v>-63.6</v>
      </c>
      <c r="F104" s="1423"/>
      <c r="G104" s="1423"/>
      <c r="H104" s="1423"/>
      <c r="I104" s="1423"/>
      <c r="J104" s="1423"/>
      <c r="K104" s="1405"/>
      <c r="L104" s="1427"/>
      <c r="M104" s="1423"/>
      <c r="N104" s="1423"/>
      <c r="O104" s="1423"/>
      <c r="P104" s="1423"/>
      <c r="Q104" s="1423"/>
      <c r="R104" s="1423"/>
      <c r="S104" s="1423"/>
      <c r="T104" s="1423"/>
      <c r="U104" s="1423"/>
      <c r="V104" s="1423"/>
      <c r="W104" s="1423"/>
      <c r="X104" s="1423"/>
      <c r="Y104" s="1423"/>
      <c r="Z104" s="1423"/>
      <c r="AA104" s="727"/>
      <c r="AB104" s="727"/>
      <c r="AC104" s="727"/>
      <c r="AD104" s="1423"/>
      <c r="AF104" s="1423"/>
      <c r="AG104" s="1423"/>
      <c r="AH104" s="1423"/>
      <c r="AK104" s="727"/>
      <c r="AL104" s="748"/>
    </row>
    <row r="105" spans="1:38">
      <c r="A105" s="728">
        <v>100</v>
      </c>
      <c r="B105" s="1443" t="s">
        <v>2666</v>
      </c>
      <c r="E105" s="1423">
        <f>'Revenue Reconcilliation'!Q74</f>
        <v>0</v>
      </c>
      <c r="F105" s="1423"/>
      <c r="G105" s="1423"/>
      <c r="H105" s="1423"/>
      <c r="I105" s="1423"/>
      <c r="J105" s="1423"/>
      <c r="K105" s="1405"/>
      <c r="L105" s="1427"/>
      <c r="M105" s="1423"/>
      <c r="N105" s="1423"/>
      <c r="O105" s="1423"/>
      <c r="P105" s="1423"/>
      <c r="Q105" s="1423"/>
      <c r="R105" s="1423"/>
      <c r="S105" s="1423"/>
      <c r="T105" s="1423"/>
      <c r="U105" s="1423"/>
      <c r="V105" s="1423"/>
      <c r="W105" s="1423"/>
      <c r="X105" s="1423"/>
      <c r="Y105" s="1423"/>
      <c r="Z105" s="1423"/>
      <c r="AA105" s="727"/>
      <c r="AB105" s="727"/>
      <c r="AC105" s="727"/>
      <c r="AD105" s="1423"/>
      <c r="AF105" s="1423"/>
      <c r="AG105" s="1423"/>
      <c r="AH105" s="1423"/>
      <c r="AK105" s="727"/>
      <c r="AL105" s="748"/>
    </row>
    <row r="106" spans="1:38">
      <c r="A106" s="728">
        <v>101</v>
      </c>
      <c r="B106" s="1443" t="s">
        <v>2667</v>
      </c>
      <c r="E106" s="1423">
        <f>'Revenue Reconcilliation'!Q75</f>
        <v>0</v>
      </c>
      <c r="F106" s="1423"/>
      <c r="G106" s="1423"/>
      <c r="H106" s="1423"/>
      <c r="I106" s="1423"/>
      <c r="J106" s="1423"/>
      <c r="K106" s="1405"/>
      <c r="L106" s="1427"/>
      <c r="M106" s="1423"/>
      <c r="N106" s="1423"/>
      <c r="O106" s="1423"/>
      <c r="P106" s="1423"/>
      <c r="Q106" s="1423"/>
      <c r="R106" s="1423"/>
      <c r="S106" s="1423"/>
      <c r="T106" s="1423"/>
      <c r="U106" s="1423"/>
      <c r="V106" s="1423"/>
      <c r="W106" s="1423"/>
      <c r="X106" s="1423"/>
      <c r="Y106" s="1423"/>
      <c r="Z106" s="1423"/>
      <c r="AA106" s="727"/>
      <c r="AB106" s="727"/>
      <c r="AC106" s="727"/>
      <c r="AD106" s="1423"/>
      <c r="AF106" s="1423"/>
      <c r="AG106" s="1423"/>
      <c r="AH106" s="1423"/>
      <c r="AK106" s="727"/>
      <c r="AL106" s="748"/>
    </row>
    <row r="107" spans="1:38">
      <c r="A107" s="728">
        <v>102</v>
      </c>
      <c r="B107" s="1443" t="s">
        <v>2668</v>
      </c>
      <c r="E107" s="1423">
        <f>'Revenue Reconcilliation'!Q76</f>
        <v>-197881.5</v>
      </c>
      <c r="F107" s="1423"/>
      <c r="G107" s="1423"/>
      <c r="H107" s="1423"/>
      <c r="I107" s="1423"/>
      <c r="J107" s="1423"/>
      <c r="K107" s="1405"/>
      <c r="L107" s="1427"/>
      <c r="M107" s="1423"/>
      <c r="N107" s="1423"/>
      <c r="O107" s="1423"/>
      <c r="P107" s="1423"/>
      <c r="Q107" s="1423"/>
      <c r="R107" s="1423"/>
      <c r="S107" s="1423"/>
      <c r="T107" s="1423"/>
      <c r="U107" s="1423"/>
      <c r="V107" s="1423"/>
      <c r="W107" s="1423"/>
      <c r="X107" s="1423"/>
      <c r="Y107" s="1423"/>
      <c r="Z107" s="1423"/>
      <c r="AA107" s="727"/>
      <c r="AB107" s="727"/>
      <c r="AC107" s="727"/>
      <c r="AD107" s="1423"/>
      <c r="AF107" s="1423"/>
      <c r="AG107" s="1423"/>
      <c r="AH107" s="1423"/>
      <c r="AK107" s="727"/>
      <c r="AL107" s="748"/>
    </row>
    <row r="108" spans="1:38">
      <c r="A108" s="728">
        <v>103</v>
      </c>
      <c r="B108" s="1443" t="s">
        <v>2669</v>
      </c>
      <c r="E108" s="1423">
        <f>'Revenue Reconcilliation'!Q77</f>
        <v>-47418.52</v>
      </c>
      <c r="F108" s="1423"/>
      <c r="G108" s="1423"/>
      <c r="H108" s="1423"/>
      <c r="I108" s="1423"/>
      <c r="J108" s="1423"/>
      <c r="K108" s="1405"/>
      <c r="L108" s="1427"/>
      <c r="M108" s="1423"/>
      <c r="N108" s="1423"/>
      <c r="O108" s="1423"/>
      <c r="P108" s="1423"/>
      <c r="Q108" s="1423"/>
      <c r="R108" s="1423"/>
      <c r="S108" s="1423"/>
      <c r="T108" s="1423"/>
      <c r="U108" s="1423"/>
      <c r="V108" s="1423"/>
      <c r="W108" s="1423"/>
      <c r="X108" s="1423"/>
      <c r="Y108" s="1423"/>
      <c r="Z108" s="1423"/>
      <c r="AA108" s="727"/>
      <c r="AB108" s="727"/>
      <c r="AC108" s="727"/>
      <c r="AD108" s="1423"/>
      <c r="AF108" s="1423"/>
      <c r="AG108" s="1423"/>
      <c r="AH108" s="1423"/>
      <c r="AK108" s="727"/>
      <c r="AL108" s="748"/>
    </row>
    <row r="109" spans="1:38">
      <c r="A109" s="728">
        <v>104</v>
      </c>
      <c r="B109" s="1443" t="s">
        <v>2670</v>
      </c>
      <c r="E109" s="1423">
        <f>'Revenue Reconcilliation'!Q78</f>
        <v>0</v>
      </c>
      <c r="F109" s="1423"/>
      <c r="G109" s="1423"/>
      <c r="H109" s="1423"/>
      <c r="I109" s="1423"/>
      <c r="J109" s="1423"/>
      <c r="K109" s="1405"/>
      <c r="L109" s="1427"/>
      <c r="M109" s="1423"/>
      <c r="N109" s="1423"/>
      <c r="O109" s="1423"/>
      <c r="P109" s="1423"/>
      <c r="Q109" s="1423"/>
      <c r="R109" s="1423"/>
      <c r="S109" s="1423"/>
      <c r="T109" s="1423"/>
      <c r="U109" s="1423"/>
      <c r="V109" s="1423"/>
      <c r="W109" s="1423"/>
      <c r="X109" s="1423"/>
      <c r="Y109" s="1423"/>
      <c r="Z109" s="1423"/>
      <c r="AA109" s="1423"/>
      <c r="AB109" s="1423"/>
      <c r="AC109" s="1423"/>
      <c r="AD109" s="1423"/>
      <c r="AF109" s="1423"/>
      <c r="AG109" s="1423"/>
      <c r="AH109" s="1423"/>
      <c r="AK109" s="1423"/>
      <c r="AL109" s="748"/>
    </row>
    <row r="110" spans="1:38">
      <c r="A110" s="728">
        <v>105</v>
      </c>
      <c r="B110" s="727" t="s">
        <v>2678</v>
      </c>
      <c r="E110" s="1423">
        <f>SUM(E89:E109)</f>
        <v>1266664.6999999997</v>
      </c>
      <c r="F110" s="1423"/>
      <c r="G110" s="1423"/>
      <c r="H110" s="1423"/>
      <c r="I110" s="1423"/>
      <c r="J110" s="1423"/>
      <c r="K110" s="1405"/>
      <c r="L110" s="1427"/>
      <c r="M110" s="1423"/>
      <c r="N110" s="1423"/>
      <c r="O110" s="1423"/>
      <c r="P110" s="1423"/>
      <c r="Q110" s="1423"/>
      <c r="R110" s="1423"/>
      <c r="S110" s="1423"/>
      <c r="T110" s="1423"/>
      <c r="U110" s="1423"/>
      <c r="V110" s="1423"/>
      <c r="W110" s="1423"/>
      <c r="X110" s="1423"/>
      <c r="Y110" s="1423"/>
      <c r="Z110" s="1423"/>
      <c r="AA110" s="1423"/>
      <c r="AB110" s="1423"/>
      <c r="AC110" s="1423"/>
      <c r="AD110" s="1423"/>
      <c r="AF110" s="1423"/>
      <c r="AG110" s="1423"/>
      <c r="AH110" s="1423"/>
      <c r="AK110" s="1423"/>
      <c r="AL110" s="748"/>
    </row>
    <row r="111" spans="1:38">
      <c r="A111" s="728">
        <v>106</v>
      </c>
      <c r="B111" s="1448" t="str">
        <f>"Total "&amp;LEFT(B79,17)&amp;" Revenue"</f>
        <v>Total Rate Schedule 505 Revenue</v>
      </c>
      <c r="E111" s="1423"/>
      <c r="F111" s="1423"/>
      <c r="G111" s="1423"/>
      <c r="H111" s="1423"/>
      <c r="I111" s="1423"/>
      <c r="J111" s="1423"/>
      <c r="K111" s="1405"/>
      <c r="L111" s="1427"/>
      <c r="M111" s="1423"/>
      <c r="N111" s="1423"/>
      <c r="O111" s="1423"/>
      <c r="P111" s="1423"/>
      <c r="Q111" s="1423"/>
      <c r="R111" s="1423"/>
      <c r="S111" s="1423"/>
      <c r="T111" s="1423"/>
      <c r="U111" s="1423"/>
      <c r="V111" s="1423"/>
      <c r="W111" s="1423"/>
      <c r="X111" s="1423"/>
      <c r="Y111" s="1423"/>
      <c r="Z111" s="1423"/>
      <c r="AA111" s="1423"/>
      <c r="AB111" s="1423"/>
      <c r="AC111" s="1423"/>
      <c r="AD111" s="1423"/>
      <c r="AF111" s="1423"/>
      <c r="AG111" s="1423"/>
      <c r="AH111" s="1423"/>
      <c r="AK111" s="1423"/>
      <c r="AL111" s="748"/>
    </row>
    <row r="112" spans="1:38">
      <c r="A112" s="728">
        <v>107</v>
      </c>
      <c r="B112" s="1444"/>
      <c r="C112" s="1438">
        <f>E112-'Revenue Reconcilliation'!Q82</f>
        <v>0</v>
      </c>
      <c r="D112" s="1464" t="s">
        <v>2673</v>
      </c>
      <c r="E112" s="1465">
        <f>SUM(E84,E86,E110)</f>
        <v>9068971.8000000007</v>
      </c>
      <c r="F112" s="1465"/>
      <c r="G112" s="1465"/>
      <c r="H112" s="1465"/>
      <c r="I112" s="1465"/>
      <c r="J112" s="1465"/>
      <c r="K112" s="1447"/>
      <c r="L112" s="1446"/>
      <c r="M112" s="1437"/>
      <c r="N112" s="1465"/>
      <c r="O112" s="1437"/>
      <c r="P112" s="1437"/>
      <c r="Q112" s="1437"/>
      <c r="R112" s="1465"/>
      <c r="S112" s="1437"/>
      <c r="T112" s="1437"/>
      <c r="U112" s="1437"/>
      <c r="V112" s="1465"/>
      <c r="W112" s="1465"/>
      <c r="X112" s="1465"/>
      <c r="Y112" s="1465"/>
      <c r="Z112" s="1465"/>
      <c r="AA112" s="1445"/>
      <c r="AB112" s="1445"/>
      <c r="AC112" s="1445"/>
      <c r="AD112" s="1465"/>
      <c r="AE112" s="1447"/>
      <c r="AF112" s="1465"/>
      <c r="AG112" s="1465"/>
      <c r="AH112" s="1465"/>
      <c r="AI112" s="1438"/>
      <c r="AJ112" s="1438"/>
      <c r="AK112" s="1445"/>
      <c r="AL112" s="748"/>
    </row>
    <row r="113" spans="1:38">
      <c r="A113" s="728">
        <v>108</v>
      </c>
      <c r="K113" s="1405"/>
      <c r="L113" s="1427"/>
      <c r="M113" s="1423"/>
      <c r="O113" s="1423"/>
      <c r="P113" s="1423"/>
      <c r="Q113" s="1423"/>
      <c r="S113" s="1423"/>
      <c r="T113" s="1423"/>
      <c r="U113" s="1423"/>
      <c r="AL113" s="748"/>
    </row>
    <row r="114" spans="1:38">
      <c r="A114" s="728">
        <v>109</v>
      </c>
      <c r="B114" s="1420" t="s">
        <v>2685</v>
      </c>
      <c r="G114" s="1421" t="s">
        <v>2686</v>
      </c>
      <c r="K114" s="1405"/>
      <c r="L114" s="1427"/>
      <c r="M114" s="1423"/>
      <c r="O114" s="1423"/>
      <c r="P114" s="1423"/>
      <c r="Q114" s="1423"/>
      <c r="S114" s="1423"/>
      <c r="T114" s="1423"/>
      <c r="U114" s="1423"/>
      <c r="W114" s="1404" t="s">
        <v>2687</v>
      </c>
      <c r="AL114" s="748"/>
    </row>
    <row r="115" spans="1:38">
      <c r="A115" s="728">
        <v>110</v>
      </c>
      <c r="B115" s="727" t="s">
        <v>2462</v>
      </c>
      <c r="C115" s="1405">
        <f>E115/D115</f>
        <v>893</v>
      </c>
      <c r="D115" s="1422">
        <v>125</v>
      </c>
      <c r="E115" s="1425">
        <f>'1501 Summary'!AD128</f>
        <v>111625</v>
      </c>
      <c r="F115" s="1430"/>
      <c r="G115" s="1466">
        <f>-G249-G150</f>
        <v>173</v>
      </c>
      <c r="H115" s="1422">
        <f>D115</f>
        <v>125</v>
      </c>
      <c r="I115" s="1423">
        <f>H115*G115</f>
        <v>21625</v>
      </c>
      <c r="J115" s="1430"/>
      <c r="K115" s="1405">
        <f>C115+G115</f>
        <v>1066</v>
      </c>
      <c r="L115" s="1422">
        <f>D115</f>
        <v>125</v>
      </c>
      <c r="M115" s="1423">
        <f>L115*K115</f>
        <v>133250</v>
      </c>
      <c r="N115" s="1430"/>
      <c r="O115" s="1405"/>
      <c r="P115" s="1430"/>
      <c r="Q115" s="1423"/>
      <c r="R115" s="1430"/>
      <c r="S115" s="1405">
        <f>'End of Period Calculations'!AB107</f>
        <v>1080</v>
      </c>
      <c r="T115" s="1425">
        <f>S115*L115</f>
        <v>135000</v>
      </c>
      <c r="U115" s="1423">
        <f>T115-M115</f>
        <v>1750</v>
      </c>
      <c r="V115" s="1430"/>
      <c r="W115" s="1424"/>
      <c r="X115" s="1422"/>
      <c r="Y115" s="1422"/>
      <c r="Z115" s="1430"/>
      <c r="AA115" s="1425"/>
      <c r="AB115" s="1425"/>
      <c r="AC115" s="1425"/>
      <c r="AD115" s="1430"/>
      <c r="AE115" s="1405">
        <f>IF($AM$3="No", S115, 'End of Period Calculations'!AD107)</f>
        <v>1080</v>
      </c>
      <c r="AF115" s="1425">
        <f>AE115*L115</f>
        <v>135000</v>
      </c>
      <c r="AG115" s="1828">
        <f>AF115-T115</f>
        <v>0</v>
      </c>
      <c r="AH115" s="1430"/>
      <c r="AI115" s="1430">
        <f>'Exh 18, Class Rates'!H29</f>
        <v>125</v>
      </c>
      <c r="AJ115" s="1425">
        <f>AI115*AE115</f>
        <v>135000</v>
      </c>
      <c r="AK115" s="1425">
        <f>AJ115-AF115</f>
        <v>0</v>
      </c>
      <c r="AL115" s="748"/>
    </row>
    <row r="116" spans="1:38">
      <c r="A116" s="728">
        <v>111</v>
      </c>
      <c r="B116" s="727" t="s">
        <v>2688</v>
      </c>
      <c r="C116" s="1405">
        <f>E116/D116</f>
        <v>7343669.364968596</v>
      </c>
      <c r="D116" s="1361">
        <v>0.14330000000000001</v>
      </c>
      <c r="E116" s="1425">
        <f>'1501 Summary'!AD129</f>
        <v>1052347.8199999998</v>
      </c>
      <c r="F116" s="1430"/>
      <c r="G116" s="1466">
        <f>-G250-G151</f>
        <v>2109805.1639916259</v>
      </c>
      <c r="H116" s="1467">
        <f>D116</f>
        <v>0.14330000000000001</v>
      </c>
      <c r="I116" s="1423">
        <f>H116*G116</f>
        <v>302335.08</v>
      </c>
      <c r="J116" s="1430"/>
      <c r="K116" s="1405">
        <f>C116+G116</f>
        <v>9453474.5289602224</v>
      </c>
      <c r="L116" s="1427">
        <v>0.16113</v>
      </c>
      <c r="M116" s="1423">
        <f>L116*K116</f>
        <v>1523238.3508513605</v>
      </c>
      <c r="N116" s="1430"/>
      <c r="O116" s="1405"/>
      <c r="P116" s="1425"/>
      <c r="Q116" s="1423"/>
      <c r="R116" s="1430"/>
      <c r="S116" s="1405">
        <f>'End of Period Calculations'!AA107</f>
        <v>9393316.614548726</v>
      </c>
      <c r="T116" s="1425">
        <f>S116*L116</f>
        <v>1513545.1061022361</v>
      </c>
      <c r="U116" s="1423">
        <f>T116-M116</f>
        <v>-9693.2447491243947</v>
      </c>
      <c r="V116" s="1430"/>
      <c r="W116" s="1424">
        <f>-SUM('End of Period Calculations'!X26,'End of Period Calculations'!Z26)</f>
        <v>-267361.96789951145</v>
      </c>
      <c r="X116" s="1427">
        <f>L116</f>
        <v>0.16113</v>
      </c>
      <c r="Y116" s="1422">
        <f>W116*X116</f>
        <v>-43080.033887648278</v>
      </c>
      <c r="Z116" s="1430"/>
      <c r="AA116" s="1405">
        <f>+S116</f>
        <v>9393316.614548726</v>
      </c>
      <c r="AB116" s="1428">
        <v>1.2600000000000001E-3</v>
      </c>
      <c r="AC116" s="1425">
        <f>AB116*AA116</f>
        <v>11835.578934331395</v>
      </c>
      <c r="AD116" s="1430"/>
      <c r="AE116" s="1827">
        <f>IF($AM$3="No", S116, 'End of Period Calculations'!AA134)</f>
        <v>9393316.614548726</v>
      </c>
      <c r="AF116" s="1425">
        <f>AE116*L116</f>
        <v>1513545.1061022361</v>
      </c>
      <c r="AG116" s="1828">
        <f>AF116-T116</f>
        <v>0</v>
      </c>
      <c r="AH116" s="1430"/>
      <c r="AI116" s="1428">
        <f>'Exh 18, Class Rates'!H30</f>
        <v>0.16037461219084828</v>
      </c>
      <c r="AJ116" s="1425">
        <f>AI116*AE116</f>
        <v>1506449.5092441039</v>
      </c>
      <c r="AK116" s="1425">
        <f>AJ116-AF116</f>
        <v>-7095.5968581321649</v>
      </c>
      <c r="AL116" s="748"/>
    </row>
    <row r="117" spans="1:38">
      <c r="A117" s="728">
        <v>112</v>
      </c>
      <c r="B117" s="727" t="s">
        <v>2689</v>
      </c>
      <c r="C117" s="1405">
        <f>E117/D117</f>
        <v>2835268.1172614717</v>
      </c>
      <c r="D117" s="1361">
        <v>0.10983999999999999</v>
      </c>
      <c r="E117" s="1425">
        <f>'1501 Summary'!AD130</f>
        <v>311425.85000000003</v>
      </c>
      <c r="F117" s="1430"/>
      <c r="G117" s="1468">
        <f>-G152-G251</f>
        <v>2640205.0254916246</v>
      </c>
      <c r="H117" s="1467">
        <f>D117</f>
        <v>0.10983999999999999</v>
      </c>
      <c r="I117" s="1423">
        <f>H117*G117</f>
        <v>290000.12000000005</v>
      </c>
      <c r="J117" s="1430"/>
      <c r="K117" s="1405">
        <f>C117+G117</f>
        <v>5475473.1427530963</v>
      </c>
      <c r="L117" s="1427">
        <v>0.12471</v>
      </c>
      <c r="M117" s="1423">
        <f>L117*K117</f>
        <v>682846.2556327387</v>
      </c>
      <c r="N117" s="1430"/>
      <c r="O117" s="1405"/>
      <c r="P117" s="1425"/>
      <c r="Q117" s="1423"/>
      <c r="R117" s="1430"/>
      <c r="S117" s="1405">
        <f>'End of Period Calculations'!AA108</f>
        <v>4907613.8275464717</v>
      </c>
      <c r="T117" s="1425">
        <f>S117*L117</f>
        <v>612028.52043332055</v>
      </c>
      <c r="U117" s="1423">
        <f>T117-M117</f>
        <v>-70817.735199418152</v>
      </c>
      <c r="V117" s="1430"/>
      <c r="W117" s="1424">
        <f>-SUM('End of Period Calculations'!X27,'End of Period Calculations'!Z27)</f>
        <v>-681100.96504005836</v>
      </c>
      <c r="X117" s="1427">
        <f>L117</f>
        <v>0.12471</v>
      </c>
      <c r="Y117" s="1422">
        <f>W117*X117</f>
        <v>-84940.101350145676</v>
      </c>
      <c r="Z117" s="1430"/>
      <c r="AA117" s="1405">
        <f>+S117</f>
        <v>4907613.8275464717</v>
      </c>
      <c r="AB117" s="1428">
        <v>1.2600000000000001E-3</v>
      </c>
      <c r="AC117" s="1425">
        <f>AB117*AA117</f>
        <v>6183.5934227085545</v>
      </c>
      <c r="AD117" s="1430"/>
      <c r="AE117" s="1827">
        <f>IF($AM$3="No", S117, 'End of Period Calculations'!AA135)</f>
        <v>4907613.8275464717</v>
      </c>
      <c r="AF117" s="1425">
        <f>AE117*L117</f>
        <v>612028.52043332055</v>
      </c>
      <c r="AG117" s="1828">
        <f>AF117-T117</f>
        <v>0</v>
      </c>
      <c r="AH117" s="1430"/>
      <c r="AI117" s="1428">
        <f>'Exh 18, Class Rates'!H31</f>
        <v>0.12412535149457388</v>
      </c>
      <c r="AJ117" s="1425">
        <f>AI117*AE117</f>
        <v>609159.29134383681</v>
      </c>
      <c r="AK117" s="1425">
        <f>AJ117-AF117</f>
        <v>-2869.2290894837352</v>
      </c>
      <c r="AL117" s="748"/>
    </row>
    <row r="118" spans="1:38">
      <c r="A118" s="728">
        <v>113</v>
      </c>
      <c r="B118" s="1453" t="s">
        <v>2690</v>
      </c>
      <c r="C118" s="1405">
        <f>E118/D118</f>
        <v>818695.09043927654</v>
      </c>
      <c r="D118" s="1361">
        <v>2.7089999999999999E-2</v>
      </c>
      <c r="E118" s="1425">
        <f>'1501 Summary'!AD131</f>
        <v>22178.45</v>
      </c>
      <c r="F118" s="1430"/>
      <c r="G118" s="1468">
        <f>-G153-G252</f>
        <v>2263075.673680325</v>
      </c>
      <c r="H118" s="1467">
        <f>D118</f>
        <v>2.7089999999999999E-2</v>
      </c>
      <c r="I118" s="1423">
        <f>H118*G118</f>
        <v>61306.720000000001</v>
      </c>
      <c r="J118" s="1430"/>
      <c r="K118" s="1405">
        <f>C118+G118</f>
        <v>3081770.7641196018</v>
      </c>
      <c r="L118" s="1427">
        <v>3.4639999999999997E-2</v>
      </c>
      <c r="M118" s="1437">
        <f>L118*K118</f>
        <v>106752.539269103</v>
      </c>
      <c r="N118" s="1430"/>
      <c r="O118" s="1405"/>
      <c r="P118" s="1440"/>
      <c r="Q118" s="1437"/>
      <c r="R118" s="1430"/>
      <c r="S118" s="1405">
        <f>'End of Period Calculations'!AA109</f>
        <v>1204028.6422506776</v>
      </c>
      <c r="T118" s="1440">
        <f>S118*L118</f>
        <v>41707.552167563466</v>
      </c>
      <c r="U118" s="1437">
        <f>T118-M118</f>
        <v>-65044.987101539533</v>
      </c>
      <c r="V118" s="1430"/>
      <c r="W118" s="1469">
        <f>-SUM('End of Period Calculations'!X28,'End of Period Calculations'!Z28)</f>
        <v>-1897641.5651531932</v>
      </c>
      <c r="X118" s="1427">
        <f>L118</f>
        <v>3.4639999999999997E-2</v>
      </c>
      <c r="Y118" s="1438">
        <f>W118*X118</f>
        <v>-65734.303816906613</v>
      </c>
      <c r="Z118" s="1430"/>
      <c r="AA118" s="1827">
        <f>+'End of Period Calculations'!AA109</f>
        <v>1204028.6422506776</v>
      </c>
      <c r="AB118" s="1428">
        <v>1.2600000000000001E-3</v>
      </c>
      <c r="AC118" s="1440">
        <f>AB118*AA118</f>
        <v>1517.0760892358537</v>
      </c>
      <c r="AD118" s="1430"/>
      <c r="AE118" s="1827">
        <f>IF($AM$3="No", S118, 'End of Period Calculations'!AA136)</f>
        <v>1204028.6422506776</v>
      </c>
      <c r="AF118" s="1440">
        <f>AE118*L118</f>
        <v>41707.552167563466</v>
      </c>
      <c r="AG118" s="1828">
        <f>AF118-T118</f>
        <v>0</v>
      </c>
      <c r="AH118" s="1430"/>
      <c r="AI118" s="1428">
        <f>'Exh 18, Class Rates'!H32</f>
        <v>3.4477605450822214E-2</v>
      </c>
      <c r="AJ118" s="1425">
        <f>AI118*AE118</f>
        <v>41512.024479008032</v>
      </c>
      <c r="AK118" s="1440">
        <f>AJ118-AF118</f>
        <v>-195.527688555434</v>
      </c>
      <c r="AL118" s="748"/>
    </row>
    <row r="119" spans="1:38">
      <c r="A119" s="728">
        <v>114</v>
      </c>
      <c r="B119" s="727" t="s">
        <v>2648</v>
      </c>
      <c r="E119" s="1471">
        <f>SUM(E115:E118)</f>
        <v>1497577.1199999999</v>
      </c>
      <c r="F119" s="1430"/>
      <c r="G119" s="1430"/>
      <c r="H119" s="1430"/>
      <c r="I119" s="1472"/>
      <c r="J119" s="1430"/>
      <c r="K119" s="1405"/>
      <c r="L119" s="1427"/>
      <c r="M119" s="1423">
        <f>SUM(M115:M118)</f>
        <v>2446087.1457532025</v>
      </c>
      <c r="N119" s="1430"/>
      <c r="O119" s="1430"/>
      <c r="P119" s="1425"/>
      <c r="Q119" s="1423"/>
      <c r="R119" s="1430"/>
      <c r="S119" s="1430"/>
      <c r="T119" s="1425">
        <f>SUM(T115:T118)</f>
        <v>2302281.17870312</v>
      </c>
      <c r="U119" s="1423">
        <f>T119-M119</f>
        <v>-143805.96705008252</v>
      </c>
      <c r="V119" s="1430"/>
      <c r="W119" s="1424">
        <f>SUM(W116:W118)</f>
        <v>-2846104.4980927631</v>
      </c>
      <c r="X119" s="1422"/>
      <c r="Y119" s="1422">
        <f>SUM(Y115:Y118)</f>
        <v>-193754.43905470058</v>
      </c>
      <c r="Z119" s="1430"/>
      <c r="AA119" s="1423"/>
      <c r="AB119" s="1423"/>
      <c r="AC119" s="1423">
        <f>SUM(AC116:AC118)</f>
        <v>19536.2484462758</v>
      </c>
      <c r="AD119" s="1430"/>
      <c r="AF119" s="1425">
        <f>SUM(AF115:AF118)</f>
        <v>2302281.17870312</v>
      </c>
      <c r="AG119" s="1425">
        <f>SUM(AG115:AG118)</f>
        <v>0</v>
      </c>
      <c r="AH119" s="1430"/>
      <c r="AJ119" s="1441">
        <f>SUM(AJ115:AJ118)</f>
        <v>2292120.8250669488</v>
      </c>
      <c r="AK119" s="1441">
        <f>SUM(AK116:AK118)</f>
        <v>-10160.353636171334</v>
      </c>
      <c r="AL119" s="748"/>
    </row>
    <row r="120" spans="1:38">
      <c r="A120" s="728">
        <v>115</v>
      </c>
      <c r="K120" s="1405"/>
      <c r="L120" s="1427"/>
      <c r="M120" s="1422"/>
      <c r="O120" s="1423"/>
      <c r="P120" s="1423"/>
      <c r="Q120" s="1423"/>
      <c r="S120" s="1423"/>
      <c r="T120" s="1423"/>
      <c r="U120" s="1423"/>
      <c r="AL120" s="748"/>
    </row>
    <row r="121" spans="1:38">
      <c r="A121" s="728">
        <v>116</v>
      </c>
      <c r="B121" s="727" t="s">
        <v>2650</v>
      </c>
      <c r="E121" s="1423">
        <f>'1501 Summary'!AD132</f>
        <v>4617515.54</v>
      </c>
      <c r="F121" s="1422"/>
      <c r="G121" s="1422"/>
      <c r="H121" s="1422"/>
      <c r="I121" s="1422"/>
      <c r="J121" s="1422"/>
      <c r="K121" s="1405"/>
      <c r="L121" s="1427"/>
      <c r="M121" s="1422"/>
      <c r="N121" s="1422"/>
      <c r="O121" s="1423"/>
      <c r="P121" s="1423"/>
      <c r="Q121" s="1423"/>
      <c r="R121" s="1422"/>
      <c r="S121" s="1423"/>
      <c r="T121" s="1423"/>
      <c r="U121" s="1423"/>
      <c r="V121" s="1422"/>
      <c r="W121" s="1422"/>
      <c r="X121" s="1422"/>
      <c r="Y121" s="1422"/>
      <c r="Z121" s="1422"/>
      <c r="AD121" s="1422"/>
      <c r="AF121" s="1422"/>
      <c r="AG121" s="1422"/>
      <c r="AH121" s="1422"/>
      <c r="AL121" s="748"/>
    </row>
    <row r="122" spans="1:38">
      <c r="A122" s="728">
        <v>117</v>
      </c>
      <c r="E122" s="1423"/>
      <c r="K122" s="1405"/>
      <c r="L122" s="1427"/>
      <c r="M122" s="1422"/>
      <c r="O122" s="1423"/>
      <c r="P122" s="1423"/>
      <c r="Q122" s="1423"/>
      <c r="S122" s="1423"/>
      <c r="T122" s="1423"/>
      <c r="U122" s="1423"/>
      <c r="AL122" s="748"/>
    </row>
    <row r="123" spans="1:38">
      <c r="A123" s="728">
        <v>118</v>
      </c>
      <c r="B123" s="727" t="s">
        <v>2651</v>
      </c>
      <c r="E123" s="1423"/>
      <c r="K123" s="1405"/>
      <c r="L123" s="1427"/>
      <c r="M123" s="1422"/>
      <c r="O123" s="1423"/>
      <c r="P123" s="1423"/>
      <c r="Q123" s="1423"/>
      <c r="S123" s="1423"/>
      <c r="T123" s="1423"/>
      <c r="U123" s="1423"/>
      <c r="AJ123" s="1441"/>
      <c r="AL123" s="748"/>
    </row>
    <row r="124" spans="1:38">
      <c r="A124" s="728">
        <v>119</v>
      </c>
      <c r="B124" s="727" t="s">
        <v>2652</v>
      </c>
      <c r="E124" s="1423">
        <f>'1501 Summary'!AD133</f>
        <v>518628.11</v>
      </c>
      <c r="K124" s="1405"/>
      <c r="L124" s="1427"/>
      <c r="M124" s="1422"/>
      <c r="O124" s="1423"/>
      <c r="P124" s="1423"/>
      <c r="Q124" s="1423"/>
      <c r="S124" s="1423"/>
      <c r="T124" s="1423"/>
      <c r="U124" s="1423"/>
      <c r="AJ124" s="1441"/>
      <c r="AL124" s="748"/>
    </row>
    <row r="125" spans="1:38">
      <c r="A125" s="728">
        <v>120</v>
      </c>
      <c r="B125" s="727" t="s">
        <v>2653</v>
      </c>
      <c r="E125" s="1423">
        <f>'1501 Summary'!AD134</f>
        <v>15781.58</v>
      </c>
      <c r="F125" s="1422"/>
      <c r="G125" s="1422"/>
      <c r="H125" s="1422"/>
      <c r="I125" s="1422"/>
      <c r="J125" s="1422"/>
      <c r="K125" s="1405"/>
      <c r="L125" s="1427"/>
      <c r="M125" s="1422"/>
      <c r="N125" s="1422"/>
      <c r="O125" s="1423"/>
      <c r="P125" s="1423"/>
      <c r="Q125" s="1423"/>
      <c r="R125" s="1422"/>
      <c r="S125" s="1423"/>
      <c r="T125" s="1423"/>
      <c r="U125" s="1423"/>
      <c r="V125" s="1422"/>
      <c r="W125" s="1422"/>
      <c r="X125" s="1422"/>
      <c r="Y125" s="1422"/>
      <c r="Z125" s="1422"/>
      <c r="AD125" s="1422"/>
      <c r="AF125" s="1422"/>
      <c r="AG125" s="1422"/>
      <c r="AH125" s="1422"/>
      <c r="AL125" s="748"/>
    </row>
    <row r="126" spans="1:38">
      <c r="A126" s="728">
        <v>121</v>
      </c>
      <c r="B126" s="727" t="s">
        <v>2654</v>
      </c>
      <c r="E126" s="1423">
        <f>'1501 Summary'!AD135</f>
        <v>53560.69</v>
      </c>
      <c r="F126" s="1422"/>
      <c r="G126" s="1422"/>
      <c r="H126" s="1422"/>
      <c r="I126" s="1422"/>
      <c r="J126" s="1422"/>
      <c r="K126" s="1405"/>
      <c r="L126" s="1427"/>
      <c r="M126" s="1422"/>
      <c r="N126" s="1422"/>
      <c r="O126" s="1423"/>
      <c r="P126" s="1423"/>
      <c r="Q126" s="1423"/>
      <c r="R126" s="1422"/>
      <c r="S126" s="1423"/>
      <c r="T126" s="1423"/>
      <c r="U126" s="1423"/>
      <c r="V126" s="1422"/>
      <c r="W126" s="1422"/>
      <c r="X126" s="1422"/>
      <c r="Y126" s="1422"/>
      <c r="Z126" s="1422"/>
      <c r="AD126" s="1422"/>
      <c r="AF126" s="1422"/>
      <c r="AG126" s="1422"/>
      <c r="AH126" s="1422"/>
      <c r="AL126" s="748"/>
    </row>
    <row r="127" spans="1:38">
      <c r="A127" s="728">
        <v>122</v>
      </c>
      <c r="B127" s="727" t="s">
        <v>2655</v>
      </c>
      <c r="E127" s="1423">
        <f>'1501 Summary'!AD136</f>
        <v>-506821.72</v>
      </c>
      <c r="F127" s="1422"/>
      <c r="G127" s="1422"/>
      <c r="H127" s="1422"/>
      <c r="I127" s="1422"/>
      <c r="J127" s="1422"/>
      <c r="K127" s="1405"/>
      <c r="L127" s="1427"/>
      <c r="M127" s="1422"/>
      <c r="N127" s="1422"/>
      <c r="O127" s="1423"/>
      <c r="P127" s="1423"/>
      <c r="Q127" s="1423"/>
      <c r="R127" s="1422"/>
      <c r="S127" s="1423"/>
      <c r="T127" s="1423"/>
      <c r="U127" s="1423"/>
      <c r="V127" s="1422"/>
      <c r="W127" s="1422"/>
      <c r="X127" s="1422"/>
      <c r="Y127" s="1422"/>
      <c r="Z127" s="1422"/>
      <c r="AD127" s="1422"/>
      <c r="AF127" s="1422"/>
      <c r="AG127" s="1422"/>
      <c r="AH127" s="1422"/>
      <c r="AL127" s="748"/>
    </row>
    <row r="128" spans="1:38">
      <c r="A128" s="728">
        <v>123</v>
      </c>
      <c r="B128" s="727" t="s">
        <v>2656</v>
      </c>
      <c r="E128" s="1423">
        <f>'1501 Summary'!AD137</f>
        <v>72560.12999999999</v>
      </c>
      <c r="F128" s="1422"/>
      <c r="G128" s="1422"/>
      <c r="H128" s="1422"/>
      <c r="I128" s="1422"/>
      <c r="J128" s="1422"/>
      <c r="K128" s="1405"/>
      <c r="L128" s="1427"/>
      <c r="M128" s="1422"/>
      <c r="N128" s="1422"/>
      <c r="O128" s="1423"/>
      <c r="P128" s="1423"/>
      <c r="Q128" s="1423"/>
      <c r="R128" s="1422"/>
      <c r="S128" s="1423"/>
      <c r="T128" s="1423"/>
      <c r="U128" s="1423"/>
      <c r="V128" s="1422"/>
      <c r="W128" s="1422"/>
      <c r="X128" s="1422"/>
      <c r="Y128" s="1422"/>
      <c r="Z128" s="1422"/>
      <c r="AD128" s="1422"/>
      <c r="AF128" s="1422"/>
      <c r="AG128" s="1422"/>
      <c r="AH128" s="1422"/>
      <c r="AL128" s="748"/>
    </row>
    <row r="129" spans="1:38">
      <c r="A129" s="728">
        <v>124</v>
      </c>
      <c r="B129" s="727" t="s">
        <v>2657</v>
      </c>
      <c r="E129" s="1423">
        <f>'1501 Summary'!AD138</f>
        <v>300862.33</v>
      </c>
      <c r="F129" s="1422"/>
      <c r="G129" s="1422"/>
      <c r="H129" s="1422"/>
      <c r="I129" s="1422"/>
      <c r="J129" s="1422"/>
      <c r="K129" s="1405"/>
      <c r="L129" s="1427"/>
      <c r="M129" s="1422"/>
      <c r="N129" s="1422"/>
      <c r="O129" s="1423"/>
      <c r="P129" s="1423"/>
      <c r="Q129" s="1423"/>
      <c r="R129" s="1422"/>
      <c r="S129" s="1423"/>
      <c r="T129" s="1423"/>
      <c r="U129" s="1423"/>
      <c r="V129" s="1422"/>
      <c r="W129" s="1422"/>
      <c r="X129" s="1422"/>
      <c r="Y129" s="1422"/>
      <c r="Z129" s="1422"/>
      <c r="AD129" s="1422"/>
      <c r="AF129" s="1422"/>
      <c r="AG129" s="1422"/>
      <c r="AH129" s="1422"/>
      <c r="AL129" s="748"/>
    </row>
    <row r="130" spans="1:38">
      <c r="A130" s="728">
        <v>125</v>
      </c>
      <c r="B130" s="1463" t="s">
        <v>2658</v>
      </c>
      <c r="E130" s="1423">
        <f>'1501 Summary'!AD139</f>
        <v>-32021.25</v>
      </c>
      <c r="F130" s="1422"/>
      <c r="G130" s="1422"/>
      <c r="H130" s="1422"/>
      <c r="I130" s="1422"/>
      <c r="J130" s="1422"/>
      <c r="K130" s="1405"/>
      <c r="L130" s="1427"/>
      <c r="M130" s="1422"/>
      <c r="N130" s="1422"/>
      <c r="O130" s="1423"/>
      <c r="P130" s="1423"/>
      <c r="Q130" s="1423"/>
      <c r="R130" s="1422"/>
      <c r="S130" s="1423"/>
      <c r="T130" s="1423"/>
      <c r="U130" s="1423"/>
      <c r="V130" s="1422"/>
      <c r="W130" s="1422"/>
      <c r="X130" s="1422"/>
      <c r="Y130" s="1422"/>
      <c r="Z130" s="1422"/>
      <c r="AD130" s="1422"/>
      <c r="AF130" s="1422"/>
      <c r="AG130" s="1422"/>
      <c r="AH130" s="1422"/>
      <c r="AL130" s="748"/>
    </row>
    <row r="131" spans="1:38">
      <c r="A131" s="728">
        <v>126</v>
      </c>
      <c r="B131" s="1463" t="s">
        <v>2659</v>
      </c>
      <c r="E131" s="1423">
        <f>'1501 Summary'!AD140</f>
        <v>-14411.18</v>
      </c>
      <c r="F131" s="1422"/>
      <c r="G131" s="1422"/>
      <c r="H131" s="1422"/>
      <c r="I131" s="1422"/>
      <c r="J131" s="1422"/>
      <c r="K131" s="1405"/>
      <c r="L131" s="1427"/>
      <c r="M131" s="1422"/>
      <c r="N131" s="1422"/>
      <c r="O131" s="1423"/>
      <c r="P131" s="1423"/>
      <c r="Q131" s="1423"/>
      <c r="R131" s="1422"/>
      <c r="S131" s="1423"/>
      <c r="T131" s="1423"/>
      <c r="U131" s="1423"/>
      <c r="V131" s="1422"/>
      <c r="W131" s="1422"/>
      <c r="X131" s="1422"/>
      <c r="Y131" s="1422"/>
      <c r="Z131" s="1422"/>
      <c r="AD131" s="1422"/>
      <c r="AF131" s="1422"/>
      <c r="AG131" s="1422"/>
      <c r="AH131" s="1422"/>
      <c r="AL131" s="748"/>
    </row>
    <row r="132" spans="1:38">
      <c r="A132" s="728">
        <v>127</v>
      </c>
      <c r="B132" s="1463" t="s">
        <v>2660</v>
      </c>
      <c r="E132" s="1423">
        <f>'1501 Summary'!AD141</f>
        <v>-22780.489999999998</v>
      </c>
      <c r="F132" s="1422"/>
      <c r="G132" s="1422"/>
      <c r="H132" s="1422"/>
      <c r="I132" s="1422"/>
      <c r="J132" s="1422"/>
      <c r="K132" s="1405"/>
      <c r="L132" s="1427"/>
      <c r="M132" s="1422"/>
      <c r="N132" s="1422"/>
      <c r="O132" s="1423"/>
      <c r="P132" s="1423"/>
      <c r="Q132" s="1423"/>
      <c r="R132" s="1422"/>
      <c r="S132" s="1423"/>
      <c r="T132" s="1423"/>
      <c r="U132" s="1423"/>
      <c r="V132" s="1422"/>
      <c r="W132" s="1422"/>
      <c r="X132" s="1422"/>
      <c r="Y132" s="1422"/>
      <c r="Z132" s="1422"/>
      <c r="AD132" s="1422"/>
      <c r="AF132" s="1422"/>
      <c r="AG132" s="1422"/>
      <c r="AH132" s="1422"/>
      <c r="AL132" s="748"/>
    </row>
    <row r="133" spans="1:38">
      <c r="A133" s="728">
        <v>128</v>
      </c>
      <c r="B133" s="727" t="s">
        <v>2661</v>
      </c>
      <c r="E133" s="1423">
        <f>'1501 Summary'!AD142</f>
        <v>280112.87</v>
      </c>
      <c r="F133" s="1422"/>
      <c r="G133" s="1422"/>
      <c r="H133" s="1422"/>
      <c r="I133" s="1422"/>
      <c r="J133" s="1422"/>
      <c r="K133" s="1405"/>
      <c r="L133" s="1427"/>
      <c r="M133" s="1422"/>
      <c r="N133" s="1422"/>
      <c r="O133" s="1423"/>
      <c r="P133" s="1423"/>
      <c r="Q133" s="1423"/>
      <c r="R133" s="1422"/>
      <c r="S133" s="1423"/>
      <c r="T133" s="1423"/>
      <c r="U133" s="1423"/>
      <c r="V133" s="1422"/>
      <c r="W133" s="1422"/>
      <c r="X133" s="1422"/>
      <c r="Y133" s="1422"/>
      <c r="Z133" s="1422"/>
      <c r="AD133" s="1422"/>
      <c r="AF133" s="1422"/>
      <c r="AG133" s="1422"/>
      <c r="AH133" s="1422"/>
      <c r="AL133" s="748"/>
    </row>
    <row r="134" spans="1:38">
      <c r="A134" s="728">
        <v>129</v>
      </c>
      <c r="B134" s="727" t="s">
        <v>2676</v>
      </c>
      <c r="E134" s="1423">
        <f>'1501 Summary'!AD143</f>
        <v>3444.3500000000004</v>
      </c>
      <c r="F134" s="1422"/>
      <c r="G134" s="1422"/>
      <c r="H134" s="1422"/>
      <c r="I134" s="1422"/>
      <c r="J134" s="1422"/>
      <c r="K134" s="1405"/>
      <c r="L134" s="1427"/>
      <c r="M134" s="1422"/>
      <c r="N134" s="1422"/>
      <c r="O134" s="1423"/>
      <c r="P134" s="1423"/>
      <c r="Q134" s="1423"/>
      <c r="R134" s="1422"/>
      <c r="S134" s="1423"/>
      <c r="T134" s="1423"/>
      <c r="U134" s="1423"/>
      <c r="V134" s="1422"/>
      <c r="W134" s="1422"/>
      <c r="X134" s="1422"/>
      <c r="Y134" s="1422"/>
      <c r="Z134" s="1422"/>
      <c r="AD134" s="1422"/>
      <c r="AF134" s="1422"/>
      <c r="AG134" s="1422"/>
      <c r="AH134" s="1422"/>
      <c r="AL134" s="748"/>
    </row>
    <row r="135" spans="1:38">
      <c r="A135" s="728">
        <v>130</v>
      </c>
      <c r="B135" s="727" t="s">
        <v>2665</v>
      </c>
      <c r="E135" s="1423">
        <f>'1501 Summary'!AD144</f>
        <v>0</v>
      </c>
      <c r="F135" s="1422"/>
      <c r="G135" s="1422"/>
      <c r="H135" s="1422"/>
      <c r="I135" s="1422"/>
      <c r="J135" s="1422"/>
      <c r="K135" s="1405"/>
      <c r="L135" s="1427"/>
      <c r="M135" s="1422"/>
      <c r="N135" s="1422"/>
      <c r="O135" s="1423"/>
      <c r="P135" s="1423"/>
      <c r="Q135" s="1423"/>
      <c r="R135" s="1422"/>
      <c r="S135" s="1423"/>
      <c r="T135" s="1423"/>
      <c r="U135" s="1423"/>
      <c r="V135" s="1422"/>
      <c r="W135" s="1422"/>
      <c r="X135" s="1422"/>
      <c r="Y135" s="1422"/>
      <c r="Z135" s="1422"/>
      <c r="AD135" s="1422"/>
      <c r="AF135" s="1422"/>
      <c r="AG135" s="1422"/>
      <c r="AH135" s="1422"/>
      <c r="AL135" s="748"/>
    </row>
    <row r="136" spans="1:38">
      <c r="A136" s="728">
        <v>131</v>
      </c>
      <c r="B136" s="727" t="s">
        <v>54</v>
      </c>
      <c r="E136" s="1423">
        <f>'1501 Summary'!AD145</f>
        <v>0</v>
      </c>
      <c r="F136" s="1422"/>
      <c r="G136" s="1422"/>
      <c r="H136" s="1422"/>
      <c r="I136" s="1422"/>
      <c r="J136" s="1422"/>
      <c r="K136" s="1405"/>
      <c r="L136" s="1427"/>
      <c r="M136" s="1422"/>
      <c r="N136" s="1422"/>
      <c r="O136" s="1423"/>
      <c r="P136" s="1423"/>
      <c r="Q136" s="1423"/>
      <c r="R136" s="1422"/>
      <c r="S136" s="1423"/>
      <c r="T136" s="1423"/>
      <c r="U136" s="1423"/>
      <c r="V136" s="1422"/>
      <c r="W136" s="1422"/>
      <c r="X136" s="1422"/>
      <c r="Y136" s="1422"/>
      <c r="Z136" s="1422"/>
      <c r="AD136" s="1422"/>
      <c r="AF136" s="1422"/>
      <c r="AG136" s="1422"/>
      <c r="AH136" s="1422"/>
      <c r="AL136" s="748"/>
    </row>
    <row r="137" spans="1:38">
      <c r="A137" s="728">
        <v>132</v>
      </c>
      <c r="B137" s="727" t="s">
        <v>2662</v>
      </c>
      <c r="E137" s="1423">
        <f>'1501 Summary'!AD146</f>
        <v>8114.71</v>
      </c>
      <c r="F137" s="1422"/>
      <c r="G137" s="1422"/>
      <c r="H137" s="1422"/>
      <c r="I137" s="1422"/>
      <c r="J137" s="1422"/>
      <c r="K137" s="1405"/>
      <c r="L137" s="1427"/>
      <c r="M137" s="1422"/>
      <c r="N137" s="1422"/>
      <c r="O137" s="1423"/>
      <c r="P137" s="1423"/>
      <c r="Q137" s="1423"/>
      <c r="R137" s="1422"/>
      <c r="S137" s="1423"/>
      <c r="T137" s="1423"/>
      <c r="U137" s="1423"/>
      <c r="V137" s="1422"/>
      <c r="W137" s="1422"/>
      <c r="X137" s="1422"/>
      <c r="Y137" s="1422"/>
      <c r="Z137" s="1422"/>
      <c r="AD137" s="1422"/>
      <c r="AF137" s="1422"/>
      <c r="AG137" s="1422"/>
      <c r="AH137" s="1422"/>
      <c r="AL137" s="748"/>
    </row>
    <row r="138" spans="1:38">
      <c r="A138" s="728">
        <v>133</v>
      </c>
      <c r="B138" s="727" t="s">
        <v>2664</v>
      </c>
      <c r="E138" s="1423">
        <f>'1501 Summary'!AD147</f>
        <v>-15086.62</v>
      </c>
      <c r="F138" s="1422"/>
      <c r="G138" s="1422"/>
      <c r="H138" s="1422"/>
      <c r="I138" s="1422"/>
      <c r="J138" s="1422"/>
      <c r="K138" s="1405"/>
      <c r="L138" s="1427"/>
      <c r="M138" s="1422"/>
      <c r="N138" s="1422"/>
      <c r="O138" s="1423"/>
      <c r="P138" s="1423"/>
      <c r="Q138" s="1423"/>
      <c r="R138" s="1422"/>
      <c r="S138" s="1423"/>
      <c r="T138" s="1423"/>
      <c r="U138" s="1423"/>
      <c r="V138" s="1422"/>
      <c r="W138" s="1422"/>
      <c r="X138" s="1422"/>
      <c r="Y138" s="1422"/>
      <c r="Z138" s="1422"/>
      <c r="AD138" s="1422"/>
      <c r="AF138" s="1422"/>
      <c r="AG138" s="1422"/>
      <c r="AH138" s="1422"/>
      <c r="AL138" s="748"/>
    </row>
    <row r="139" spans="1:38">
      <c r="A139" s="728">
        <v>134</v>
      </c>
      <c r="B139" s="1443" t="s">
        <v>2666</v>
      </c>
      <c r="E139" s="1423">
        <f>'Revenue Reconcilliation'!Q94</f>
        <v>0</v>
      </c>
      <c r="F139" s="1422"/>
      <c r="G139" s="1422"/>
      <c r="H139" s="1422"/>
      <c r="I139" s="1422"/>
      <c r="J139" s="1422"/>
      <c r="K139" s="1405"/>
      <c r="L139" s="1427"/>
      <c r="M139" s="1422"/>
      <c r="N139" s="1422"/>
      <c r="O139" s="1423"/>
      <c r="P139" s="1423"/>
      <c r="Q139" s="1423"/>
      <c r="R139" s="1422"/>
      <c r="S139" s="1423"/>
      <c r="T139" s="1423"/>
      <c r="U139" s="1423"/>
      <c r="V139" s="1422"/>
      <c r="W139" s="1422"/>
      <c r="X139" s="1422"/>
      <c r="Y139" s="1422"/>
      <c r="Z139" s="1422"/>
      <c r="AD139" s="1422"/>
      <c r="AF139" s="1422"/>
      <c r="AG139" s="1422"/>
      <c r="AH139" s="1422"/>
      <c r="AL139" s="748"/>
    </row>
    <row r="140" spans="1:38">
      <c r="A140" s="728">
        <v>135</v>
      </c>
      <c r="B140" s="1443" t="s">
        <v>2667</v>
      </c>
      <c r="E140" s="1423">
        <f>'Revenue Reconcilliation'!Q95</f>
        <v>0</v>
      </c>
      <c r="F140" s="1422"/>
      <c r="G140" s="1422"/>
      <c r="H140" s="1422"/>
      <c r="I140" s="1422"/>
      <c r="J140" s="1422"/>
      <c r="K140" s="1405"/>
      <c r="L140" s="1427"/>
      <c r="M140" s="1422"/>
      <c r="N140" s="1422"/>
      <c r="O140" s="1423"/>
      <c r="P140" s="1423"/>
      <c r="Q140" s="1423"/>
      <c r="R140" s="1422"/>
      <c r="S140" s="1423"/>
      <c r="T140" s="1423"/>
      <c r="U140" s="1423"/>
      <c r="V140" s="1422"/>
      <c r="W140" s="1422"/>
      <c r="X140" s="1422"/>
      <c r="Y140" s="1422"/>
      <c r="Z140" s="1422"/>
      <c r="AA140" s="1423"/>
      <c r="AB140" s="1423"/>
      <c r="AC140" s="1423"/>
      <c r="AD140" s="1422"/>
      <c r="AF140" s="1422"/>
      <c r="AG140" s="1422"/>
      <c r="AH140" s="1422"/>
      <c r="AK140" s="1423"/>
      <c r="AL140" s="748"/>
    </row>
    <row r="141" spans="1:38">
      <c r="A141" s="728">
        <v>136</v>
      </c>
      <c r="B141" s="1443" t="s">
        <v>2668</v>
      </c>
      <c r="E141" s="1423">
        <f>'Revenue Reconcilliation'!Q96</f>
        <v>-278715.31999999995</v>
      </c>
      <c r="F141" s="1422"/>
      <c r="G141" s="1422"/>
      <c r="H141" s="1422"/>
      <c r="I141" s="1422"/>
      <c r="J141" s="1422"/>
      <c r="K141" s="1405"/>
      <c r="L141" s="1427"/>
      <c r="M141" s="1422"/>
      <c r="N141" s="1422"/>
      <c r="O141" s="1423"/>
      <c r="P141" s="1423"/>
      <c r="Q141" s="1423"/>
      <c r="R141" s="1422"/>
      <c r="S141" s="1423"/>
      <c r="T141" s="1423"/>
      <c r="U141" s="1423"/>
      <c r="V141" s="1422"/>
      <c r="W141" s="1422"/>
      <c r="X141" s="1422"/>
      <c r="Y141" s="1422"/>
      <c r="Z141" s="1422"/>
      <c r="AA141" s="1423"/>
      <c r="AB141" s="1423"/>
      <c r="AC141" s="1423"/>
      <c r="AD141" s="1422"/>
      <c r="AF141" s="1422"/>
      <c r="AG141" s="1422"/>
      <c r="AH141" s="1422"/>
      <c r="AK141" s="1423"/>
      <c r="AL141" s="748"/>
    </row>
    <row r="142" spans="1:38">
      <c r="A142" s="728">
        <v>137</v>
      </c>
      <c r="B142" s="1443" t="s">
        <v>2669</v>
      </c>
      <c r="E142" s="1423">
        <f>'Revenue Reconcilliation'!Q97</f>
        <v>616598.78000000014</v>
      </c>
      <c r="F142" s="1422"/>
      <c r="G142" s="1422"/>
      <c r="H142" s="1422"/>
      <c r="I142" s="1422"/>
      <c r="J142" s="1422"/>
      <c r="K142" s="1405"/>
      <c r="L142" s="1427"/>
      <c r="M142" s="1422"/>
      <c r="N142" s="1422"/>
      <c r="O142" s="1423"/>
      <c r="P142" s="1423"/>
      <c r="Q142" s="1423"/>
      <c r="R142" s="1422"/>
      <c r="S142" s="1423"/>
      <c r="T142" s="1423"/>
      <c r="U142" s="1423"/>
      <c r="V142" s="1422"/>
      <c r="W142" s="1422"/>
      <c r="X142" s="1422"/>
      <c r="Y142" s="1422"/>
      <c r="Z142" s="1422"/>
      <c r="AA142" s="1423"/>
      <c r="AB142" s="1423"/>
      <c r="AC142" s="1423"/>
      <c r="AD142" s="1422"/>
      <c r="AF142" s="1422"/>
      <c r="AG142" s="1422"/>
      <c r="AH142" s="1422"/>
      <c r="AK142" s="1423"/>
      <c r="AL142" s="748"/>
    </row>
    <row r="143" spans="1:38">
      <c r="A143" s="728">
        <v>138</v>
      </c>
      <c r="B143" s="1443" t="s">
        <v>2670</v>
      </c>
      <c r="E143" s="1423">
        <f>'Revenue Reconcilliation'!Q98</f>
        <v>0</v>
      </c>
      <c r="F143" s="1422"/>
      <c r="G143" s="1422"/>
      <c r="H143" s="1422"/>
      <c r="I143" s="1422"/>
      <c r="J143" s="1422"/>
      <c r="K143" s="1405"/>
      <c r="L143" s="1427"/>
      <c r="M143" s="1422"/>
      <c r="N143" s="1422"/>
      <c r="O143" s="1423"/>
      <c r="P143" s="1423"/>
      <c r="Q143" s="1423"/>
      <c r="R143" s="1422"/>
      <c r="S143" s="1423"/>
      <c r="T143" s="1423"/>
      <c r="U143" s="1423"/>
      <c r="V143" s="1422"/>
      <c r="W143" s="1422"/>
      <c r="X143" s="1422"/>
      <c r="Y143" s="1422"/>
      <c r="Z143" s="1422"/>
      <c r="AA143" s="1423"/>
      <c r="AB143" s="1423"/>
      <c r="AC143" s="1423"/>
      <c r="AD143" s="1422"/>
      <c r="AF143" s="1422"/>
      <c r="AG143" s="1422"/>
      <c r="AH143" s="1422"/>
      <c r="AK143" s="1423"/>
      <c r="AL143" s="748"/>
    </row>
    <row r="144" spans="1:38">
      <c r="A144" s="728">
        <v>139</v>
      </c>
      <c r="B144" s="1443" t="s">
        <v>2678</v>
      </c>
      <c r="E144" s="1431">
        <f>SUM(E124:E143)</f>
        <v>999826.97000000009</v>
      </c>
      <c r="F144" s="1422"/>
      <c r="G144" s="1422"/>
      <c r="H144" s="1422"/>
      <c r="I144" s="1422"/>
      <c r="J144" s="1422"/>
      <c r="K144" s="1405"/>
      <c r="L144" s="1427"/>
      <c r="M144" s="1422"/>
      <c r="N144" s="1422"/>
      <c r="O144" s="1423"/>
      <c r="P144" s="1423"/>
      <c r="Q144" s="1423"/>
      <c r="R144" s="1422"/>
      <c r="S144" s="1423"/>
      <c r="T144" s="1423"/>
      <c r="U144" s="1423"/>
      <c r="V144" s="1422"/>
      <c r="W144" s="1422"/>
      <c r="X144" s="1422"/>
      <c r="Y144" s="1422"/>
      <c r="Z144" s="1422"/>
      <c r="AA144" s="1423"/>
      <c r="AB144" s="1423"/>
      <c r="AC144" s="1423"/>
      <c r="AD144" s="1422"/>
      <c r="AF144" s="1422"/>
      <c r="AG144" s="1422"/>
      <c r="AH144" s="1422"/>
      <c r="AK144" s="1423"/>
      <c r="AL144" s="748"/>
    </row>
    <row r="145" spans="1:38">
      <c r="A145" s="728">
        <v>140</v>
      </c>
      <c r="B145" s="727" t="s">
        <v>2678</v>
      </c>
      <c r="E145" s="1362"/>
      <c r="F145" s="727"/>
      <c r="G145" s="727"/>
      <c r="H145" s="727"/>
      <c r="I145" s="727"/>
      <c r="J145" s="727"/>
      <c r="K145" s="1405"/>
      <c r="L145" s="1427"/>
      <c r="M145" s="1422"/>
      <c r="N145" s="727"/>
      <c r="O145" s="1423"/>
      <c r="P145" s="1473"/>
      <c r="Q145" s="1423"/>
      <c r="R145" s="727"/>
      <c r="S145" s="1423"/>
      <c r="T145" s="1473"/>
      <c r="U145" s="1423"/>
      <c r="V145" s="727"/>
      <c r="W145" s="727"/>
      <c r="X145" s="727"/>
      <c r="Y145" s="727"/>
      <c r="Z145" s="727"/>
      <c r="AA145" s="1423"/>
      <c r="AB145" s="1423"/>
      <c r="AC145" s="1423"/>
      <c r="AD145" s="727"/>
      <c r="AE145" s="1474"/>
      <c r="AF145" s="727"/>
      <c r="AG145" s="727"/>
      <c r="AH145" s="727"/>
      <c r="AK145" s="1423"/>
      <c r="AL145" s="748"/>
    </row>
    <row r="146" spans="1:38">
      <c r="A146" s="728">
        <v>141</v>
      </c>
      <c r="E146" s="1423"/>
      <c r="F146" s="1423"/>
      <c r="G146" s="1423"/>
      <c r="H146" s="1423"/>
      <c r="I146" s="1423"/>
      <c r="J146" s="1423"/>
      <c r="K146" s="1405"/>
      <c r="L146" s="1427"/>
      <c r="M146" s="1422"/>
      <c r="N146" s="1423"/>
      <c r="O146" s="1423"/>
      <c r="P146" s="1423"/>
      <c r="Q146" s="1423"/>
      <c r="R146" s="1423"/>
      <c r="S146" s="1423"/>
      <c r="T146" s="1423"/>
      <c r="U146" s="1423"/>
      <c r="V146" s="1423"/>
      <c r="W146" s="1423"/>
      <c r="X146" s="1423"/>
      <c r="Y146" s="1423"/>
      <c r="Z146" s="1423"/>
      <c r="AA146" s="1423"/>
      <c r="AB146" s="1423"/>
      <c r="AC146" s="1423"/>
      <c r="AD146" s="1423"/>
      <c r="AF146" s="1423"/>
      <c r="AG146" s="1423"/>
      <c r="AH146" s="1423"/>
      <c r="AK146" s="1423"/>
      <c r="AL146" s="748"/>
    </row>
    <row r="147" spans="1:38">
      <c r="A147" s="728">
        <v>142</v>
      </c>
      <c r="B147" s="1444" t="s">
        <v>2691</v>
      </c>
      <c r="C147" s="1438">
        <f>E147-'Revenue Reconcilliation'!Q102</f>
        <v>0</v>
      </c>
      <c r="D147" s="1445" t="s">
        <v>2673</v>
      </c>
      <c r="E147" s="1437">
        <f>SUM(E119,E121,E144)</f>
        <v>7114919.6299999999</v>
      </c>
      <c r="F147" s="1438"/>
      <c r="G147" s="1438"/>
      <c r="H147" s="1438"/>
      <c r="I147" s="1438"/>
      <c r="J147" s="1438"/>
      <c r="K147" s="1447"/>
      <c r="L147" s="1446"/>
      <c r="M147" s="1438"/>
      <c r="N147" s="1438"/>
      <c r="O147" s="1437"/>
      <c r="P147" s="1437"/>
      <c r="Q147" s="1437"/>
      <c r="R147" s="1438"/>
      <c r="S147" s="1437"/>
      <c r="T147" s="1437"/>
      <c r="U147" s="1437"/>
      <c r="V147" s="1438"/>
      <c r="W147" s="1438"/>
      <c r="X147" s="1438"/>
      <c r="Y147" s="1438"/>
      <c r="Z147" s="1438"/>
      <c r="AA147" s="1437"/>
      <c r="AB147" s="1437"/>
      <c r="AC147" s="1437"/>
      <c r="AD147" s="1438"/>
      <c r="AE147" s="1447"/>
      <c r="AF147" s="1438"/>
      <c r="AG147" s="1438"/>
      <c r="AH147" s="1438"/>
      <c r="AI147" s="1459"/>
      <c r="AJ147" s="1459"/>
      <c r="AK147" s="1437"/>
      <c r="AL147" s="748"/>
    </row>
    <row r="148" spans="1:38">
      <c r="A148" s="728">
        <v>143</v>
      </c>
      <c r="B148" s="1448"/>
      <c r="C148" s="1475"/>
      <c r="E148" s="1423"/>
      <c r="F148" s="1422"/>
      <c r="G148" s="1422"/>
      <c r="H148" s="1422"/>
      <c r="I148" s="1422"/>
      <c r="J148" s="1422"/>
      <c r="K148" s="1405"/>
      <c r="L148" s="1427"/>
      <c r="M148" s="1422"/>
      <c r="N148" s="1422"/>
      <c r="O148" s="1423"/>
      <c r="P148" s="1423"/>
      <c r="Q148" s="1423"/>
      <c r="R148" s="1422"/>
      <c r="S148" s="1423"/>
      <c r="T148" s="1423"/>
      <c r="U148" s="1423"/>
      <c r="V148" s="1422"/>
      <c r="W148" s="1422"/>
      <c r="X148" s="1422"/>
      <c r="Y148" s="1422"/>
      <c r="Z148" s="1422"/>
      <c r="AA148" s="1423"/>
      <c r="AB148" s="1423"/>
      <c r="AC148" s="1423"/>
      <c r="AD148" s="1422"/>
      <c r="AF148" s="1422"/>
      <c r="AG148" s="1422"/>
      <c r="AH148" s="1422"/>
      <c r="AI148" s="1449"/>
      <c r="AJ148" s="1449"/>
      <c r="AK148" s="1423"/>
      <c r="AL148" s="748"/>
    </row>
    <row r="149" spans="1:38">
      <c r="A149" s="728">
        <v>144</v>
      </c>
      <c r="B149" s="1420" t="s">
        <v>2692</v>
      </c>
      <c r="C149" s="1475"/>
      <c r="E149" s="1423"/>
      <c r="F149" s="1422"/>
      <c r="G149" s="1476" t="s">
        <v>2693</v>
      </c>
      <c r="H149" s="1422"/>
      <c r="I149" s="1422"/>
      <c r="J149" s="1422"/>
      <c r="K149" s="1405"/>
      <c r="L149" s="1427"/>
      <c r="M149" s="1422"/>
      <c r="N149" s="1422"/>
      <c r="O149" s="1423"/>
      <c r="P149" s="1423"/>
      <c r="Q149" s="1423"/>
      <c r="R149" s="1422"/>
      <c r="S149" s="1423"/>
      <c r="T149" s="1423"/>
      <c r="U149" s="1423"/>
      <c r="V149" s="1422"/>
      <c r="W149" s="1422"/>
      <c r="X149" s="1422"/>
      <c r="Y149" s="1422"/>
      <c r="Z149" s="1422"/>
      <c r="AA149" s="1423"/>
      <c r="AB149" s="1423"/>
      <c r="AC149" s="1423"/>
      <c r="AD149" s="1422"/>
      <c r="AF149" s="1422"/>
      <c r="AG149" s="1422"/>
      <c r="AH149" s="1422"/>
      <c r="AI149" s="1449"/>
      <c r="AJ149" s="1449"/>
      <c r="AK149" s="1423"/>
      <c r="AL149" s="748"/>
    </row>
    <row r="150" spans="1:38">
      <c r="A150" s="728">
        <v>145</v>
      </c>
      <c r="B150" s="727" t="s">
        <v>2462</v>
      </c>
      <c r="C150" s="1424">
        <f>E150/D150</f>
        <v>159</v>
      </c>
      <c r="D150" s="1422">
        <v>125</v>
      </c>
      <c r="E150" s="1423">
        <f>'1501 Summary'!AD154</f>
        <v>19875</v>
      </c>
      <c r="F150" s="1422"/>
      <c r="G150" s="1424">
        <f>-C150</f>
        <v>-159</v>
      </c>
      <c r="H150" s="1422">
        <f>D150</f>
        <v>125</v>
      </c>
      <c r="I150" s="1423">
        <f>H150*G150</f>
        <v>-19875</v>
      </c>
      <c r="J150" s="1422"/>
      <c r="K150" s="1405">
        <f>C150+G150</f>
        <v>0</v>
      </c>
      <c r="L150" s="1422">
        <f>D150</f>
        <v>125</v>
      </c>
      <c r="M150" s="1423">
        <f>L150*K150</f>
        <v>0</v>
      </c>
      <c r="N150" s="1422"/>
      <c r="O150" s="1423"/>
      <c r="P150" s="1423"/>
      <c r="Q150" s="1423"/>
      <c r="R150" s="1422"/>
      <c r="S150" s="1423"/>
      <c r="T150" s="1423"/>
      <c r="U150" s="1423"/>
      <c r="V150" s="1422"/>
      <c r="W150" s="1422"/>
      <c r="X150" s="1422"/>
      <c r="Y150" s="1422"/>
      <c r="Z150" s="1422"/>
      <c r="AA150" s="1423"/>
      <c r="AB150" s="1423"/>
      <c r="AC150" s="1423"/>
      <c r="AD150" s="1422"/>
      <c r="AF150" s="1422"/>
      <c r="AG150" s="1422"/>
      <c r="AH150" s="1422"/>
      <c r="AI150" s="1449"/>
      <c r="AJ150" s="1449"/>
      <c r="AK150" s="1423"/>
      <c r="AL150" s="748"/>
    </row>
    <row r="151" spans="1:38">
      <c r="A151" s="728">
        <v>146</v>
      </c>
      <c r="B151" s="727" t="s">
        <v>2688</v>
      </c>
      <c r="C151" s="1424">
        <f>E151/D151</f>
        <v>1842443.1960921143</v>
      </c>
      <c r="D151" s="1361">
        <v>0.14330000000000001</v>
      </c>
      <c r="E151" s="1423">
        <f>'1501 Summary'!AD155</f>
        <v>264022.11</v>
      </c>
      <c r="F151" s="1423"/>
      <c r="G151" s="1424">
        <f>-C151</f>
        <v>-1842443.1960921143</v>
      </c>
      <c r="H151" s="1422">
        <f>D151</f>
        <v>0.14330000000000001</v>
      </c>
      <c r="I151" s="1423">
        <f>H151*G151</f>
        <v>-264022.11</v>
      </c>
      <c r="J151" s="1423"/>
      <c r="K151" s="1405">
        <f>C151+G151</f>
        <v>0</v>
      </c>
      <c r="L151" s="1427">
        <v>0.16113</v>
      </c>
      <c r="M151" s="1423">
        <f>L151*K151</f>
        <v>0</v>
      </c>
      <c r="N151" s="1423"/>
      <c r="O151" s="1423"/>
      <c r="P151" s="1423"/>
      <c r="Q151" s="1423"/>
      <c r="R151" s="1423"/>
      <c r="S151" s="1423"/>
      <c r="T151" s="1423"/>
      <c r="U151" s="1423"/>
      <c r="V151" s="1423"/>
      <c r="W151" s="1423"/>
      <c r="X151" s="1423"/>
      <c r="Y151" s="1423"/>
      <c r="Z151" s="1423"/>
      <c r="AA151" s="1423"/>
      <c r="AB151" s="1423"/>
      <c r="AC151" s="1423"/>
      <c r="AD151" s="1423"/>
      <c r="AF151" s="1423"/>
      <c r="AG151" s="1423"/>
      <c r="AH151" s="1423"/>
      <c r="AK151" s="1423"/>
      <c r="AL151" s="748"/>
    </row>
    <row r="152" spans="1:38">
      <c r="A152" s="728">
        <v>147</v>
      </c>
      <c r="B152" s="727" t="s">
        <v>2689</v>
      </c>
      <c r="C152" s="1424">
        <f>E152/D152</f>
        <v>1959104.0604515662</v>
      </c>
      <c r="D152" s="1361">
        <v>0.10983999999999999</v>
      </c>
      <c r="E152" s="1423">
        <f>'1501 Summary'!AD156</f>
        <v>215187.99000000002</v>
      </c>
      <c r="F152" s="1422"/>
      <c r="G152" s="1424">
        <f>-C152</f>
        <v>-1959104.0604515662</v>
      </c>
      <c r="H152" s="1422">
        <f>D152</f>
        <v>0.10983999999999999</v>
      </c>
      <c r="I152" s="1423">
        <f>H152*G152</f>
        <v>-215187.99000000002</v>
      </c>
      <c r="J152" s="1422"/>
      <c r="K152" s="1405">
        <f>C152+G152</f>
        <v>0</v>
      </c>
      <c r="L152" s="1427">
        <v>0.12471</v>
      </c>
      <c r="M152" s="1423">
        <f>L152*K152</f>
        <v>0</v>
      </c>
      <c r="N152" s="1422"/>
      <c r="O152" s="1423"/>
      <c r="P152" s="1423"/>
      <c r="Q152" s="1423"/>
      <c r="R152" s="1422"/>
      <c r="S152" s="1423"/>
      <c r="T152" s="1423"/>
      <c r="U152" s="1423"/>
      <c r="V152" s="1422"/>
      <c r="W152" s="1422"/>
      <c r="X152" s="1422"/>
      <c r="Y152" s="1422"/>
      <c r="Z152" s="1422"/>
      <c r="AA152" s="1423"/>
      <c r="AB152" s="1423"/>
      <c r="AC152" s="1423"/>
      <c r="AD152" s="1422"/>
      <c r="AF152" s="1422"/>
      <c r="AG152" s="1422"/>
      <c r="AH152" s="1422"/>
      <c r="AI152" s="1449"/>
      <c r="AJ152" s="1449"/>
      <c r="AK152" s="1423"/>
      <c r="AL152" s="748"/>
    </row>
    <row r="153" spans="1:38">
      <c r="A153" s="728">
        <v>148</v>
      </c>
      <c r="B153" s="1453" t="s">
        <v>2690</v>
      </c>
      <c r="C153" s="1424">
        <f>E153/D153</f>
        <v>365434.10852713173</v>
      </c>
      <c r="D153" s="1361">
        <v>2.7089999999999999E-2</v>
      </c>
      <c r="E153" s="1437">
        <f>'1501 Summary'!AD157</f>
        <v>9899.6099999999988</v>
      </c>
      <c r="F153" s="1422"/>
      <c r="G153" s="1424">
        <f>-C153</f>
        <v>-365434.10852713173</v>
      </c>
      <c r="H153" s="1422">
        <f>D153</f>
        <v>2.7089999999999999E-2</v>
      </c>
      <c r="I153" s="1423">
        <f>H153*G153</f>
        <v>-9899.6099999999988</v>
      </c>
      <c r="J153" s="1422"/>
      <c r="K153" s="1405">
        <f>C153+G153</f>
        <v>0</v>
      </c>
      <c r="L153" s="1427">
        <v>3.4639999999999997E-2</v>
      </c>
      <c r="M153" s="1437">
        <f>L153*K153</f>
        <v>0</v>
      </c>
      <c r="N153" s="1422"/>
      <c r="O153" s="1423"/>
      <c r="P153" s="1423"/>
      <c r="Q153" s="1423"/>
      <c r="R153" s="1422"/>
      <c r="S153" s="1423"/>
      <c r="T153" s="1423"/>
      <c r="U153" s="1423"/>
      <c r="V153" s="1422"/>
      <c r="W153" s="1422"/>
      <c r="X153" s="1422"/>
      <c r="Y153" s="1422"/>
      <c r="Z153" s="1422"/>
      <c r="AA153" s="1423"/>
      <c r="AB153" s="1423"/>
      <c r="AC153" s="1423"/>
      <c r="AD153" s="1422"/>
      <c r="AF153" s="1422"/>
      <c r="AG153" s="1422"/>
      <c r="AH153" s="1422"/>
      <c r="AI153" s="1449"/>
      <c r="AJ153" s="1449"/>
      <c r="AK153" s="1423"/>
      <c r="AL153" s="748"/>
    </row>
    <row r="154" spans="1:38">
      <c r="A154" s="728">
        <v>149</v>
      </c>
      <c r="B154" s="727" t="s">
        <v>2648</v>
      </c>
      <c r="C154" s="1475"/>
      <c r="E154" s="1423">
        <f>SUM(E150:E153)</f>
        <v>508984.70999999996</v>
      </c>
      <c r="F154" s="1422"/>
      <c r="G154" s="1422"/>
      <c r="H154" s="1422"/>
      <c r="I154" s="1422"/>
      <c r="J154" s="1422"/>
      <c r="K154" s="1405"/>
      <c r="L154" s="1427"/>
      <c r="M154" s="1423">
        <f>SUM(M150:M153)</f>
        <v>0</v>
      </c>
      <c r="N154" s="1422"/>
      <c r="O154" s="1423"/>
      <c r="P154" s="1423"/>
      <c r="Q154" s="1423"/>
      <c r="R154" s="1422"/>
      <c r="S154" s="1423"/>
      <c r="T154" s="1423"/>
      <c r="U154" s="1423"/>
      <c r="V154" s="1422"/>
      <c r="W154" s="1422"/>
      <c r="X154" s="1422"/>
      <c r="Y154" s="1422"/>
      <c r="Z154" s="1422"/>
      <c r="AA154" s="1423"/>
      <c r="AB154" s="1423"/>
      <c r="AC154" s="1423"/>
      <c r="AD154" s="1422"/>
      <c r="AF154" s="1422"/>
      <c r="AG154" s="1422"/>
      <c r="AH154" s="1422"/>
      <c r="AI154" s="1449"/>
      <c r="AJ154" s="1449"/>
      <c r="AK154" s="1423"/>
      <c r="AL154" s="748"/>
    </row>
    <row r="155" spans="1:38">
      <c r="A155" s="728">
        <v>150</v>
      </c>
      <c r="C155" s="1475"/>
      <c r="E155" s="1423"/>
      <c r="F155" s="1422"/>
      <c r="G155" s="1422"/>
      <c r="H155" s="1422"/>
      <c r="I155" s="1422"/>
      <c r="J155" s="1422"/>
      <c r="K155" s="1405"/>
      <c r="L155" s="1427"/>
      <c r="M155" s="1422"/>
      <c r="N155" s="1422"/>
      <c r="O155" s="1423"/>
      <c r="P155" s="1423"/>
      <c r="Q155" s="1423"/>
      <c r="R155" s="1422"/>
      <c r="S155" s="1423"/>
      <c r="T155" s="1423"/>
      <c r="U155" s="1423"/>
      <c r="V155" s="1422"/>
      <c r="W155" s="1422"/>
      <c r="X155" s="1422"/>
      <c r="Y155" s="1422"/>
      <c r="Z155" s="1422"/>
      <c r="AA155" s="1423"/>
      <c r="AB155" s="1423"/>
      <c r="AC155" s="1423"/>
      <c r="AD155" s="1422"/>
      <c r="AF155" s="1422"/>
      <c r="AG155" s="1422"/>
      <c r="AH155" s="1422"/>
      <c r="AI155" s="1449"/>
      <c r="AJ155" s="1449"/>
      <c r="AK155" s="1423"/>
      <c r="AL155" s="748"/>
    </row>
    <row r="156" spans="1:38">
      <c r="A156" s="728">
        <v>151</v>
      </c>
      <c r="B156" s="727" t="s">
        <v>2650</v>
      </c>
      <c r="E156" s="1423">
        <f>'1501 Summary'!AD158</f>
        <v>1749542.2000000002</v>
      </c>
      <c r="F156" s="1423"/>
      <c r="G156" s="1423"/>
      <c r="H156" s="1423"/>
      <c r="I156" s="1423"/>
      <c r="J156" s="1423"/>
      <c r="K156" s="1405"/>
      <c r="L156" s="1427"/>
      <c r="M156" s="1422"/>
      <c r="N156" s="1423"/>
      <c r="O156" s="1423"/>
      <c r="P156" s="1423"/>
      <c r="Q156" s="1423"/>
      <c r="R156" s="1423"/>
      <c r="S156" s="1423"/>
      <c r="T156" s="1423"/>
      <c r="U156" s="1423"/>
      <c r="V156" s="1423"/>
      <c r="W156" s="1423"/>
      <c r="X156" s="1423"/>
      <c r="Y156" s="1423"/>
      <c r="Z156" s="1423"/>
      <c r="AA156" s="1423"/>
      <c r="AB156" s="1423"/>
      <c r="AC156" s="1423"/>
      <c r="AD156" s="1423"/>
      <c r="AF156" s="1423"/>
      <c r="AG156" s="1423"/>
      <c r="AH156" s="1423"/>
      <c r="AK156" s="1423"/>
      <c r="AL156" s="748"/>
    </row>
    <row r="157" spans="1:38">
      <c r="A157" s="728">
        <v>152</v>
      </c>
      <c r="C157" s="1475"/>
      <c r="E157" s="1423"/>
      <c r="F157" s="1422"/>
      <c r="G157" s="1422"/>
      <c r="H157" s="1422"/>
      <c r="I157" s="1422"/>
      <c r="J157" s="1422"/>
      <c r="K157" s="1405"/>
      <c r="L157" s="1427"/>
      <c r="M157" s="1422"/>
      <c r="N157" s="1422"/>
      <c r="O157" s="1423"/>
      <c r="P157" s="1423"/>
      <c r="Q157" s="1423"/>
      <c r="R157" s="1422"/>
      <c r="S157" s="1423"/>
      <c r="T157" s="1423"/>
      <c r="U157" s="1423"/>
      <c r="V157" s="1422"/>
      <c r="W157" s="1422"/>
      <c r="X157" s="1422"/>
      <c r="Y157" s="1422"/>
      <c r="Z157" s="1422"/>
      <c r="AA157" s="1423"/>
      <c r="AB157" s="1423"/>
      <c r="AC157" s="1423"/>
      <c r="AD157" s="1422"/>
      <c r="AF157" s="1422"/>
      <c r="AG157" s="1422"/>
      <c r="AH157" s="1422"/>
      <c r="AI157" s="1449"/>
      <c r="AJ157" s="1449"/>
      <c r="AK157" s="1423"/>
      <c r="AL157" s="748"/>
    </row>
    <row r="158" spans="1:38">
      <c r="A158" s="728">
        <v>153</v>
      </c>
      <c r="B158" s="727" t="s">
        <v>2651</v>
      </c>
      <c r="C158" s="1475"/>
      <c r="E158" s="1423"/>
      <c r="F158" s="1422"/>
      <c r="G158" s="1422"/>
      <c r="H158" s="1422"/>
      <c r="I158" s="1422"/>
      <c r="J158" s="1422"/>
      <c r="K158" s="1405"/>
      <c r="L158" s="1427"/>
      <c r="M158" s="1422"/>
      <c r="N158" s="1422"/>
      <c r="O158" s="1423"/>
      <c r="P158" s="1423"/>
      <c r="Q158" s="1423"/>
      <c r="R158" s="1422"/>
      <c r="S158" s="1423"/>
      <c r="T158" s="1423"/>
      <c r="U158" s="1423"/>
      <c r="V158" s="1422"/>
      <c r="W158" s="1422"/>
      <c r="X158" s="1422"/>
      <c r="Y158" s="1422"/>
      <c r="Z158" s="1422"/>
      <c r="AA158" s="1423"/>
      <c r="AB158" s="1423"/>
      <c r="AC158" s="1423"/>
      <c r="AD158" s="1422"/>
      <c r="AF158" s="1422"/>
      <c r="AG158" s="1422"/>
      <c r="AH158" s="1422"/>
      <c r="AI158" s="1449"/>
      <c r="AJ158" s="1449"/>
      <c r="AK158" s="1423"/>
      <c r="AL158" s="748"/>
    </row>
    <row r="159" spans="1:38">
      <c r="A159" s="728">
        <v>154</v>
      </c>
      <c r="B159" s="727" t="s">
        <v>2652</v>
      </c>
      <c r="C159" s="1475"/>
      <c r="E159" s="1423">
        <f>'1501 Summary'!AD159</f>
        <v>258358.53</v>
      </c>
      <c r="F159" s="1422"/>
      <c r="G159" s="1422"/>
      <c r="H159" s="1422"/>
      <c r="I159" s="1422"/>
      <c r="J159" s="1422"/>
      <c r="K159" s="1405"/>
      <c r="L159" s="1427"/>
      <c r="M159" s="1422"/>
      <c r="N159" s="1422"/>
      <c r="O159" s="1423"/>
      <c r="P159" s="1423"/>
      <c r="Q159" s="1423"/>
      <c r="R159" s="1422"/>
      <c r="S159" s="1423"/>
      <c r="T159" s="1423"/>
      <c r="U159" s="1423"/>
      <c r="V159" s="1422"/>
      <c r="W159" s="1422"/>
      <c r="X159" s="1422"/>
      <c r="Y159" s="1422"/>
      <c r="Z159" s="1422"/>
      <c r="AA159" s="1423"/>
      <c r="AB159" s="1423"/>
      <c r="AC159" s="1423"/>
      <c r="AD159" s="1422"/>
      <c r="AF159" s="1422"/>
      <c r="AG159" s="1422"/>
      <c r="AH159" s="1422"/>
      <c r="AI159" s="1449"/>
      <c r="AJ159" s="1449"/>
      <c r="AK159" s="1423"/>
      <c r="AL159" s="748"/>
    </row>
    <row r="160" spans="1:38">
      <c r="A160" s="728">
        <v>155</v>
      </c>
      <c r="B160" s="727" t="s">
        <v>2653</v>
      </c>
      <c r="E160" s="1423">
        <f>'1501 Summary'!AD160</f>
        <v>5981.64</v>
      </c>
      <c r="F160" s="1423"/>
      <c r="G160" s="1423"/>
      <c r="H160" s="1423"/>
      <c r="I160" s="1423"/>
      <c r="J160" s="1423"/>
      <c r="K160" s="1405"/>
      <c r="L160" s="1427"/>
      <c r="M160" s="1422"/>
      <c r="N160" s="1423"/>
      <c r="O160" s="1423"/>
      <c r="P160" s="1423"/>
      <c r="Q160" s="1423"/>
      <c r="R160" s="1423"/>
      <c r="S160" s="1423"/>
      <c r="T160" s="1423"/>
      <c r="U160" s="1423"/>
      <c r="V160" s="1423"/>
      <c r="W160" s="1423"/>
      <c r="X160" s="1423"/>
      <c r="Y160" s="1423"/>
      <c r="Z160" s="1423"/>
      <c r="AA160" s="1423"/>
      <c r="AB160" s="1423"/>
      <c r="AC160" s="1423"/>
      <c r="AD160" s="1423"/>
      <c r="AF160" s="1423"/>
      <c r="AG160" s="1423"/>
      <c r="AH160" s="1423"/>
      <c r="AK160" s="1423"/>
      <c r="AL160" s="748"/>
    </row>
    <row r="161" spans="1:38">
      <c r="A161" s="728">
        <v>156</v>
      </c>
      <c r="B161" s="727" t="s">
        <v>2654</v>
      </c>
      <c r="C161" s="1475"/>
      <c r="E161" s="1423">
        <f>'1501 Summary'!AD161</f>
        <v>20284.32</v>
      </c>
      <c r="F161" s="1422"/>
      <c r="G161" s="1422"/>
      <c r="H161" s="1422"/>
      <c r="I161" s="1422"/>
      <c r="J161" s="1422"/>
      <c r="K161" s="1405"/>
      <c r="L161" s="1427"/>
      <c r="M161" s="1422"/>
      <c r="N161" s="1422"/>
      <c r="O161" s="1423"/>
      <c r="P161" s="1423"/>
      <c r="Q161" s="1423"/>
      <c r="R161" s="1422"/>
      <c r="S161" s="1423"/>
      <c r="T161" s="1423"/>
      <c r="U161" s="1423"/>
      <c r="V161" s="1422"/>
      <c r="W161" s="1422"/>
      <c r="X161" s="1422"/>
      <c r="Y161" s="1422"/>
      <c r="Z161" s="1422"/>
      <c r="AA161" s="1423"/>
      <c r="AB161" s="1423"/>
      <c r="AC161" s="1423"/>
      <c r="AD161" s="1422"/>
      <c r="AF161" s="1422"/>
      <c r="AG161" s="1422"/>
      <c r="AH161" s="1422"/>
      <c r="AI161" s="1449"/>
      <c r="AJ161" s="1449"/>
      <c r="AK161" s="1423"/>
      <c r="AL161" s="748"/>
    </row>
    <row r="162" spans="1:38">
      <c r="A162" s="728">
        <v>157</v>
      </c>
      <c r="B162" s="727" t="s">
        <v>2655</v>
      </c>
      <c r="C162" s="1475"/>
      <c r="E162" s="1423">
        <f>'1501 Summary'!AD162</f>
        <v>-192352.21999999997</v>
      </c>
      <c r="F162" s="1422"/>
      <c r="G162" s="1422"/>
      <c r="H162" s="1422"/>
      <c r="I162" s="1422"/>
      <c r="J162" s="1422"/>
      <c r="K162" s="1405"/>
      <c r="L162" s="1427"/>
      <c r="M162" s="1422"/>
      <c r="N162" s="1422"/>
      <c r="O162" s="1423"/>
      <c r="P162" s="1423"/>
      <c r="Q162" s="1423"/>
      <c r="R162" s="1422"/>
      <c r="S162" s="1423"/>
      <c r="T162" s="1423"/>
      <c r="U162" s="1423"/>
      <c r="V162" s="1422"/>
      <c r="W162" s="1422"/>
      <c r="X162" s="1422"/>
      <c r="Y162" s="1422"/>
      <c r="Z162" s="1422"/>
      <c r="AA162" s="1423"/>
      <c r="AB162" s="1423"/>
      <c r="AC162" s="1423"/>
      <c r="AD162" s="1422"/>
      <c r="AF162" s="1422"/>
      <c r="AG162" s="1422"/>
      <c r="AH162" s="1422"/>
      <c r="AI162" s="1449"/>
      <c r="AJ162" s="1449"/>
      <c r="AK162" s="1423"/>
      <c r="AL162" s="748"/>
    </row>
    <row r="163" spans="1:38">
      <c r="A163" s="728">
        <v>158</v>
      </c>
      <c r="B163" s="727" t="s">
        <v>2656</v>
      </c>
      <c r="C163" s="1475"/>
      <c r="E163" s="1423">
        <f>'1501 Summary'!AD163</f>
        <v>27572.06</v>
      </c>
      <c r="F163" s="1422"/>
      <c r="G163" s="1422"/>
      <c r="H163" s="1422"/>
      <c r="I163" s="1422"/>
      <c r="J163" s="1422"/>
      <c r="K163" s="1405"/>
      <c r="L163" s="1427"/>
      <c r="M163" s="1422"/>
      <c r="N163" s="1422"/>
      <c r="O163" s="1423"/>
      <c r="P163" s="1423"/>
      <c r="Q163" s="1423"/>
      <c r="R163" s="1422"/>
      <c r="S163" s="1423"/>
      <c r="T163" s="1423"/>
      <c r="U163" s="1423"/>
      <c r="V163" s="1422"/>
      <c r="W163" s="1422"/>
      <c r="X163" s="1422"/>
      <c r="Y163" s="1422"/>
      <c r="Z163" s="1422"/>
      <c r="AA163" s="1423"/>
      <c r="AB163" s="1423"/>
      <c r="AC163" s="1423"/>
      <c r="AD163" s="1422"/>
      <c r="AF163" s="1422"/>
      <c r="AG163" s="1422"/>
      <c r="AH163" s="1422"/>
      <c r="AI163" s="1449"/>
      <c r="AJ163" s="1449"/>
      <c r="AK163" s="1423"/>
      <c r="AL163" s="748"/>
    </row>
    <row r="164" spans="1:38">
      <c r="A164" s="728">
        <v>159</v>
      </c>
      <c r="B164" s="727" t="s">
        <v>2657</v>
      </c>
      <c r="E164" s="1423">
        <f>'1501 Summary'!AD164</f>
        <v>114008.81</v>
      </c>
      <c r="F164" s="1423"/>
      <c r="G164" s="1423"/>
      <c r="H164" s="1423"/>
      <c r="I164" s="1423"/>
      <c r="J164" s="1423"/>
      <c r="K164" s="1405"/>
      <c r="L164" s="1427"/>
      <c r="M164" s="1422"/>
      <c r="N164" s="1423"/>
      <c r="O164" s="1423"/>
      <c r="P164" s="1423"/>
      <c r="Q164" s="1423"/>
      <c r="R164" s="1423"/>
      <c r="S164" s="1423"/>
      <c r="T164" s="1423"/>
      <c r="U164" s="1423"/>
      <c r="V164" s="1423"/>
      <c r="W164" s="1423"/>
      <c r="X164" s="1423"/>
      <c r="Y164" s="1423"/>
      <c r="Z164" s="1423"/>
      <c r="AA164" s="1423"/>
      <c r="AB164" s="1423"/>
      <c r="AC164" s="1423"/>
      <c r="AD164" s="1423"/>
      <c r="AF164" s="1423"/>
      <c r="AG164" s="1423"/>
      <c r="AH164" s="1423"/>
      <c r="AK164" s="1423"/>
      <c r="AL164" s="748"/>
    </row>
    <row r="165" spans="1:38">
      <c r="A165" s="728">
        <v>160</v>
      </c>
      <c r="B165" s="1463" t="s">
        <v>2658</v>
      </c>
      <c r="C165" s="1475"/>
      <c r="E165" s="1423">
        <f>'1501 Summary'!AD165</f>
        <v>-12129.24</v>
      </c>
      <c r="F165" s="1422"/>
      <c r="G165" s="1422"/>
      <c r="H165" s="1422"/>
      <c r="I165" s="1422"/>
      <c r="J165" s="1422"/>
      <c r="K165" s="1405"/>
      <c r="L165" s="1427"/>
      <c r="M165" s="1422"/>
      <c r="N165" s="1422"/>
      <c r="O165" s="1423"/>
      <c r="P165" s="1423"/>
      <c r="Q165" s="1423"/>
      <c r="R165" s="1422"/>
      <c r="S165" s="1423"/>
      <c r="T165" s="1423"/>
      <c r="U165" s="1423"/>
      <c r="V165" s="1422"/>
      <c r="W165" s="1422"/>
      <c r="X165" s="1422"/>
      <c r="Y165" s="1422"/>
      <c r="Z165" s="1422"/>
      <c r="AA165" s="1423"/>
      <c r="AB165" s="1423"/>
      <c r="AC165" s="1423"/>
      <c r="AD165" s="1422"/>
      <c r="AF165" s="1422"/>
      <c r="AG165" s="1422"/>
      <c r="AH165" s="1422"/>
      <c r="AI165" s="1449"/>
      <c r="AJ165" s="1449"/>
      <c r="AK165" s="1423"/>
      <c r="AL165" s="748"/>
    </row>
    <row r="166" spans="1:38">
      <c r="A166" s="728">
        <v>161</v>
      </c>
      <c r="B166" s="1463" t="s">
        <v>2659</v>
      </c>
      <c r="C166" s="1475"/>
      <c r="E166" s="1423">
        <f>'1501 Summary'!AD166</f>
        <v>-5461.6900000000005</v>
      </c>
      <c r="F166" s="1422"/>
      <c r="G166" s="1422"/>
      <c r="H166" s="1422"/>
      <c r="I166" s="1422"/>
      <c r="J166" s="1422"/>
      <c r="K166" s="1405"/>
      <c r="L166" s="1427"/>
      <c r="M166" s="1422"/>
      <c r="N166" s="1422"/>
      <c r="O166" s="1423"/>
      <c r="P166" s="1423"/>
      <c r="Q166" s="1423"/>
      <c r="R166" s="1422"/>
      <c r="S166" s="1423"/>
      <c r="T166" s="1423"/>
      <c r="U166" s="1423"/>
      <c r="V166" s="1422"/>
      <c r="W166" s="1422"/>
      <c r="X166" s="1422"/>
      <c r="Y166" s="1422"/>
      <c r="Z166" s="1422"/>
      <c r="AA166" s="1423"/>
      <c r="AB166" s="1423"/>
      <c r="AC166" s="1423"/>
      <c r="AD166" s="1422"/>
      <c r="AF166" s="1422"/>
      <c r="AG166" s="1422"/>
      <c r="AH166" s="1422"/>
      <c r="AI166" s="1449"/>
      <c r="AJ166" s="1449"/>
      <c r="AK166" s="1423"/>
      <c r="AL166" s="748"/>
    </row>
    <row r="167" spans="1:38">
      <c r="A167" s="728">
        <v>162</v>
      </c>
      <c r="B167" s="1463" t="s">
        <v>2660</v>
      </c>
      <c r="C167" s="1475"/>
      <c r="E167" s="1423">
        <f>'1501 Summary'!AD167</f>
        <v>-8656.2999999999993</v>
      </c>
      <c r="F167" s="1422"/>
      <c r="G167" s="1422"/>
      <c r="H167" s="1422"/>
      <c r="I167" s="1422"/>
      <c r="J167" s="1422"/>
      <c r="K167" s="1405"/>
      <c r="L167" s="1427"/>
      <c r="M167" s="1422"/>
      <c r="N167" s="1422"/>
      <c r="O167" s="1423"/>
      <c r="P167" s="1423"/>
      <c r="Q167" s="1423"/>
      <c r="R167" s="1422"/>
      <c r="S167" s="1423"/>
      <c r="T167" s="1423"/>
      <c r="U167" s="1423"/>
      <c r="V167" s="1422"/>
      <c r="W167" s="1422"/>
      <c r="X167" s="1422"/>
      <c r="Y167" s="1422"/>
      <c r="Z167" s="1422"/>
      <c r="AA167" s="1423"/>
      <c r="AB167" s="1423"/>
      <c r="AC167" s="1423"/>
      <c r="AD167" s="1422"/>
      <c r="AF167" s="1422"/>
      <c r="AG167" s="1422"/>
      <c r="AH167" s="1422"/>
      <c r="AI167" s="1449"/>
      <c r="AJ167" s="1449"/>
      <c r="AK167" s="1423"/>
      <c r="AL167" s="748"/>
    </row>
    <row r="168" spans="1:38">
      <c r="A168" s="728">
        <v>163</v>
      </c>
      <c r="B168" s="727" t="s">
        <v>2661</v>
      </c>
      <c r="C168" s="1475"/>
      <c r="E168" s="1423">
        <f>'1501 Summary'!AD168</f>
        <v>76548.090000000011</v>
      </c>
      <c r="F168" s="1422"/>
      <c r="G168" s="1422"/>
      <c r="H168" s="1422"/>
      <c r="I168" s="1422"/>
      <c r="J168" s="1422"/>
      <c r="K168" s="1405"/>
      <c r="L168" s="1427"/>
      <c r="M168" s="1422"/>
      <c r="N168" s="1422"/>
      <c r="O168" s="1423"/>
      <c r="P168" s="1423"/>
      <c r="Q168" s="1423"/>
      <c r="R168" s="1422"/>
      <c r="S168" s="1423"/>
      <c r="T168" s="1423"/>
      <c r="U168" s="1423"/>
      <c r="V168" s="1422"/>
      <c r="W168" s="1422"/>
      <c r="X168" s="1422"/>
      <c r="Y168" s="1422"/>
      <c r="Z168" s="1422"/>
      <c r="AA168" s="1423"/>
      <c r="AB168" s="1423"/>
      <c r="AC168" s="1423"/>
      <c r="AD168" s="1422"/>
      <c r="AF168" s="1422"/>
      <c r="AG168" s="1422"/>
      <c r="AH168" s="1422"/>
      <c r="AI168" s="1449"/>
      <c r="AJ168" s="1449"/>
      <c r="AK168" s="1423"/>
      <c r="AL168" s="748"/>
    </row>
    <row r="169" spans="1:38">
      <c r="A169" s="728">
        <v>164</v>
      </c>
      <c r="B169" s="727" t="s">
        <v>2676</v>
      </c>
      <c r="C169" s="1475"/>
      <c r="E169" s="1423">
        <f>'1501 Summary'!AD169</f>
        <v>423.57000000000005</v>
      </c>
      <c r="F169" s="1422"/>
      <c r="G169" s="1422"/>
      <c r="H169" s="1422"/>
      <c r="I169" s="1422"/>
      <c r="J169" s="1422"/>
      <c r="K169" s="1405"/>
      <c r="L169" s="1427"/>
      <c r="M169" s="1422"/>
      <c r="N169" s="1422"/>
      <c r="O169" s="1423"/>
      <c r="P169" s="1423"/>
      <c r="Q169" s="1423"/>
      <c r="R169" s="1422"/>
      <c r="S169" s="1423"/>
      <c r="T169" s="1423"/>
      <c r="U169" s="1423"/>
      <c r="V169" s="1422"/>
      <c r="W169" s="1422"/>
      <c r="X169" s="1422"/>
      <c r="Y169" s="1422"/>
      <c r="Z169" s="1422"/>
      <c r="AA169" s="1423"/>
      <c r="AB169" s="1423"/>
      <c r="AC169" s="1423"/>
      <c r="AD169" s="1422"/>
      <c r="AF169" s="1422"/>
      <c r="AG169" s="1422"/>
      <c r="AH169" s="1422"/>
      <c r="AI169" s="1449"/>
      <c r="AJ169" s="1449"/>
      <c r="AK169" s="1423"/>
      <c r="AL169" s="748"/>
    </row>
    <row r="170" spans="1:38">
      <c r="A170" s="728">
        <v>165</v>
      </c>
      <c r="B170" s="727" t="s">
        <v>2665</v>
      </c>
      <c r="E170" s="1423">
        <f>'1501 Summary'!AD170</f>
        <v>4026.1800000000003</v>
      </c>
      <c r="F170" s="1423"/>
      <c r="G170" s="1423"/>
      <c r="H170" s="1423"/>
      <c r="I170" s="1423"/>
      <c r="J170" s="1423"/>
      <c r="K170" s="1405"/>
      <c r="L170" s="1427"/>
      <c r="M170" s="1422"/>
      <c r="N170" s="1423"/>
      <c r="O170" s="1423"/>
      <c r="P170" s="1423"/>
      <c r="Q170" s="1423"/>
      <c r="R170" s="1423"/>
      <c r="S170" s="1423"/>
      <c r="T170" s="1423"/>
      <c r="U170" s="1423"/>
      <c r="V170" s="1423"/>
      <c r="W170" s="1423"/>
      <c r="X170" s="1423"/>
      <c r="Y170" s="1423"/>
      <c r="Z170" s="1423"/>
      <c r="AA170" s="1423"/>
      <c r="AB170" s="1423"/>
      <c r="AC170" s="1423"/>
      <c r="AD170" s="1423"/>
      <c r="AF170" s="1423"/>
      <c r="AG170" s="1423"/>
      <c r="AH170" s="1423"/>
      <c r="AK170" s="1423"/>
      <c r="AL170" s="748"/>
    </row>
    <row r="171" spans="1:38">
      <c r="A171" s="728">
        <v>166</v>
      </c>
      <c r="B171" s="727" t="s">
        <v>54</v>
      </c>
      <c r="C171" s="1475"/>
      <c r="E171" s="1423">
        <f>'1501 Summary'!AD171</f>
        <v>-26855.59</v>
      </c>
      <c r="F171" s="1422"/>
      <c r="G171" s="1422"/>
      <c r="H171" s="1422"/>
      <c r="I171" s="1422"/>
      <c r="J171" s="1422"/>
      <c r="K171" s="1405"/>
      <c r="L171" s="1427"/>
      <c r="M171" s="1422"/>
      <c r="N171" s="1422"/>
      <c r="O171" s="1423"/>
      <c r="P171" s="1423"/>
      <c r="Q171" s="1423"/>
      <c r="R171" s="1422"/>
      <c r="S171" s="1423"/>
      <c r="T171" s="1423"/>
      <c r="U171" s="1423"/>
      <c r="V171" s="1422"/>
      <c r="W171" s="1422"/>
      <c r="X171" s="1422"/>
      <c r="Y171" s="1422"/>
      <c r="Z171" s="1422"/>
      <c r="AA171" s="1423"/>
      <c r="AB171" s="1423"/>
      <c r="AC171" s="1423"/>
      <c r="AD171" s="1422"/>
      <c r="AF171" s="1422"/>
      <c r="AG171" s="1422"/>
      <c r="AH171" s="1422"/>
      <c r="AI171" s="1449"/>
      <c r="AJ171" s="1449"/>
      <c r="AK171" s="1423"/>
      <c r="AL171" s="748"/>
    </row>
    <row r="172" spans="1:38">
      <c r="A172" s="728">
        <v>167</v>
      </c>
      <c r="B172" s="727" t="s">
        <v>2662</v>
      </c>
      <c r="C172" s="1475"/>
      <c r="E172" s="1423">
        <f>'1501 Summary'!AD172</f>
        <v>0</v>
      </c>
      <c r="F172" s="1422"/>
      <c r="G172" s="1422"/>
      <c r="H172" s="1422"/>
      <c r="I172" s="1422"/>
      <c r="J172" s="1422"/>
      <c r="K172" s="1405"/>
      <c r="L172" s="1427"/>
      <c r="M172" s="1422"/>
      <c r="N172" s="1422"/>
      <c r="O172" s="1423"/>
      <c r="P172" s="1423"/>
      <c r="Q172" s="1423"/>
      <c r="R172" s="1422"/>
      <c r="S172" s="1423"/>
      <c r="T172" s="1423"/>
      <c r="U172" s="1423"/>
      <c r="V172" s="1422"/>
      <c r="W172" s="1422"/>
      <c r="X172" s="1422"/>
      <c r="Y172" s="1422"/>
      <c r="Z172" s="1422"/>
      <c r="AA172" s="1423"/>
      <c r="AB172" s="1423"/>
      <c r="AC172" s="1423"/>
      <c r="AD172" s="1422"/>
      <c r="AF172" s="1422"/>
      <c r="AG172" s="1422"/>
      <c r="AH172" s="1422"/>
      <c r="AI172" s="1449"/>
      <c r="AJ172" s="1449"/>
      <c r="AK172" s="1423"/>
      <c r="AL172" s="748"/>
    </row>
    <row r="173" spans="1:38">
      <c r="A173" s="728">
        <v>168</v>
      </c>
      <c r="B173" s="727" t="s">
        <v>2664</v>
      </c>
      <c r="C173" s="1475"/>
      <c r="E173" s="1423">
        <f>'1501 Summary'!AD173</f>
        <v>-4468.9799999999996</v>
      </c>
      <c r="F173" s="1422"/>
      <c r="G173" s="1422"/>
      <c r="H173" s="1422"/>
      <c r="I173" s="1422"/>
      <c r="J173" s="1422"/>
      <c r="K173" s="1405"/>
      <c r="L173" s="1427"/>
      <c r="M173" s="1422"/>
      <c r="N173" s="1422"/>
      <c r="O173" s="1423"/>
      <c r="P173" s="1423"/>
      <c r="Q173" s="1423"/>
      <c r="R173" s="1422"/>
      <c r="S173" s="1423"/>
      <c r="T173" s="1423"/>
      <c r="U173" s="1423"/>
      <c r="V173" s="1422"/>
      <c r="W173" s="1422"/>
      <c r="X173" s="1422"/>
      <c r="Y173" s="1422"/>
      <c r="Z173" s="1422"/>
      <c r="AA173" s="1423"/>
      <c r="AB173" s="1423"/>
      <c r="AC173" s="1423"/>
      <c r="AD173" s="1422"/>
      <c r="AF173" s="1422"/>
      <c r="AG173" s="1422"/>
      <c r="AH173" s="1422"/>
      <c r="AI173" s="1449"/>
      <c r="AJ173" s="1449"/>
      <c r="AK173" s="1423"/>
      <c r="AL173" s="748"/>
    </row>
    <row r="174" spans="1:38">
      <c r="A174" s="728">
        <v>169</v>
      </c>
      <c r="B174" s="1443" t="s">
        <v>2666</v>
      </c>
      <c r="E174" s="1423">
        <f>'Revenue Reconcilliation'!Q114</f>
        <v>0</v>
      </c>
      <c r="F174" s="1423"/>
      <c r="G174" s="1423"/>
      <c r="H174" s="1423"/>
      <c r="I174" s="1423"/>
      <c r="J174" s="1423"/>
      <c r="K174" s="1405"/>
      <c r="L174" s="1427"/>
      <c r="M174" s="1422"/>
      <c r="N174" s="1423"/>
      <c r="O174" s="1423"/>
      <c r="P174" s="1423"/>
      <c r="Q174" s="1423"/>
      <c r="R174" s="1423"/>
      <c r="S174" s="1423"/>
      <c r="T174" s="1423"/>
      <c r="U174" s="1423"/>
      <c r="V174" s="1423"/>
      <c r="W174" s="1423"/>
      <c r="X174" s="1423"/>
      <c r="Y174" s="1423"/>
      <c r="Z174" s="1423"/>
      <c r="AA174" s="1423"/>
      <c r="AB174" s="1423"/>
      <c r="AC174" s="1423"/>
      <c r="AD174" s="1423"/>
      <c r="AF174" s="1423"/>
      <c r="AG174" s="1423"/>
      <c r="AH174" s="1423"/>
      <c r="AK174" s="1423"/>
      <c r="AL174" s="748"/>
    </row>
    <row r="175" spans="1:38">
      <c r="A175" s="728">
        <v>170</v>
      </c>
      <c r="B175" s="1443" t="s">
        <v>2667</v>
      </c>
      <c r="C175" s="1475"/>
      <c r="E175" s="1423">
        <f>'Revenue Reconcilliation'!Q115</f>
        <v>0</v>
      </c>
      <c r="F175" s="1422"/>
      <c r="G175" s="1422"/>
      <c r="H175" s="1422"/>
      <c r="I175" s="1422"/>
      <c r="J175" s="1422"/>
      <c r="K175" s="1405"/>
      <c r="L175" s="1427"/>
      <c r="M175" s="1422"/>
      <c r="N175" s="1422"/>
      <c r="O175" s="1423"/>
      <c r="P175" s="1423"/>
      <c r="Q175" s="1423"/>
      <c r="R175" s="1422"/>
      <c r="S175" s="1423"/>
      <c r="T175" s="1423"/>
      <c r="U175" s="1423"/>
      <c r="V175" s="1422"/>
      <c r="W175" s="1422"/>
      <c r="X175" s="1422"/>
      <c r="Y175" s="1422"/>
      <c r="Z175" s="1422"/>
      <c r="AA175" s="1423"/>
      <c r="AB175" s="1423"/>
      <c r="AC175" s="1423"/>
      <c r="AD175" s="1422"/>
      <c r="AF175" s="1422"/>
      <c r="AG175" s="1422"/>
      <c r="AH175" s="1422"/>
      <c r="AI175" s="1449"/>
      <c r="AJ175" s="1449"/>
      <c r="AK175" s="1423"/>
      <c r="AL175" s="748"/>
    </row>
    <row r="176" spans="1:38">
      <c r="A176" s="728">
        <v>171</v>
      </c>
      <c r="B176" s="1443" t="s">
        <v>2668</v>
      </c>
      <c r="C176" s="1475"/>
      <c r="E176" s="1423">
        <f>'Revenue Reconcilliation'!Q116</f>
        <v>-291315.95999999996</v>
      </c>
      <c r="F176" s="1422"/>
      <c r="G176" s="1422"/>
      <c r="H176" s="1422"/>
      <c r="I176" s="1422"/>
      <c r="J176" s="1422"/>
      <c r="K176" s="1405"/>
      <c r="L176" s="1427"/>
      <c r="M176" s="1422"/>
      <c r="N176" s="1422"/>
      <c r="O176" s="1423"/>
      <c r="P176" s="1423"/>
      <c r="Q176" s="1423"/>
      <c r="R176" s="1422"/>
      <c r="S176" s="1423"/>
      <c r="T176" s="1423"/>
      <c r="U176" s="1423"/>
      <c r="V176" s="1422"/>
      <c r="W176" s="1422"/>
      <c r="X176" s="1422"/>
      <c r="Y176" s="1422"/>
      <c r="Z176" s="1422"/>
      <c r="AA176" s="1423"/>
      <c r="AB176" s="1423"/>
      <c r="AC176" s="1423"/>
      <c r="AD176" s="1422"/>
      <c r="AF176" s="1422"/>
      <c r="AG176" s="1422"/>
      <c r="AH176" s="1422"/>
      <c r="AI176" s="1449"/>
      <c r="AJ176" s="1449"/>
      <c r="AK176" s="1423"/>
      <c r="AL176" s="748"/>
    </row>
    <row r="177" spans="1:38">
      <c r="A177" s="728">
        <v>172</v>
      </c>
      <c r="B177" s="1443" t="s">
        <v>2669</v>
      </c>
      <c r="C177" s="1475"/>
      <c r="E177" s="1423">
        <f>'Revenue Reconcilliation'!Q117</f>
        <v>185978.68</v>
      </c>
      <c r="F177" s="1422"/>
      <c r="G177" s="1422"/>
      <c r="H177" s="1422"/>
      <c r="I177" s="1422"/>
      <c r="J177" s="1422"/>
      <c r="K177" s="1405"/>
      <c r="L177" s="1427"/>
      <c r="M177" s="1422"/>
      <c r="N177" s="1422"/>
      <c r="O177" s="1423"/>
      <c r="P177" s="1423"/>
      <c r="Q177" s="1423"/>
      <c r="R177" s="1422"/>
      <c r="S177" s="1423"/>
      <c r="T177" s="1423"/>
      <c r="U177" s="1423"/>
      <c r="V177" s="1422"/>
      <c r="W177" s="1422"/>
      <c r="X177" s="1422"/>
      <c r="Y177" s="1422"/>
      <c r="Z177" s="1422"/>
      <c r="AA177" s="1423"/>
      <c r="AB177" s="1423"/>
      <c r="AC177" s="1423"/>
      <c r="AD177" s="1422"/>
      <c r="AF177" s="1422"/>
      <c r="AG177" s="1422"/>
      <c r="AH177" s="1422"/>
      <c r="AI177" s="1449"/>
      <c r="AJ177" s="1449"/>
      <c r="AK177" s="1423"/>
      <c r="AL177" s="748"/>
    </row>
    <row r="178" spans="1:38">
      <c r="A178" s="728">
        <v>173</v>
      </c>
      <c r="B178" s="1443" t="s">
        <v>2670</v>
      </c>
      <c r="E178" s="1423">
        <f>'Revenue Reconcilliation'!Q118</f>
        <v>0</v>
      </c>
      <c r="F178" s="1423"/>
      <c r="G178" s="1423"/>
      <c r="H178" s="1423"/>
      <c r="I178" s="1423"/>
      <c r="J178" s="1423"/>
      <c r="K178" s="1405"/>
      <c r="L178" s="1427"/>
      <c r="M178" s="1422"/>
      <c r="N178" s="1423"/>
      <c r="O178" s="1423"/>
      <c r="P178" s="1423"/>
      <c r="Q178" s="1423"/>
      <c r="R178" s="1423"/>
      <c r="S178" s="1423"/>
      <c r="T178" s="1423"/>
      <c r="U178" s="1423"/>
      <c r="V178" s="1423"/>
      <c r="W178" s="1423"/>
      <c r="X178" s="1423"/>
      <c r="Y178" s="1423"/>
      <c r="Z178" s="1423"/>
      <c r="AA178" s="1423"/>
      <c r="AB178" s="1423"/>
      <c r="AC178" s="1423"/>
      <c r="AD178" s="1423"/>
      <c r="AF178" s="1423"/>
      <c r="AG178" s="1423"/>
      <c r="AH178" s="1423"/>
      <c r="AK178" s="1423"/>
      <c r="AL178" s="748"/>
    </row>
    <row r="179" spans="1:38">
      <c r="A179" s="728">
        <v>174</v>
      </c>
      <c r="B179" s="1443" t="s">
        <v>2678</v>
      </c>
      <c r="C179" s="1475"/>
      <c r="E179" s="1437">
        <f>'Revenue Reconcilliation'!Q119</f>
        <v>0</v>
      </c>
      <c r="F179" s="1422"/>
      <c r="G179" s="1422"/>
      <c r="H179" s="1422"/>
      <c r="I179" s="1422"/>
      <c r="J179" s="1422"/>
      <c r="K179" s="1405"/>
      <c r="L179" s="1427"/>
      <c r="M179" s="1422"/>
      <c r="N179" s="1422"/>
      <c r="O179" s="1423"/>
      <c r="P179" s="1423"/>
      <c r="Q179" s="1423"/>
      <c r="R179" s="1422"/>
      <c r="S179" s="1423"/>
      <c r="T179" s="1423"/>
      <c r="U179" s="1423"/>
      <c r="V179" s="1422"/>
      <c r="W179" s="1422"/>
      <c r="X179" s="1422"/>
      <c r="Y179" s="1422"/>
      <c r="Z179" s="1422"/>
      <c r="AA179" s="1423"/>
      <c r="AB179" s="1423"/>
      <c r="AC179" s="1423"/>
      <c r="AD179" s="1422"/>
      <c r="AF179" s="1422"/>
      <c r="AG179" s="1422"/>
      <c r="AH179" s="1422"/>
      <c r="AI179" s="1449"/>
      <c r="AJ179" s="1449"/>
      <c r="AK179" s="1423"/>
      <c r="AL179" s="748"/>
    </row>
    <row r="180" spans="1:38">
      <c r="A180" s="728">
        <v>175</v>
      </c>
      <c r="C180" s="1475"/>
      <c r="E180" s="1423">
        <f>SUM(E159:E179)</f>
        <v>151941.90000000008</v>
      </c>
      <c r="F180" s="1422"/>
      <c r="G180" s="1422"/>
      <c r="H180" s="1422"/>
      <c r="I180" s="1422"/>
      <c r="J180" s="1422"/>
      <c r="K180" s="1405"/>
      <c r="L180" s="1427"/>
      <c r="M180" s="1422"/>
      <c r="N180" s="1422"/>
      <c r="O180" s="1423"/>
      <c r="P180" s="1423"/>
      <c r="Q180" s="1423"/>
      <c r="R180" s="1422"/>
      <c r="S180" s="1423"/>
      <c r="T180" s="1423"/>
      <c r="U180" s="1423"/>
      <c r="V180" s="1422"/>
      <c r="W180" s="1422"/>
      <c r="X180" s="1422"/>
      <c r="Y180" s="1422"/>
      <c r="Z180" s="1422"/>
      <c r="AA180" s="1423"/>
      <c r="AB180" s="1423"/>
      <c r="AC180" s="1423"/>
      <c r="AD180" s="1422"/>
      <c r="AF180" s="1422"/>
      <c r="AG180" s="1422"/>
      <c r="AH180" s="1422"/>
      <c r="AI180" s="1449"/>
      <c r="AJ180" s="1449"/>
      <c r="AK180" s="1423"/>
      <c r="AL180" s="748"/>
    </row>
    <row r="181" spans="1:38">
      <c r="A181" s="728">
        <v>176</v>
      </c>
      <c r="C181" s="1475"/>
      <c r="E181" s="1423"/>
      <c r="F181" s="1422"/>
      <c r="G181" s="1422"/>
      <c r="H181" s="1422"/>
      <c r="I181" s="1422"/>
      <c r="J181" s="1422"/>
      <c r="K181" s="1405"/>
      <c r="L181" s="1427"/>
      <c r="M181" s="1422"/>
      <c r="N181" s="1422"/>
      <c r="O181" s="1423"/>
      <c r="P181" s="1423"/>
      <c r="Q181" s="1423"/>
      <c r="R181" s="1422"/>
      <c r="S181" s="1423"/>
      <c r="T181" s="1423"/>
      <c r="U181" s="1423"/>
      <c r="V181" s="1422"/>
      <c r="W181" s="1422"/>
      <c r="X181" s="1422"/>
      <c r="Y181" s="1422"/>
      <c r="Z181" s="1422"/>
      <c r="AA181" s="1423"/>
      <c r="AB181" s="1423"/>
      <c r="AC181" s="1423"/>
      <c r="AD181" s="1422"/>
      <c r="AF181" s="1422"/>
      <c r="AG181" s="1422"/>
      <c r="AH181" s="1422"/>
      <c r="AI181" s="1449"/>
      <c r="AJ181" s="1449"/>
      <c r="AK181" s="1423"/>
      <c r="AL181" s="748"/>
    </row>
    <row r="182" spans="1:38">
      <c r="A182" s="728">
        <v>177</v>
      </c>
      <c r="B182" s="1444" t="s">
        <v>2691</v>
      </c>
      <c r="C182" s="1423">
        <f>E182-'Revenue Reconcilliation'!Q122</f>
        <v>0</v>
      </c>
      <c r="D182" s="1404" t="s">
        <v>2673</v>
      </c>
      <c r="E182" s="1423">
        <f>SUM(E154,E156,E180)</f>
        <v>2410468.81</v>
      </c>
      <c r="F182" s="1423"/>
      <c r="G182" s="1423"/>
      <c r="H182" s="1423"/>
      <c r="I182" s="1423"/>
      <c r="J182" s="1423"/>
      <c r="K182" s="1405"/>
      <c r="L182" s="1427"/>
      <c r="M182" s="1422"/>
      <c r="N182" s="1423"/>
      <c r="O182" s="1423"/>
      <c r="P182" s="1423"/>
      <c r="Q182" s="1423"/>
      <c r="R182" s="1423"/>
      <c r="S182" s="1423"/>
      <c r="T182" s="1423"/>
      <c r="U182" s="1423"/>
      <c r="V182" s="1423"/>
      <c r="W182" s="1423"/>
      <c r="X182" s="1423"/>
      <c r="Y182" s="1423"/>
      <c r="Z182" s="1423"/>
      <c r="AA182" s="1423"/>
      <c r="AB182" s="1423"/>
      <c r="AC182" s="1423"/>
      <c r="AD182" s="1423"/>
      <c r="AF182" s="1423"/>
      <c r="AG182" s="1423"/>
      <c r="AH182" s="1423"/>
      <c r="AK182" s="1423"/>
      <c r="AL182" s="748"/>
    </row>
    <row r="183" spans="1:38">
      <c r="A183" s="728">
        <v>178</v>
      </c>
      <c r="B183" s="1448"/>
      <c r="E183" s="1423"/>
      <c r="F183" s="1423"/>
      <c r="G183" s="1423"/>
      <c r="H183" s="1423"/>
      <c r="I183" s="1423"/>
      <c r="J183" s="1423"/>
      <c r="K183" s="1405"/>
      <c r="L183" s="1427"/>
      <c r="M183" s="1422"/>
      <c r="N183" s="1423"/>
      <c r="O183" s="1423"/>
      <c r="P183" s="1423"/>
      <c r="Q183" s="1423"/>
      <c r="R183" s="1423"/>
      <c r="S183" s="1423"/>
      <c r="T183" s="1423"/>
      <c r="U183" s="1423"/>
      <c r="V183" s="1423"/>
      <c r="W183" s="1423"/>
      <c r="X183" s="1423"/>
      <c r="Y183" s="1423"/>
      <c r="Z183" s="1423"/>
      <c r="AA183" s="1423"/>
      <c r="AB183" s="1423"/>
      <c r="AC183" s="1423"/>
      <c r="AD183" s="1423"/>
      <c r="AF183" s="1423"/>
      <c r="AG183" s="1423"/>
      <c r="AH183" s="1423"/>
      <c r="AK183" s="1423"/>
      <c r="AL183" s="748"/>
    </row>
    <row r="184" spans="1:38">
      <c r="A184" s="728">
        <v>179</v>
      </c>
      <c r="B184" s="1420" t="s">
        <v>2694</v>
      </c>
      <c r="E184" s="1423"/>
      <c r="F184" s="1423"/>
      <c r="G184" s="1423" t="s">
        <v>2695</v>
      </c>
      <c r="H184" s="1423"/>
      <c r="I184" s="1423"/>
      <c r="J184" s="1423"/>
      <c r="K184" s="1405"/>
      <c r="L184" s="1427"/>
      <c r="M184" s="1422"/>
      <c r="N184" s="1423"/>
      <c r="O184" s="1423"/>
      <c r="P184" s="1423"/>
      <c r="Q184" s="1423"/>
      <c r="R184" s="1423"/>
      <c r="S184" s="1423"/>
      <c r="T184" s="1423"/>
      <c r="U184" s="1423"/>
      <c r="V184" s="1423"/>
      <c r="W184" s="1423"/>
      <c r="X184" s="1423"/>
      <c r="Y184" s="1423"/>
      <c r="Z184" s="1423"/>
      <c r="AA184" s="1423"/>
      <c r="AB184" s="1423"/>
      <c r="AC184" s="1423"/>
      <c r="AD184" s="1423"/>
      <c r="AF184" s="1423"/>
      <c r="AG184" s="1423"/>
      <c r="AH184" s="1423"/>
      <c r="AK184" s="1423"/>
      <c r="AL184" s="748"/>
    </row>
    <row r="185" spans="1:38">
      <c r="A185" s="728">
        <v>180</v>
      </c>
      <c r="B185" s="727" t="s">
        <v>2462</v>
      </c>
      <c r="C185" s="1477">
        <f>E185/D185</f>
        <v>12</v>
      </c>
      <c r="D185" s="1422">
        <v>13</v>
      </c>
      <c r="E185" s="1423">
        <f>'1501 Summary'!AD30</f>
        <v>156</v>
      </c>
      <c r="F185" s="1422"/>
      <c r="G185" s="1424">
        <f>-C185</f>
        <v>-12</v>
      </c>
      <c r="H185" s="1422">
        <f>D185</f>
        <v>13</v>
      </c>
      <c r="I185" s="1423">
        <f>H185*G185</f>
        <v>-156</v>
      </c>
      <c r="J185" s="1422"/>
      <c r="K185" s="1405">
        <f>C185+G185</f>
        <v>0</v>
      </c>
      <c r="L185" s="1422">
        <f>D185</f>
        <v>13</v>
      </c>
      <c r="M185" s="1423">
        <f>L185*K185</f>
        <v>0</v>
      </c>
      <c r="N185" s="1422"/>
      <c r="O185" s="1423"/>
      <c r="P185" s="1423"/>
      <c r="Q185" s="1423"/>
      <c r="R185" s="1422"/>
      <c r="S185" s="1423"/>
      <c r="T185" s="1423"/>
      <c r="U185" s="1423"/>
      <c r="V185" s="1422"/>
      <c r="W185" s="1422"/>
      <c r="X185" s="1422"/>
      <c r="Y185" s="1422"/>
      <c r="Z185" s="1422"/>
      <c r="AA185" s="1425"/>
      <c r="AB185" s="1425"/>
      <c r="AC185" s="1425"/>
      <c r="AD185" s="1422"/>
      <c r="AF185" s="1422"/>
      <c r="AG185" s="1422"/>
      <c r="AH185" s="1422"/>
      <c r="AI185" s="1405"/>
      <c r="AJ185" s="1405"/>
      <c r="AK185" s="1425"/>
      <c r="AL185" s="748"/>
    </row>
    <row r="186" spans="1:38">
      <c r="A186" s="728">
        <v>181</v>
      </c>
      <c r="B186" s="1453" t="s">
        <v>2696</v>
      </c>
      <c r="C186" s="1477">
        <f>E186/D186</f>
        <v>29649.079595540581</v>
      </c>
      <c r="D186" s="1361">
        <v>0.23141999999999999</v>
      </c>
      <c r="E186" s="1437">
        <f>'1501 Summary'!AD31</f>
        <v>6861.3900000000012</v>
      </c>
      <c r="F186" s="1422"/>
      <c r="G186" s="1424">
        <f>-C186</f>
        <v>-29649.079595540581</v>
      </c>
      <c r="H186" s="1422">
        <f>D186</f>
        <v>0.23141999999999999</v>
      </c>
      <c r="I186" s="1437">
        <f>H186*G186</f>
        <v>-6861.3900000000012</v>
      </c>
      <c r="J186" s="1422"/>
      <c r="K186" s="1405">
        <f>C186+G186</f>
        <v>0</v>
      </c>
      <c r="L186" s="1427">
        <v>0.26179999999999998</v>
      </c>
      <c r="M186" s="1437">
        <f>L186*K186</f>
        <v>0</v>
      </c>
      <c r="N186" s="1422"/>
      <c r="O186" s="1423"/>
      <c r="P186" s="1423"/>
      <c r="Q186" s="1423"/>
      <c r="R186" s="1422"/>
      <c r="S186" s="1423"/>
      <c r="T186" s="1423"/>
      <c r="U186" s="1423"/>
      <c r="V186" s="1422"/>
      <c r="W186" s="1422"/>
      <c r="X186" s="1422"/>
      <c r="Y186" s="1422"/>
      <c r="Z186" s="1422"/>
      <c r="AA186" s="1425"/>
      <c r="AB186" s="1425"/>
      <c r="AC186" s="1425"/>
      <c r="AD186" s="1422"/>
      <c r="AF186" s="1422"/>
      <c r="AG186" s="1422"/>
      <c r="AH186" s="1422"/>
      <c r="AI186" s="1405"/>
      <c r="AJ186" s="1405"/>
      <c r="AK186" s="1425"/>
      <c r="AL186" s="748"/>
    </row>
    <row r="187" spans="1:38">
      <c r="A187" s="728">
        <v>182</v>
      </c>
      <c r="B187" s="727" t="s">
        <v>2648</v>
      </c>
      <c r="E187" s="1423">
        <f>SUM(E185:E186)</f>
        <v>7017.3900000000012</v>
      </c>
      <c r="F187" s="1422"/>
      <c r="G187" s="1422"/>
      <c r="H187" s="1422"/>
      <c r="I187" s="1423">
        <f>SUM(I185:I186)</f>
        <v>-7017.3900000000012</v>
      </c>
      <c r="J187" s="1422"/>
      <c r="K187" s="1405"/>
      <c r="L187" s="1427"/>
      <c r="M187" s="1423">
        <f>SUM(M185:M186)</f>
        <v>0</v>
      </c>
      <c r="N187" s="1422"/>
      <c r="O187" s="1423"/>
      <c r="P187" s="1423"/>
      <c r="Q187" s="1423"/>
      <c r="R187" s="1422"/>
      <c r="S187" s="1423"/>
      <c r="T187" s="1423"/>
      <c r="U187" s="1423"/>
      <c r="V187" s="1422"/>
      <c r="W187" s="1422"/>
      <c r="X187" s="1422"/>
      <c r="Y187" s="1422"/>
      <c r="Z187" s="1422"/>
      <c r="AA187" s="1425"/>
      <c r="AB187" s="1425"/>
      <c r="AC187" s="1425"/>
      <c r="AD187" s="1422"/>
      <c r="AF187" s="1422"/>
      <c r="AG187" s="1422"/>
      <c r="AH187" s="1422"/>
      <c r="AK187" s="1425"/>
      <c r="AL187" s="748"/>
    </row>
    <row r="188" spans="1:38">
      <c r="A188" s="728">
        <v>183</v>
      </c>
      <c r="E188" s="1423"/>
      <c r="F188" s="1423"/>
      <c r="G188" s="1423"/>
      <c r="H188" s="1423"/>
      <c r="I188" s="1423"/>
      <c r="J188" s="1423"/>
      <c r="K188" s="1405"/>
      <c r="L188" s="1427"/>
      <c r="M188" s="1423"/>
      <c r="N188" s="1423"/>
      <c r="O188" s="1423"/>
      <c r="P188" s="1423"/>
      <c r="Q188" s="1423"/>
      <c r="R188" s="1423"/>
      <c r="S188" s="1423"/>
      <c r="T188" s="1423"/>
      <c r="U188" s="1423"/>
      <c r="V188" s="1423"/>
      <c r="W188" s="1423"/>
      <c r="X188" s="1423"/>
      <c r="Y188" s="1423"/>
      <c r="Z188" s="1423"/>
      <c r="AA188" s="1423"/>
      <c r="AB188" s="1423"/>
      <c r="AC188" s="1423"/>
      <c r="AD188" s="1423"/>
      <c r="AF188" s="1423"/>
      <c r="AG188" s="1423"/>
      <c r="AH188" s="1423"/>
      <c r="AK188" s="1423"/>
      <c r="AL188" s="748"/>
    </row>
    <row r="189" spans="1:38">
      <c r="A189" s="728">
        <v>184</v>
      </c>
      <c r="B189" s="727" t="s">
        <v>2650</v>
      </c>
      <c r="E189" s="1423">
        <f>'1501 Summary'!AD32</f>
        <v>12851.83</v>
      </c>
      <c r="F189" s="1423"/>
      <c r="G189" s="1423"/>
      <c r="H189" s="1423"/>
      <c r="I189" s="1423"/>
      <c r="J189" s="1423"/>
      <c r="K189" s="1405"/>
      <c r="L189" s="1427"/>
      <c r="M189" s="1423"/>
      <c r="N189" s="1423"/>
      <c r="O189" s="1423"/>
      <c r="P189" s="1423"/>
      <c r="Q189" s="1423"/>
      <c r="R189" s="1423"/>
      <c r="S189" s="1423"/>
      <c r="T189" s="1423"/>
      <c r="U189" s="1423"/>
      <c r="V189" s="1423"/>
      <c r="W189" s="1423"/>
      <c r="X189" s="1423"/>
      <c r="Y189" s="1423"/>
      <c r="Z189" s="1423"/>
      <c r="AA189" s="1423"/>
      <c r="AB189" s="1423"/>
      <c r="AC189" s="1423"/>
      <c r="AD189" s="1423"/>
      <c r="AF189" s="1423"/>
      <c r="AG189" s="1423"/>
      <c r="AH189" s="1423"/>
      <c r="AK189" s="1423"/>
      <c r="AL189" s="748"/>
    </row>
    <row r="190" spans="1:38">
      <c r="A190" s="728">
        <v>185</v>
      </c>
      <c r="E190" s="1423"/>
      <c r="F190" s="1423"/>
      <c r="G190" s="1423"/>
      <c r="H190" s="1423"/>
      <c r="I190" s="1423"/>
      <c r="J190" s="1423"/>
      <c r="K190" s="1405"/>
      <c r="L190" s="1427"/>
      <c r="M190" s="1423"/>
      <c r="N190" s="1423"/>
      <c r="O190" s="1423"/>
      <c r="P190" s="1423"/>
      <c r="Q190" s="1423"/>
      <c r="R190" s="1423"/>
      <c r="S190" s="1423"/>
      <c r="T190" s="1423"/>
      <c r="U190" s="1423"/>
      <c r="V190" s="1423"/>
      <c r="W190" s="1423"/>
      <c r="X190" s="1423"/>
      <c r="Y190" s="1423"/>
      <c r="Z190" s="1423"/>
      <c r="AA190" s="1423"/>
      <c r="AB190" s="1423"/>
      <c r="AC190" s="1423"/>
      <c r="AD190" s="1423"/>
      <c r="AF190" s="1423"/>
      <c r="AG190" s="1423"/>
      <c r="AH190" s="1423"/>
      <c r="AK190" s="1423"/>
      <c r="AL190" s="748"/>
    </row>
    <row r="191" spans="1:38">
      <c r="A191" s="728">
        <v>186</v>
      </c>
      <c r="B191" s="727" t="s">
        <v>2651</v>
      </c>
      <c r="E191" s="1423"/>
      <c r="F191" s="1423"/>
      <c r="G191" s="1423"/>
      <c r="H191" s="1423"/>
      <c r="I191" s="1423"/>
      <c r="J191" s="1423"/>
      <c r="K191" s="1405"/>
      <c r="L191" s="1427"/>
      <c r="M191" s="1423"/>
      <c r="N191" s="1423"/>
      <c r="O191" s="1423"/>
      <c r="P191" s="1423"/>
      <c r="Q191" s="1423"/>
      <c r="R191" s="1423"/>
      <c r="S191" s="1423"/>
      <c r="T191" s="1423"/>
      <c r="U191" s="1423"/>
      <c r="V191" s="1423"/>
      <c r="W191" s="1423"/>
      <c r="X191" s="1423"/>
      <c r="Y191" s="1423"/>
      <c r="Z191" s="1423"/>
      <c r="AA191" s="1423"/>
      <c r="AB191" s="1423"/>
      <c r="AC191" s="1423"/>
      <c r="AD191" s="1423"/>
      <c r="AF191" s="1423"/>
      <c r="AG191" s="1423"/>
      <c r="AH191" s="1423"/>
      <c r="AK191" s="1423"/>
      <c r="AL191" s="748"/>
    </row>
    <row r="192" spans="1:38">
      <c r="A192" s="728">
        <v>187</v>
      </c>
      <c r="B192" s="727" t="s">
        <v>2652</v>
      </c>
      <c r="E192" s="1423">
        <f>'1501 Summary'!AD33</f>
        <v>1079.01</v>
      </c>
      <c r="F192" s="1423"/>
      <c r="G192" s="1423"/>
      <c r="H192" s="1423"/>
      <c r="I192" s="1423"/>
      <c r="J192" s="1423"/>
      <c r="K192" s="1405"/>
      <c r="L192" s="1427"/>
      <c r="M192" s="1423"/>
      <c r="N192" s="1423"/>
      <c r="O192" s="1423"/>
      <c r="P192" s="1423"/>
      <c r="Q192" s="1423"/>
      <c r="R192" s="1423"/>
      <c r="S192" s="1423"/>
      <c r="T192" s="1423"/>
      <c r="U192" s="1423"/>
      <c r="V192" s="1423"/>
      <c r="W192" s="1423"/>
      <c r="X192" s="1423"/>
      <c r="Y192" s="1423"/>
      <c r="Z192" s="1423"/>
      <c r="AA192" s="1423"/>
      <c r="AB192" s="1423"/>
      <c r="AC192" s="1423"/>
      <c r="AD192" s="1423"/>
      <c r="AF192" s="1423"/>
      <c r="AG192" s="1423"/>
      <c r="AH192" s="1423"/>
      <c r="AK192" s="1423"/>
      <c r="AL192" s="748"/>
    </row>
    <row r="193" spans="1:38">
      <c r="A193" s="728">
        <v>188</v>
      </c>
      <c r="B193" s="727" t="s">
        <v>2653</v>
      </c>
      <c r="E193" s="1423">
        <f>'1501 Summary'!AD34</f>
        <v>81.060000000000016</v>
      </c>
      <c r="F193" s="1422"/>
      <c r="G193" s="1422"/>
      <c r="H193" s="1422"/>
      <c r="I193" s="1422"/>
      <c r="J193" s="1422"/>
      <c r="K193" s="1405"/>
      <c r="L193" s="1427"/>
      <c r="M193" s="1423"/>
      <c r="N193" s="1422"/>
      <c r="O193" s="1423"/>
      <c r="P193" s="1423"/>
      <c r="Q193" s="1423"/>
      <c r="R193" s="1422"/>
      <c r="S193" s="1423"/>
      <c r="T193" s="1423"/>
      <c r="U193" s="1423"/>
      <c r="V193" s="1422"/>
      <c r="W193" s="1422"/>
      <c r="X193" s="1422"/>
      <c r="Y193" s="1422"/>
      <c r="Z193" s="1422"/>
      <c r="AA193" s="727"/>
      <c r="AB193" s="727"/>
      <c r="AC193" s="727"/>
      <c r="AD193" s="1422"/>
      <c r="AF193" s="1422"/>
      <c r="AG193" s="1422"/>
      <c r="AH193" s="1422"/>
      <c r="AK193" s="727"/>
      <c r="AL193" s="748"/>
    </row>
    <row r="194" spans="1:38">
      <c r="A194" s="728">
        <v>189</v>
      </c>
      <c r="B194" s="727" t="s">
        <v>2654</v>
      </c>
      <c r="E194" s="1423">
        <f>'1501 Summary'!AD35</f>
        <v>273.79000000000002</v>
      </c>
      <c r="F194" s="1422"/>
      <c r="G194" s="1422"/>
      <c r="H194" s="1422"/>
      <c r="I194" s="1422"/>
      <c r="J194" s="1422"/>
      <c r="K194" s="1405"/>
      <c r="L194" s="1427"/>
      <c r="M194" s="1423"/>
      <c r="N194" s="1422"/>
      <c r="O194" s="1423"/>
      <c r="P194" s="1423"/>
      <c r="Q194" s="1423"/>
      <c r="R194" s="1422"/>
      <c r="S194" s="1423"/>
      <c r="T194" s="1423"/>
      <c r="U194" s="1423"/>
      <c r="V194" s="1422"/>
      <c r="W194" s="1422"/>
      <c r="X194" s="1422"/>
      <c r="Y194" s="1422"/>
      <c r="Z194" s="1422"/>
      <c r="AA194" s="1443"/>
      <c r="AB194" s="1443"/>
      <c r="AC194" s="1443"/>
      <c r="AD194" s="1422"/>
      <c r="AF194" s="1422"/>
      <c r="AG194" s="1422"/>
      <c r="AH194" s="1422"/>
      <c r="AK194" s="1443"/>
      <c r="AL194" s="748"/>
    </row>
    <row r="195" spans="1:38">
      <c r="A195" s="728">
        <v>190</v>
      </c>
      <c r="B195" s="727" t="s">
        <v>2655</v>
      </c>
      <c r="E195" s="1423">
        <f>'1501 Summary'!AD36</f>
        <v>-779.09</v>
      </c>
      <c r="F195" s="1422"/>
      <c r="G195" s="1422"/>
      <c r="H195" s="1422"/>
      <c r="I195" s="1422"/>
      <c r="J195" s="1422"/>
      <c r="K195" s="1405"/>
      <c r="L195" s="1427"/>
      <c r="M195" s="1423"/>
      <c r="N195" s="1422"/>
      <c r="O195" s="1423"/>
      <c r="P195" s="1423"/>
      <c r="Q195" s="1423"/>
      <c r="R195" s="1422"/>
      <c r="S195" s="1423"/>
      <c r="T195" s="1423"/>
      <c r="U195" s="1423"/>
      <c r="V195" s="1422"/>
      <c r="W195" s="1422"/>
      <c r="X195" s="1422"/>
      <c r="Y195" s="1422"/>
      <c r="Z195" s="1422"/>
      <c r="AA195" s="1443"/>
      <c r="AB195" s="1443"/>
      <c r="AC195" s="1443"/>
      <c r="AD195" s="1422"/>
      <c r="AF195" s="1422"/>
      <c r="AG195" s="1422"/>
      <c r="AH195" s="1422"/>
      <c r="AK195" s="1443"/>
      <c r="AL195" s="748"/>
    </row>
    <row r="196" spans="1:38">
      <c r="A196" s="728">
        <v>191</v>
      </c>
      <c r="B196" s="727" t="s">
        <v>2656</v>
      </c>
      <c r="E196" s="1423">
        <f>'1501 Summary'!AD37</f>
        <v>198.85</v>
      </c>
      <c r="F196" s="1422"/>
      <c r="G196" s="1422"/>
      <c r="H196" s="1422"/>
      <c r="I196" s="1422"/>
      <c r="J196" s="1422"/>
      <c r="K196" s="1405"/>
      <c r="L196" s="1427"/>
      <c r="M196" s="1423"/>
      <c r="N196" s="1422"/>
      <c r="O196" s="1423"/>
      <c r="P196" s="1423"/>
      <c r="Q196" s="1423"/>
      <c r="R196" s="1422"/>
      <c r="S196" s="1423"/>
      <c r="T196" s="1423"/>
      <c r="U196" s="1423"/>
      <c r="V196" s="1422"/>
      <c r="W196" s="1422"/>
      <c r="X196" s="1422"/>
      <c r="Y196" s="1422"/>
      <c r="Z196" s="1422"/>
      <c r="AA196" s="1443"/>
      <c r="AB196" s="1443"/>
      <c r="AC196" s="1443"/>
      <c r="AD196" s="1422"/>
      <c r="AF196" s="1422"/>
      <c r="AG196" s="1422"/>
      <c r="AH196" s="1422"/>
      <c r="AK196" s="1443"/>
      <c r="AL196" s="748"/>
    </row>
    <row r="197" spans="1:38">
      <c r="A197" s="728">
        <v>192</v>
      </c>
      <c r="B197" s="727" t="s">
        <v>2657</v>
      </c>
      <c r="E197" s="1423">
        <f>'1501 Summary'!AD38</f>
        <v>811.63</v>
      </c>
      <c r="F197" s="1422"/>
      <c r="G197" s="1422"/>
      <c r="H197" s="1422"/>
      <c r="I197" s="1422"/>
      <c r="J197" s="1422"/>
      <c r="K197" s="1405"/>
      <c r="L197" s="1427"/>
      <c r="M197" s="1423"/>
      <c r="N197" s="1422"/>
      <c r="O197" s="1423"/>
      <c r="P197" s="1423"/>
      <c r="Q197" s="1423"/>
      <c r="R197" s="1422"/>
      <c r="S197" s="1423"/>
      <c r="T197" s="1423"/>
      <c r="U197" s="1423"/>
      <c r="V197" s="1422"/>
      <c r="W197" s="1422"/>
      <c r="X197" s="1422"/>
      <c r="Y197" s="1422"/>
      <c r="Z197" s="1422"/>
      <c r="AA197" s="1443"/>
      <c r="AB197" s="1443"/>
      <c r="AC197" s="1443"/>
      <c r="AD197" s="1422"/>
      <c r="AF197" s="1422"/>
      <c r="AG197" s="1422"/>
      <c r="AH197" s="1422"/>
      <c r="AK197" s="1443"/>
      <c r="AL197" s="748"/>
    </row>
    <row r="198" spans="1:38">
      <c r="A198" s="728">
        <v>193</v>
      </c>
      <c r="B198" s="1478" t="s">
        <v>2658</v>
      </c>
      <c r="E198" s="1423">
        <f>'1501 Summary'!AD39</f>
        <v>-166.03999999999996</v>
      </c>
      <c r="F198" s="1422"/>
      <c r="G198" s="1422"/>
      <c r="H198" s="1422"/>
      <c r="I198" s="1422"/>
      <c r="J198" s="1422"/>
      <c r="K198" s="1405"/>
      <c r="L198" s="1427"/>
      <c r="M198" s="1423"/>
      <c r="N198" s="1422"/>
      <c r="O198" s="1423"/>
      <c r="P198" s="1423"/>
      <c r="Q198" s="1423"/>
      <c r="R198" s="1422"/>
      <c r="S198" s="1423"/>
      <c r="T198" s="1423"/>
      <c r="U198" s="1423"/>
      <c r="V198" s="1422"/>
      <c r="W198" s="1422"/>
      <c r="X198" s="1422"/>
      <c r="Y198" s="1422"/>
      <c r="Z198" s="1422"/>
      <c r="AA198" s="1479"/>
      <c r="AB198" s="1479"/>
      <c r="AC198" s="1479"/>
      <c r="AD198" s="1422"/>
      <c r="AF198" s="1422"/>
      <c r="AG198" s="1422"/>
      <c r="AH198" s="1422"/>
      <c r="AK198" s="1480"/>
      <c r="AL198" s="748"/>
    </row>
    <row r="199" spans="1:38">
      <c r="A199" s="728">
        <v>194</v>
      </c>
      <c r="B199" s="1478" t="s">
        <v>2659</v>
      </c>
      <c r="E199" s="1423">
        <f>'1501 Summary'!AD40</f>
        <v>-74.87</v>
      </c>
      <c r="F199" s="1422"/>
      <c r="G199" s="1422"/>
      <c r="H199" s="1422"/>
      <c r="I199" s="1422"/>
      <c r="J199" s="1422"/>
      <c r="K199" s="1405"/>
      <c r="L199" s="1427"/>
      <c r="M199" s="1423"/>
      <c r="N199" s="1422"/>
      <c r="O199" s="1423"/>
      <c r="P199" s="1423"/>
      <c r="Q199" s="1423"/>
      <c r="R199" s="1422"/>
      <c r="S199" s="1423"/>
      <c r="T199" s="1423"/>
      <c r="U199" s="1423"/>
      <c r="V199" s="1422"/>
      <c r="W199" s="1422"/>
      <c r="X199" s="1422"/>
      <c r="Y199" s="1422"/>
      <c r="Z199" s="1422"/>
      <c r="AA199" s="1479"/>
      <c r="AB199" s="1479"/>
      <c r="AC199" s="1479"/>
      <c r="AD199" s="1422"/>
      <c r="AF199" s="1422"/>
      <c r="AG199" s="1422"/>
      <c r="AH199" s="1422"/>
      <c r="AK199" s="1480"/>
      <c r="AL199" s="748"/>
    </row>
    <row r="200" spans="1:38">
      <c r="A200" s="728">
        <v>195</v>
      </c>
      <c r="B200" s="1478" t="s">
        <v>2660</v>
      </c>
      <c r="E200" s="1423">
        <f>'1501 Summary'!AD41</f>
        <v>-120.50000000000003</v>
      </c>
      <c r="F200" s="1422"/>
      <c r="G200" s="1422"/>
      <c r="H200" s="1422"/>
      <c r="I200" s="1422"/>
      <c r="J200" s="1422"/>
      <c r="K200" s="1405"/>
      <c r="L200" s="1427"/>
      <c r="M200" s="1423"/>
      <c r="N200" s="1422"/>
      <c r="O200" s="1423"/>
      <c r="P200" s="1423"/>
      <c r="Q200" s="1423"/>
      <c r="R200" s="1422"/>
      <c r="S200" s="1423"/>
      <c r="T200" s="1423"/>
      <c r="U200" s="1423"/>
      <c r="V200" s="1422"/>
      <c r="W200" s="1422"/>
      <c r="X200" s="1422"/>
      <c r="Y200" s="1422"/>
      <c r="Z200" s="1422"/>
      <c r="AA200" s="1479"/>
      <c r="AB200" s="1479"/>
      <c r="AC200" s="1479"/>
      <c r="AD200" s="1422"/>
      <c r="AF200" s="1422"/>
      <c r="AG200" s="1422"/>
      <c r="AH200" s="1422"/>
      <c r="AK200" s="1480"/>
      <c r="AL200" s="748"/>
    </row>
    <row r="201" spans="1:38">
      <c r="A201" s="728">
        <v>196</v>
      </c>
      <c r="B201" s="727" t="s">
        <v>2661</v>
      </c>
      <c r="E201" s="1423">
        <f>'1501 Summary'!AD42</f>
        <v>1270.4000000000001</v>
      </c>
      <c r="F201" s="1422"/>
      <c r="G201" s="1422"/>
      <c r="H201" s="1422"/>
      <c r="I201" s="1422"/>
      <c r="J201" s="1422"/>
      <c r="K201" s="1405"/>
      <c r="L201" s="1427"/>
      <c r="M201" s="1423"/>
      <c r="N201" s="1422"/>
      <c r="O201" s="1423"/>
      <c r="P201" s="1423"/>
      <c r="Q201" s="1423"/>
      <c r="R201" s="1422"/>
      <c r="S201" s="1423"/>
      <c r="T201" s="1423"/>
      <c r="U201" s="1423"/>
      <c r="V201" s="1422"/>
      <c r="W201" s="1422"/>
      <c r="X201" s="1422"/>
      <c r="Y201" s="1422"/>
      <c r="Z201" s="1422"/>
      <c r="AA201" s="1443"/>
      <c r="AB201" s="1443"/>
      <c r="AC201" s="1443"/>
      <c r="AD201" s="1422"/>
      <c r="AF201" s="1422"/>
      <c r="AG201" s="1422"/>
      <c r="AH201" s="1422"/>
      <c r="AK201" s="1443"/>
      <c r="AL201" s="748"/>
    </row>
    <row r="202" spans="1:38">
      <c r="A202" s="728">
        <v>197</v>
      </c>
      <c r="B202" s="727" t="s">
        <v>54</v>
      </c>
      <c r="E202" s="1423"/>
      <c r="F202" s="1422"/>
      <c r="G202" s="1422"/>
      <c r="H202" s="1422"/>
      <c r="I202" s="1422"/>
      <c r="J202" s="1422"/>
      <c r="K202" s="1405"/>
      <c r="L202" s="1427"/>
      <c r="M202" s="1423"/>
      <c r="N202" s="1422"/>
      <c r="O202" s="1423"/>
      <c r="P202" s="1423"/>
      <c r="Q202" s="1423"/>
      <c r="R202" s="1422"/>
      <c r="S202" s="1423"/>
      <c r="T202" s="1423"/>
      <c r="U202" s="1423"/>
      <c r="V202" s="1422"/>
      <c r="W202" s="1422"/>
      <c r="X202" s="1422"/>
      <c r="Y202" s="1422"/>
      <c r="Z202" s="1422"/>
      <c r="AA202" s="1478"/>
      <c r="AB202" s="1478"/>
      <c r="AC202" s="1478"/>
      <c r="AD202" s="1422"/>
      <c r="AF202" s="1422"/>
      <c r="AG202" s="1422"/>
      <c r="AH202" s="1422"/>
      <c r="AK202" s="1481"/>
      <c r="AL202" s="748"/>
    </row>
    <row r="203" spans="1:38">
      <c r="A203" s="728">
        <v>198</v>
      </c>
      <c r="B203" s="727" t="s">
        <v>2666</v>
      </c>
      <c r="E203" s="1423">
        <f>'Revenue Reconcilliation'!Q134</f>
        <v>0</v>
      </c>
      <c r="F203" s="1422"/>
      <c r="G203" s="1422"/>
      <c r="H203" s="1422"/>
      <c r="I203" s="1422"/>
      <c r="J203" s="1422"/>
      <c r="K203" s="1405"/>
      <c r="L203" s="1427"/>
      <c r="M203" s="1423"/>
      <c r="N203" s="1422"/>
      <c r="O203" s="1423"/>
      <c r="P203" s="1423"/>
      <c r="Q203" s="1423"/>
      <c r="R203" s="1422"/>
      <c r="S203" s="1423"/>
      <c r="T203" s="1423"/>
      <c r="U203" s="1423"/>
      <c r="V203" s="1422"/>
      <c r="W203" s="1422"/>
      <c r="X203" s="1422"/>
      <c r="Y203" s="1422"/>
      <c r="Z203" s="1422"/>
      <c r="AA203" s="1478"/>
      <c r="AB203" s="1478"/>
      <c r="AC203" s="1478"/>
      <c r="AD203" s="1422"/>
      <c r="AF203" s="1422"/>
      <c r="AG203" s="1422"/>
      <c r="AH203" s="1422"/>
      <c r="AK203" s="1481"/>
      <c r="AL203" s="748"/>
    </row>
    <row r="204" spans="1:38">
      <c r="A204" s="728">
        <v>199</v>
      </c>
      <c r="B204" s="727" t="s">
        <v>2667</v>
      </c>
      <c r="E204" s="1423">
        <f>'Revenue Reconcilliation'!Q135</f>
        <v>0</v>
      </c>
      <c r="F204" s="1422"/>
      <c r="G204" s="1422"/>
      <c r="H204" s="1422"/>
      <c r="I204" s="1422"/>
      <c r="J204" s="1422"/>
      <c r="K204" s="1405"/>
      <c r="L204" s="1427"/>
      <c r="M204" s="1423"/>
      <c r="N204" s="1422"/>
      <c r="O204" s="1423"/>
      <c r="P204" s="1423"/>
      <c r="Q204" s="1423"/>
      <c r="R204" s="1422"/>
      <c r="S204" s="1423"/>
      <c r="T204" s="1423"/>
      <c r="U204" s="1423"/>
      <c r="V204" s="1422"/>
      <c r="W204" s="1422"/>
      <c r="X204" s="1422"/>
      <c r="Y204" s="1422"/>
      <c r="Z204" s="1422"/>
      <c r="AA204" s="727"/>
      <c r="AB204" s="727"/>
      <c r="AC204" s="727"/>
      <c r="AD204" s="1422"/>
      <c r="AF204" s="1422"/>
      <c r="AG204" s="1422"/>
      <c r="AH204" s="1422"/>
      <c r="AK204" s="727"/>
      <c r="AL204" s="748"/>
    </row>
    <row r="205" spans="1:38">
      <c r="A205" s="728">
        <v>200</v>
      </c>
      <c r="B205" s="727" t="s">
        <v>2668</v>
      </c>
      <c r="E205" s="1423">
        <f>'Revenue Reconcilliation'!Q136</f>
        <v>-6019.84</v>
      </c>
      <c r="F205" s="1422"/>
      <c r="G205" s="1422"/>
      <c r="H205" s="1422"/>
      <c r="I205" s="1422"/>
      <c r="J205" s="1422"/>
      <c r="K205" s="1405"/>
      <c r="L205" s="1427"/>
      <c r="M205" s="1423"/>
      <c r="N205" s="1422"/>
      <c r="O205" s="1423"/>
      <c r="P205" s="1423"/>
      <c r="Q205" s="1423"/>
      <c r="R205" s="1422"/>
      <c r="S205" s="1423"/>
      <c r="T205" s="1423"/>
      <c r="U205" s="1423"/>
      <c r="V205" s="1422"/>
      <c r="W205" s="1422"/>
      <c r="X205" s="1422"/>
      <c r="Y205" s="1422"/>
      <c r="Z205" s="1422"/>
      <c r="AA205" s="1423"/>
      <c r="AB205" s="1423"/>
      <c r="AC205" s="1423"/>
      <c r="AD205" s="1422"/>
      <c r="AF205" s="1422"/>
      <c r="AG205" s="1422"/>
      <c r="AH205" s="1422"/>
      <c r="AK205" s="1423"/>
      <c r="AL205" s="748"/>
    </row>
    <row r="206" spans="1:38">
      <c r="A206" s="728">
        <v>201</v>
      </c>
      <c r="B206" s="727" t="s">
        <v>2669</v>
      </c>
      <c r="E206" s="1423">
        <f>'Revenue Reconcilliation'!Q137</f>
        <v>548.26</v>
      </c>
      <c r="F206" s="1422"/>
      <c r="G206" s="1422"/>
      <c r="H206" s="1422"/>
      <c r="I206" s="1422"/>
      <c r="J206" s="1422"/>
      <c r="K206" s="1405"/>
      <c r="L206" s="1427"/>
      <c r="M206" s="1423"/>
      <c r="N206" s="1422"/>
      <c r="O206" s="1423"/>
      <c r="P206" s="1423"/>
      <c r="Q206" s="1423"/>
      <c r="R206" s="1422"/>
      <c r="S206" s="1423"/>
      <c r="T206" s="1423"/>
      <c r="U206" s="1423"/>
      <c r="V206" s="1422"/>
      <c r="W206" s="1422"/>
      <c r="X206" s="1422"/>
      <c r="Y206" s="1422"/>
      <c r="Z206" s="1422"/>
      <c r="AA206" s="1423"/>
      <c r="AB206" s="1423"/>
      <c r="AC206" s="1423"/>
      <c r="AD206" s="1422"/>
      <c r="AF206" s="1422"/>
      <c r="AG206" s="1422"/>
      <c r="AH206" s="1422"/>
      <c r="AK206" s="1423"/>
      <c r="AL206" s="748"/>
    </row>
    <row r="207" spans="1:38">
      <c r="A207" s="728">
        <v>202</v>
      </c>
      <c r="B207" s="727" t="s">
        <v>2670</v>
      </c>
      <c r="E207" s="1423">
        <f>'Revenue Reconcilliation'!Q138</f>
        <v>0</v>
      </c>
      <c r="F207" s="1422"/>
      <c r="G207" s="1422"/>
      <c r="H207" s="1422"/>
      <c r="I207" s="1422"/>
      <c r="J207" s="1422"/>
      <c r="K207" s="1405"/>
      <c r="L207" s="1427"/>
      <c r="M207" s="1423"/>
      <c r="N207" s="1422"/>
      <c r="O207" s="1423"/>
      <c r="P207" s="1423"/>
      <c r="Q207" s="1423"/>
      <c r="R207" s="1422"/>
      <c r="S207" s="1423"/>
      <c r="T207" s="1423"/>
      <c r="U207" s="1423"/>
      <c r="V207" s="1422"/>
      <c r="W207" s="1422"/>
      <c r="X207" s="1422"/>
      <c r="Y207" s="1422"/>
      <c r="Z207" s="1422"/>
      <c r="AA207" s="1423"/>
      <c r="AB207" s="1423"/>
      <c r="AC207" s="1423"/>
      <c r="AD207" s="1422"/>
      <c r="AF207" s="1422"/>
      <c r="AG207" s="1422"/>
      <c r="AH207" s="1422"/>
      <c r="AK207" s="1423"/>
      <c r="AL207" s="748"/>
    </row>
    <row r="208" spans="1:38">
      <c r="A208" s="728">
        <v>203</v>
      </c>
      <c r="B208" s="1482" t="s">
        <v>2451</v>
      </c>
      <c r="E208" s="1423">
        <f>'Revenue Reconcilliation'!Q139</f>
        <v>0</v>
      </c>
      <c r="F208" s="1422"/>
      <c r="G208" s="1422"/>
      <c r="H208" s="1422"/>
      <c r="I208" s="1422"/>
      <c r="J208" s="1422"/>
      <c r="K208" s="1405"/>
      <c r="L208" s="1427"/>
      <c r="M208" s="1423"/>
      <c r="N208" s="1422"/>
      <c r="O208" s="1423"/>
      <c r="P208" s="1423"/>
      <c r="Q208" s="1423"/>
      <c r="R208" s="1422"/>
      <c r="S208" s="1423"/>
      <c r="T208" s="1423"/>
      <c r="U208" s="1423"/>
      <c r="V208" s="1422"/>
      <c r="W208" s="1422"/>
      <c r="X208" s="1422"/>
      <c r="Y208" s="1422"/>
      <c r="Z208" s="1422"/>
      <c r="AA208" s="1423"/>
      <c r="AB208" s="1423"/>
      <c r="AC208" s="1423"/>
      <c r="AD208" s="1422"/>
      <c r="AF208" s="1422"/>
      <c r="AG208" s="1422"/>
      <c r="AH208" s="1422"/>
      <c r="AK208" s="1423"/>
      <c r="AL208" s="748"/>
    </row>
    <row r="209" spans="1:38">
      <c r="A209" s="728">
        <v>204</v>
      </c>
      <c r="B209" s="1482" t="s">
        <v>2697</v>
      </c>
      <c r="E209" s="1423">
        <f>'Revenue Reconcilliation'!Q140</f>
        <v>-22362.400000000001</v>
      </c>
      <c r="F209" s="1422"/>
      <c r="G209" s="1422"/>
      <c r="H209" s="1422"/>
      <c r="I209" s="1422"/>
      <c r="J209" s="1422"/>
      <c r="K209" s="1405"/>
      <c r="L209" s="1427"/>
      <c r="M209" s="1423"/>
      <c r="N209" s="1422"/>
      <c r="O209" s="1423"/>
      <c r="P209" s="1423"/>
      <c r="Q209" s="1423"/>
      <c r="R209" s="1422"/>
      <c r="S209" s="1423"/>
      <c r="T209" s="1423"/>
      <c r="U209" s="1423"/>
      <c r="V209" s="1422"/>
      <c r="W209" s="1422"/>
      <c r="X209" s="1422"/>
      <c r="Y209" s="1422"/>
      <c r="Z209" s="1422"/>
      <c r="AA209" s="1423"/>
      <c r="AB209" s="1423"/>
      <c r="AC209" s="1423"/>
      <c r="AD209" s="1422"/>
      <c r="AF209" s="1422"/>
      <c r="AG209" s="1422"/>
      <c r="AH209" s="1422"/>
      <c r="AK209" s="1423"/>
      <c r="AL209" s="748"/>
    </row>
    <row r="210" spans="1:38">
      <c r="A210" s="728">
        <v>205</v>
      </c>
      <c r="B210" s="1482" t="s">
        <v>2698</v>
      </c>
      <c r="E210" s="1423">
        <f>'Revenue Reconcilliation'!Q141</f>
        <v>22904.080000000002</v>
      </c>
      <c r="F210" s="1422"/>
      <c r="G210" s="1422"/>
      <c r="H210" s="1422"/>
      <c r="I210" s="1422"/>
      <c r="J210" s="1422"/>
      <c r="K210" s="1405"/>
      <c r="L210" s="1427"/>
      <c r="M210" s="1423"/>
      <c r="N210" s="1422"/>
      <c r="O210" s="1423"/>
      <c r="P210" s="1423"/>
      <c r="Q210" s="1423"/>
      <c r="R210" s="1422"/>
      <c r="S210" s="1423"/>
      <c r="T210" s="1423"/>
      <c r="U210" s="1423"/>
      <c r="V210" s="1422"/>
      <c r="W210" s="1422"/>
      <c r="X210" s="1422"/>
      <c r="Y210" s="1422"/>
      <c r="Z210" s="1422"/>
      <c r="AA210" s="1423"/>
      <c r="AB210" s="1423"/>
      <c r="AC210" s="1423"/>
      <c r="AD210" s="1422"/>
      <c r="AF210" s="1422"/>
      <c r="AG210" s="1422"/>
      <c r="AH210" s="1422"/>
      <c r="AK210" s="1423"/>
      <c r="AL210" s="748"/>
    </row>
    <row r="211" spans="1:38">
      <c r="A211" s="728">
        <v>206</v>
      </c>
      <c r="B211" s="727" t="s">
        <v>2678</v>
      </c>
      <c r="E211" s="1423">
        <f>SUM(E192:E210)</f>
        <v>-2355.66</v>
      </c>
      <c r="F211" s="1422"/>
      <c r="G211" s="1422"/>
      <c r="H211" s="1422"/>
      <c r="I211" s="1422"/>
      <c r="J211" s="1422"/>
      <c r="K211" s="1405"/>
      <c r="L211" s="1427"/>
      <c r="M211" s="1423"/>
      <c r="N211" s="1422"/>
      <c r="O211" s="1423"/>
      <c r="P211" s="1423"/>
      <c r="Q211" s="1423"/>
      <c r="R211" s="1422"/>
      <c r="S211" s="1423"/>
      <c r="T211" s="1423"/>
      <c r="U211" s="1423"/>
      <c r="V211" s="1422"/>
      <c r="W211" s="1422"/>
      <c r="X211" s="1422"/>
      <c r="Y211" s="1422"/>
      <c r="Z211" s="1422"/>
      <c r="AA211" s="1423"/>
      <c r="AB211" s="1423"/>
      <c r="AC211" s="1423"/>
      <c r="AD211" s="1422"/>
      <c r="AF211" s="1422"/>
      <c r="AG211" s="1422"/>
      <c r="AH211" s="1422"/>
      <c r="AK211" s="1423"/>
      <c r="AL211" s="748"/>
    </row>
    <row r="212" spans="1:38">
      <c r="A212" s="728">
        <v>207</v>
      </c>
      <c r="E212" s="1423"/>
      <c r="F212" s="1422"/>
      <c r="G212" s="1422"/>
      <c r="H212" s="1422"/>
      <c r="I212" s="1422"/>
      <c r="J212" s="1422"/>
      <c r="K212" s="1405"/>
      <c r="L212" s="1427"/>
      <c r="M212" s="1423"/>
      <c r="N212" s="1422"/>
      <c r="O212" s="1423"/>
      <c r="P212" s="1423"/>
      <c r="Q212" s="1423"/>
      <c r="R212" s="1422"/>
      <c r="S212" s="1423"/>
      <c r="T212" s="1423"/>
      <c r="U212" s="1423"/>
      <c r="V212" s="1422"/>
      <c r="W212" s="1422"/>
      <c r="X212" s="1422"/>
      <c r="Y212" s="1422"/>
      <c r="Z212" s="1422"/>
      <c r="AA212" s="1423"/>
      <c r="AB212" s="1423"/>
      <c r="AC212" s="1423"/>
      <c r="AD212" s="1422"/>
      <c r="AF212" s="1422"/>
      <c r="AG212" s="1422"/>
      <c r="AH212" s="1422"/>
      <c r="AK212" s="1423"/>
      <c r="AL212" s="748"/>
    </row>
    <row r="213" spans="1:38">
      <c r="A213" s="728">
        <v>208</v>
      </c>
      <c r="B213" s="1444" t="s">
        <v>2699</v>
      </c>
      <c r="C213" s="1438">
        <f>E213-'Revenue Reconcilliation'!Q142</f>
        <v>0</v>
      </c>
      <c r="D213" s="1445" t="s">
        <v>2673</v>
      </c>
      <c r="E213" s="1437">
        <f>SUM(E187,E189,E211)</f>
        <v>17513.560000000001</v>
      </c>
      <c r="F213" s="1438"/>
      <c r="G213" s="1438"/>
      <c r="H213" s="1438"/>
      <c r="I213" s="1438"/>
      <c r="J213" s="1438"/>
      <c r="K213" s="1447"/>
      <c r="L213" s="1446"/>
      <c r="M213" s="1437"/>
      <c r="N213" s="1438"/>
      <c r="O213" s="1437"/>
      <c r="P213" s="1437"/>
      <c r="Q213" s="1437"/>
      <c r="R213" s="1438"/>
      <c r="S213" s="1437"/>
      <c r="T213" s="1437"/>
      <c r="U213" s="1437"/>
      <c r="V213" s="1438"/>
      <c r="W213" s="1438"/>
      <c r="X213" s="1438"/>
      <c r="Y213" s="1438"/>
      <c r="Z213" s="1438"/>
      <c r="AA213" s="1437"/>
      <c r="AB213" s="1437"/>
      <c r="AC213" s="1437"/>
      <c r="AD213" s="1438"/>
      <c r="AE213" s="1447"/>
      <c r="AF213" s="1438"/>
      <c r="AG213" s="1438"/>
      <c r="AH213" s="1438"/>
      <c r="AI213" s="1483"/>
      <c r="AJ213" s="1483"/>
      <c r="AK213" s="1437"/>
      <c r="AL213" s="748"/>
    </row>
    <row r="214" spans="1:38">
      <c r="A214" s="728">
        <v>209</v>
      </c>
      <c r="B214" s="1448"/>
      <c r="C214" s="1422"/>
      <c r="E214" s="1423"/>
      <c r="F214" s="1422"/>
      <c r="G214" s="1422"/>
      <c r="H214" s="1422"/>
      <c r="I214" s="1422"/>
      <c r="J214" s="1422"/>
      <c r="K214" s="1405"/>
      <c r="L214" s="1427"/>
      <c r="M214" s="1423"/>
      <c r="N214" s="1422"/>
      <c r="O214" s="1423"/>
      <c r="P214" s="1423"/>
      <c r="Q214" s="1423"/>
      <c r="R214" s="1422"/>
      <c r="S214" s="1423"/>
      <c r="T214" s="1423"/>
      <c r="U214" s="1423"/>
      <c r="V214" s="1422"/>
      <c r="W214" s="1422"/>
      <c r="X214" s="1422"/>
      <c r="Y214" s="1422"/>
      <c r="Z214" s="1422"/>
      <c r="AA214" s="1423"/>
      <c r="AB214" s="1423"/>
      <c r="AC214" s="1423"/>
      <c r="AD214" s="1422"/>
      <c r="AF214" s="1422"/>
      <c r="AG214" s="1422"/>
      <c r="AH214" s="1422"/>
      <c r="AI214" s="1484"/>
      <c r="AJ214" s="1484"/>
      <c r="AK214" s="1423"/>
      <c r="AL214" s="748"/>
    </row>
    <row r="215" spans="1:38">
      <c r="A215" s="728">
        <v>210</v>
      </c>
      <c r="B215" s="1420" t="s">
        <v>2700</v>
      </c>
      <c r="C215" s="1475"/>
      <c r="E215" s="1423"/>
      <c r="F215" s="1422"/>
      <c r="G215" s="1422" t="s">
        <v>2701</v>
      </c>
      <c r="H215" s="1422"/>
      <c r="I215" s="1422"/>
      <c r="J215" s="1422"/>
      <c r="K215" s="1405"/>
      <c r="L215" s="1427"/>
      <c r="M215" s="1423"/>
      <c r="N215" s="1422"/>
      <c r="O215" s="1423"/>
      <c r="P215" s="1423"/>
      <c r="Q215" s="1423"/>
      <c r="R215" s="1422"/>
      <c r="S215" s="1423"/>
      <c r="T215" s="1423"/>
      <c r="U215" s="1423"/>
      <c r="V215" s="1422"/>
      <c r="W215" s="1422"/>
      <c r="X215" s="1422"/>
      <c r="Y215" s="1422"/>
      <c r="Z215" s="1422"/>
      <c r="AA215" s="1423"/>
      <c r="AB215" s="1423"/>
      <c r="AC215" s="1423"/>
      <c r="AD215" s="1422"/>
      <c r="AF215" s="1422"/>
      <c r="AG215" s="1422"/>
      <c r="AH215" s="1422"/>
      <c r="AI215" s="1484"/>
      <c r="AJ215" s="1484"/>
      <c r="AK215" s="1423"/>
      <c r="AL215" s="748"/>
    </row>
    <row r="216" spans="1:38">
      <c r="A216" s="728">
        <v>211</v>
      </c>
      <c r="B216" s="727" t="s">
        <v>2462</v>
      </c>
      <c r="C216" s="1477">
        <f>E216/D216</f>
        <v>12</v>
      </c>
      <c r="D216" s="1422">
        <v>60</v>
      </c>
      <c r="E216" s="1423">
        <f>'1501 Summary'!AD180</f>
        <v>720</v>
      </c>
      <c r="F216" s="1422"/>
      <c r="G216" s="1424">
        <f>-C216</f>
        <v>-12</v>
      </c>
      <c r="H216" s="1422">
        <f>D216</f>
        <v>60</v>
      </c>
      <c r="I216" s="1423">
        <f>H216*G216</f>
        <v>-720</v>
      </c>
      <c r="J216" s="1422"/>
      <c r="K216" s="1405">
        <f>C216+G216</f>
        <v>0</v>
      </c>
      <c r="L216" s="1422">
        <f>D216</f>
        <v>60</v>
      </c>
      <c r="M216" s="1423">
        <f>L216*K216</f>
        <v>0</v>
      </c>
      <c r="N216" s="1422"/>
      <c r="O216" s="1423"/>
      <c r="P216" s="1423"/>
      <c r="Q216" s="1423"/>
      <c r="R216" s="1422"/>
      <c r="S216" s="1423"/>
      <c r="T216" s="1423"/>
      <c r="U216" s="1423"/>
      <c r="V216" s="1422"/>
      <c r="W216" s="1422"/>
      <c r="X216" s="1422"/>
      <c r="Y216" s="1422"/>
      <c r="Z216" s="1422"/>
      <c r="AA216" s="1423"/>
      <c r="AB216" s="1423"/>
      <c r="AC216" s="1423"/>
      <c r="AD216" s="1422"/>
      <c r="AF216" s="1422"/>
      <c r="AG216" s="1422"/>
      <c r="AH216" s="1422"/>
      <c r="AI216" s="1484"/>
      <c r="AJ216" s="1484"/>
      <c r="AK216" s="1423"/>
      <c r="AL216" s="748"/>
    </row>
    <row r="217" spans="1:38">
      <c r="A217" s="728">
        <v>212</v>
      </c>
      <c r="B217" s="727" t="s">
        <v>2702</v>
      </c>
      <c r="C217" s="1477">
        <f>E217/D217</f>
        <v>1747.0729931096298</v>
      </c>
      <c r="D217" s="1361">
        <v>0.17851</v>
      </c>
      <c r="E217" s="1423">
        <f>'1501 Summary'!AD181</f>
        <v>311.87</v>
      </c>
      <c r="F217" s="1422"/>
      <c r="G217" s="1424">
        <f>-C217</f>
        <v>-1747.0729931096298</v>
      </c>
      <c r="H217" s="1422">
        <f>D217</f>
        <v>0.17851</v>
      </c>
      <c r="I217" s="1423">
        <f>H217*G217</f>
        <v>-311.87</v>
      </c>
      <c r="J217" s="1422"/>
      <c r="K217" s="1405">
        <f>C217+G217</f>
        <v>0</v>
      </c>
      <c r="L217" s="1427">
        <v>0.20175999999999999</v>
      </c>
      <c r="M217" s="1423">
        <f>L217*K217</f>
        <v>0</v>
      </c>
      <c r="N217" s="1422"/>
      <c r="O217" s="1423"/>
      <c r="P217" s="1423"/>
      <c r="Q217" s="1423"/>
      <c r="R217" s="1422"/>
      <c r="S217" s="1423"/>
      <c r="T217" s="1423"/>
      <c r="U217" s="1423"/>
      <c r="V217" s="1422"/>
      <c r="W217" s="1422"/>
      <c r="X217" s="1422"/>
      <c r="Y217" s="1422"/>
      <c r="Z217" s="1422"/>
      <c r="AA217" s="1423"/>
      <c r="AB217" s="1423"/>
      <c r="AC217" s="1423"/>
      <c r="AD217" s="1422"/>
      <c r="AF217" s="1422"/>
      <c r="AG217" s="1422"/>
      <c r="AH217" s="1422"/>
      <c r="AI217" s="1484"/>
      <c r="AJ217" s="1484"/>
      <c r="AK217" s="1423"/>
      <c r="AL217" s="748"/>
    </row>
    <row r="218" spans="1:38">
      <c r="A218" s="728">
        <v>213</v>
      </c>
      <c r="B218" s="727" t="s">
        <v>2703</v>
      </c>
      <c r="C218" s="1477">
        <f>E218/D218</f>
        <v>621.01404164072767</v>
      </c>
      <c r="D218" s="1361">
        <v>0.14457</v>
      </c>
      <c r="E218" s="1423">
        <f>'1501 Summary'!AD182</f>
        <v>89.78</v>
      </c>
      <c r="F218" s="1422"/>
      <c r="G218" s="1424">
        <f>-C218</f>
        <v>-621.01404164072767</v>
      </c>
      <c r="H218" s="1422">
        <f>D218</f>
        <v>0.14457</v>
      </c>
      <c r="I218" s="1423">
        <f>H218*G218</f>
        <v>-89.78</v>
      </c>
      <c r="J218" s="1422"/>
      <c r="K218" s="1405">
        <f>C218+G218</f>
        <v>0</v>
      </c>
      <c r="L218" s="1427">
        <v>0.16481000000000001</v>
      </c>
      <c r="M218" s="1423">
        <f>L218*K218</f>
        <v>0</v>
      </c>
      <c r="N218" s="1422"/>
      <c r="O218" s="1423"/>
      <c r="P218" s="1423"/>
      <c r="Q218" s="1423"/>
      <c r="R218" s="1422"/>
      <c r="S218" s="1423"/>
      <c r="T218" s="1423"/>
      <c r="U218" s="1423"/>
      <c r="V218" s="1422"/>
      <c r="W218" s="1422"/>
      <c r="X218" s="1422"/>
      <c r="Y218" s="1422"/>
      <c r="Z218" s="1422"/>
      <c r="AA218" s="1423"/>
      <c r="AB218" s="1423"/>
      <c r="AC218" s="1423"/>
      <c r="AD218" s="1422"/>
      <c r="AF218" s="1422"/>
      <c r="AG218" s="1422"/>
      <c r="AH218" s="1422"/>
      <c r="AI218" s="1484"/>
      <c r="AJ218" s="1484"/>
      <c r="AK218" s="1423"/>
      <c r="AL218" s="748"/>
    </row>
    <row r="219" spans="1:38">
      <c r="A219" s="728">
        <v>214</v>
      </c>
      <c r="B219" s="1453" t="s">
        <v>2683</v>
      </c>
      <c r="C219" s="1477">
        <f>E219/D219</f>
        <v>0</v>
      </c>
      <c r="D219" s="1361">
        <v>0.13944000000000001</v>
      </c>
      <c r="E219" s="1437">
        <v>0</v>
      </c>
      <c r="F219" s="1422"/>
      <c r="G219" s="1424">
        <f>-C219</f>
        <v>0</v>
      </c>
      <c r="H219" s="1422">
        <f>D219</f>
        <v>0.13944000000000001</v>
      </c>
      <c r="I219" s="1437">
        <f>H219*G219</f>
        <v>0</v>
      </c>
      <c r="J219" s="1422"/>
      <c r="K219" s="1405">
        <f>C219+G219</f>
        <v>0</v>
      </c>
      <c r="L219" s="1427">
        <v>0.15923000000000001</v>
      </c>
      <c r="M219" s="1437">
        <f>L219*K219</f>
        <v>0</v>
      </c>
      <c r="N219" s="1422"/>
      <c r="O219" s="1423"/>
      <c r="P219" s="1423"/>
      <c r="Q219" s="1423"/>
      <c r="R219" s="1422"/>
      <c r="S219" s="1423"/>
      <c r="T219" s="1423"/>
      <c r="U219" s="1423"/>
      <c r="V219" s="1422"/>
      <c r="W219" s="1422"/>
      <c r="X219" s="1422"/>
      <c r="Y219" s="1422"/>
      <c r="Z219" s="1422"/>
      <c r="AA219" s="1423"/>
      <c r="AB219" s="1423"/>
      <c r="AC219" s="1423"/>
      <c r="AD219" s="1422"/>
      <c r="AF219" s="1422"/>
      <c r="AG219" s="1422"/>
      <c r="AH219" s="1422"/>
      <c r="AI219" s="1484"/>
      <c r="AJ219" s="1484"/>
      <c r="AK219" s="1423"/>
      <c r="AL219" s="748"/>
    </row>
    <row r="220" spans="1:38">
      <c r="A220" s="728">
        <v>215</v>
      </c>
      <c r="B220" s="727" t="s">
        <v>2648</v>
      </c>
      <c r="C220" s="1422"/>
      <c r="E220" s="1423">
        <f>SUM(E216:E219)</f>
        <v>1121.6499999999999</v>
      </c>
      <c r="F220" s="1422"/>
      <c r="G220" s="1422"/>
      <c r="H220" s="1422"/>
      <c r="I220" s="1423">
        <f>SUM(I216:I219)</f>
        <v>-1121.6499999999999</v>
      </c>
      <c r="J220" s="1422"/>
      <c r="K220" s="1405"/>
      <c r="L220" s="1427"/>
      <c r="M220" s="1423">
        <f>SUM(M216:M219)</f>
        <v>0</v>
      </c>
      <c r="N220" s="1422"/>
      <c r="O220" s="1423"/>
      <c r="P220" s="1423"/>
      <c r="Q220" s="1423"/>
      <c r="R220" s="1422"/>
      <c r="S220" s="1423"/>
      <c r="T220" s="1423"/>
      <c r="U220" s="1423"/>
      <c r="V220" s="1422"/>
      <c r="W220" s="1422"/>
      <c r="X220" s="1422"/>
      <c r="Y220" s="1422"/>
      <c r="Z220" s="1422"/>
      <c r="AA220" s="1423"/>
      <c r="AB220" s="1423"/>
      <c r="AC220" s="1423"/>
      <c r="AD220" s="1422"/>
      <c r="AF220" s="1422"/>
      <c r="AG220" s="1422"/>
      <c r="AH220" s="1422"/>
      <c r="AI220" s="1484"/>
      <c r="AJ220" s="1484"/>
      <c r="AK220" s="1423"/>
      <c r="AL220" s="748"/>
    </row>
    <row r="221" spans="1:38">
      <c r="A221" s="728">
        <v>216</v>
      </c>
      <c r="C221" s="1475"/>
      <c r="E221" s="1423"/>
      <c r="F221" s="1422"/>
      <c r="G221" s="1422"/>
      <c r="H221" s="1422"/>
      <c r="I221" s="1422"/>
      <c r="J221" s="1422"/>
      <c r="K221" s="1405"/>
      <c r="L221" s="1427"/>
      <c r="M221" s="1423"/>
      <c r="N221" s="1422"/>
      <c r="O221" s="1423"/>
      <c r="P221" s="1423"/>
      <c r="Q221" s="1423"/>
      <c r="R221" s="1422"/>
      <c r="S221" s="1423"/>
      <c r="T221" s="1423"/>
      <c r="U221" s="1423"/>
      <c r="V221" s="1422"/>
      <c r="W221" s="1422"/>
      <c r="X221" s="1422"/>
      <c r="Y221" s="1422"/>
      <c r="Z221" s="1422"/>
      <c r="AA221" s="1423"/>
      <c r="AB221" s="1423"/>
      <c r="AC221" s="1423"/>
      <c r="AD221" s="1422"/>
      <c r="AF221" s="1422"/>
      <c r="AG221" s="1422"/>
      <c r="AH221" s="1422"/>
      <c r="AI221" s="1484"/>
      <c r="AJ221" s="1484"/>
      <c r="AK221" s="1423"/>
      <c r="AL221" s="748"/>
    </row>
    <row r="222" spans="1:38">
      <c r="A222" s="728">
        <v>217</v>
      </c>
      <c r="B222" s="727" t="s">
        <v>2650</v>
      </c>
      <c r="C222" s="1422"/>
      <c r="E222" s="1423">
        <f>'1501 Summary'!AD183</f>
        <v>654.19000000000005</v>
      </c>
      <c r="F222" s="1422"/>
      <c r="G222" s="1422"/>
      <c r="H222" s="1422"/>
      <c r="I222" s="1422"/>
      <c r="J222" s="1422"/>
      <c r="K222" s="1405"/>
      <c r="L222" s="1427"/>
      <c r="M222" s="1423"/>
      <c r="N222" s="1422"/>
      <c r="O222" s="1423"/>
      <c r="P222" s="1423"/>
      <c r="Q222" s="1423"/>
      <c r="R222" s="1422"/>
      <c r="S222" s="1423"/>
      <c r="T222" s="1423"/>
      <c r="U222" s="1423"/>
      <c r="V222" s="1422"/>
      <c r="W222" s="1422"/>
      <c r="X222" s="1422"/>
      <c r="Y222" s="1422"/>
      <c r="Z222" s="1422"/>
      <c r="AA222" s="1423"/>
      <c r="AB222" s="1423"/>
      <c r="AC222" s="1423"/>
      <c r="AD222" s="1422"/>
      <c r="AF222" s="1422"/>
      <c r="AG222" s="1422"/>
      <c r="AH222" s="1422"/>
      <c r="AI222" s="1484"/>
      <c r="AJ222" s="1484"/>
      <c r="AK222" s="1423"/>
      <c r="AL222" s="748"/>
    </row>
    <row r="223" spans="1:38">
      <c r="A223" s="728">
        <v>218</v>
      </c>
      <c r="C223" s="1475"/>
      <c r="E223" s="1423"/>
      <c r="F223" s="1422"/>
      <c r="G223" s="1422"/>
      <c r="H223" s="1422"/>
      <c r="I223" s="1422"/>
      <c r="J223" s="1422"/>
      <c r="K223" s="1405"/>
      <c r="L223" s="1427"/>
      <c r="M223" s="1423"/>
      <c r="N223" s="1422"/>
      <c r="O223" s="1423"/>
      <c r="P223" s="1423"/>
      <c r="Q223" s="1423"/>
      <c r="R223" s="1422"/>
      <c r="S223" s="1423"/>
      <c r="T223" s="1423"/>
      <c r="U223" s="1423"/>
      <c r="V223" s="1422"/>
      <c r="W223" s="1422"/>
      <c r="X223" s="1422"/>
      <c r="Y223" s="1422"/>
      <c r="Z223" s="1422"/>
      <c r="AA223" s="1423"/>
      <c r="AB223" s="1423"/>
      <c r="AC223" s="1423"/>
      <c r="AD223" s="1422"/>
      <c r="AF223" s="1422"/>
      <c r="AG223" s="1422"/>
      <c r="AH223" s="1422"/>
      <c r="AI223" s="1484"/>
      <c r="AJ223" s="1484"/>
      <c r="AK223" s="1423"/>
      <c r="AL223" s="748"/>
    </row>
    <row r="224" spans="1:38">
      <c r="A224" s="728">
        <v>219</v>
      </c>
      <c r="B224" s="727" t="s">
        <v>2651</v>
      </c>
      <c r="C224" s="1422"/>
      <c r="E224" s="1423"/>
      <c r="F224" s="1422"/>
      <c r="G224" s="1422"/>
      <c r="H224" s="1422"/>
      <c r="I224" s="1422"/>
      <c r="J224" s="1422"/>
      <c r="K224" s="1405"/>
      <c r="L224" s="1427"/>
      <c r="M224" s="1423"/>
      <c r="N224" s="1422"/>
      <c r="O224" s="1423"/>
      <c r="P224" s="1423"/>
      <c r="Q224" s="1423"/>
      <c r="R224" s="1422"/>
      <c r="S224" s="1423"/>
      <c r="T224" s="1423"/>
      <c r="U224" s="1423"/>
      <c r="V224" s="1422"/>
      <c r="W224" s="1422"/>
      <c r="X224" s="1422"/>
      <c r="Y224" s="1422"/>
      <c r="Z224" s="1422"/>
      <c r="AA224" s="1423"/>
      <c r="AB224" s="1423"/>
      <c r="AC224" s="1423"/>
      <c r="AD224" s="1422"/>
      <c r="AF224" s="1422"/>
      <c r="AG224" s="1422"/>
      <c r="AH224" s="1422"/>
      <c r="AI224" s="1484"/>
      <c r="AJ224" s="1484"/>
      <c r="AK224" s="1423"/>
      <c r="AL224" s="748"/>
    </row>
    <row r="225" spans="1:38">
      <c r="A225" s="728">
        <v>220</v>
      </c>
      <c r="B225" s="727" t="s">
        <v>2652</v>
      </c>
      <c r="C225" s="1475"/>
      <c r="E225" s="1423">
        <f>'1501 Summary'!AD184</f>
        <v>145.78</v>
      </c>
      <c r="F225" s="1422"/>
      <c r="G225" s="1422"/>
      <c r="H225" s="1422"/>
      <c r="I225" s="1422"/>
      <c r="J225" s="1422"/>
      <c r="K225" s="1405"/>
      <c r="L225" s="1427"/>
      <c r="M225" s="1423"/>
      <c r="N225" s="1422"/>
      <c r="O225" s="1423"/>
      <c r="P225" s="1423"/>
      <c r="Q225" s="1423"/>
      <c r="R225" s="1422"/>
      <c r="S225" s="1423"/>
      <c r="T225" s="1423"/>
      <c r="U225" s="1423"/>
      <c r="V225" s="1422"/>
      <c r="W225" s="1422"/>
      <c r="X225" s="1422"/>
      <c r="Y225" s="1422"/>
      <c r="Z225" s="1422"/>
      <c r="AA225" s="1423"/>
      <c r="AB225" s="1423"/>
      <c r="AC225" s="1423"/>
      <c r="AD225" s="1422"/>
      <c r="AF225" s="1422"/>
      <c r="AG225" s="1422"/>
      <c r="AH225" s="1422"/>
      <c r="AI225" s="1484"/>
      <c r="AJ225" s="1484"/>
      <c r="AK225" s="1423"/>
      <c r="AL225" s="748"/>
    </row>
    <row r="226" spans="1:38">
      <c r="A226" s="728">
        <v>221</v>
      </c>
      <c r="B226" s="727" t="s">
        <v>2653</v>
      </c>
      <c r="C226" s="1422"/>
      <c r="E226" s="1423">
        <f>'1501 Summary'!AD185</f>
        <v>3.4099999999999997</v>
      </c>
      <c r="F226" s="1422"/>
      <c r="G226" s="1422"/>
      <c r="H226" s="1422"/>
      <c r="I226" s="1422"/>
      <c r="J226" s="1422"/>
      <c r="K226" s="1405"/>
      <c r="L226" s="1427"/>
      <c r="M226" s="1423"/>
      <c r="N226" s="1422"/>
      <c r="O226" s="1423"/>
      <c r="P226" s="1423"/>
      <c r="Q226" s="1423"/>
      <c r="R226" s="1422"/>
      <c r="S226" s="1423"/>
      <c r="T226" s="1423"/>
      <c r="U226" s="1423"/>
      <c r="V226" s="1422"/>
      <c r="W226" s="1422"/>
      <c r="X226" s="1422"/>
      <c r="Y226" s="1422"/>
      <c r="Z226" s="1422"/>
      <c r="AA226" s="1423"/>
      <c r="AB226" s="1423"/>
      <c r="AC226" s="1423"/>
      <c r="AD226" s="1422"/>
      <c r="AF226" s="1422"/>
      <c r="AG226" s="1422"/>
      <c r="AH226" s="1422"/>
      <c r="AI226" s="1484"/>
      <c r="AJ226" s="1484"/>
      <c r="AK226" s="1423"/>
      <c r="AL226" s="748"/>
    </row>
    <row r="227" spans="1:38">
      <c r="A227" s="728">
        <v>222</v>
      </c>
      <c r="B227" s="727" t="s">
        <v>2654</v>
      </c>
      <c r="C227" s="1475"/>
      <c r="E227" s="1423">
        <f>'1501 Summary'!AD186</f>
        <v>12.46</v>
      </c>
      <c r="F227" s="1422"/>
      <c r="G227" s="1422"/>
      <c r="H227" s="1422"/>
      <c r="I227" s="1422"/>
      <c r="J227" s="1422"/>
      <c r="K227" s="1405"/>
      <c r="L227" s="1427"/>
      <c r="M227" s="1423"/>
      <c r="N227" s="1422"/>
      <c r="O227" s="1423"/>
      <c r="P227" s="1423"/>
      <c r="Q227" s="1423"/>
      <c r="R227" s="1422"/>
      <c r="S227" s="1423"/>
      <c r="T227" s="1423"/>
      <c r="U227" s="1423"/>
      <c r="V227" s="1422"/>
      <c r="W227" s="1422"/>
      <c r="X227" s="1422"/>
      <c r="Y227" s="1422"/>
      <c r="Z227" s="1422"/>
      <c r="AA227" s="1423"/>
      <c r="AB227" s="1423"/>
      <c r="AC227" s="1423"/>
      <c r="AD227" s="1422"/>
      <c r="AF227" s="1422"/>
      <c r="AG227" s="1422"/>
      <c r="AH227" s="1422"/>
      <c r="AI227" s="1484"/>
      <c r="AJ227" s="1484"/>
      <c r="AK227" s="1423"/>
      <c r="AL227" s="748"/>
    </row>
    <row r="228" spans="1:38">
      <c r="A228" s="728">
        <v>223</v>
      </c>
      <c r="B228" s="727" t="s">
        <v>2655</v>
      </c>
      <c r="C228" s="1422"/>
      <c r="E228" s="1423">
        <f>'1501 Summary'!AD187</f>
        <v>1.54</v>
      </c>
      <c r="F228" s="1422"/>
      <c r="G228" s="1422"/>
      <c r="H228" s="1422"/>
      <c r="I228" s="1422"/>
      <c r="J228" s="1422"/>
      <c r="K228" s="1405"/>
      <c r="L228" s="1427"/>
      <c r="M228" s="1423"/>
      <c r="N228" s="1422"/>
      <c r="O228" s="1423"/>
      <c r="P228" s="1423"/>
      <c r="Q228" s="1423"/>
      <c r="R228" s="1422"/>
      <c r="S228" s="1423"/>
      <c r="T228" s="1423"/>
      <c r="U228" s="1423"/>
      <c r="V228" s="1422"/>
      <c r="W228" s="1422"/>
      <c r="X228" s="1422"/>
      <c r="Y228" s="1422"/>
      <c r="Z228" s="1422"/>
      <c r="AA228" s="1423"/>
      <c r="AB228" s="1423"/>
      <c r="AC228" s="1423"/>
      <c r="AD228" s="1422"/>
      <c r="AF228" s="1422"/>
      <c r="AG228" s="1422"/>
      <c r="AH228" s="1422"/>
      <c r="AI228" s="1484"/>
      <c r="AJ228" s="1484"/>
      <c r="AK228" s="1423"/>
      <c r="AL228" s="748"/>
    </row>
    <row r="229" spans="1:38">
      <c r="A229" s="728">
        <v>224</v>
      </c>
      <c r="B229" s="727" t="s">
        <v>2656</v>
      </c>
      <c r="C229" s="1475"/>
      <c r="E229" s="1423">
        <f>'1501 Summary'!AD188</f>
        <v>11.420000000000002</v>
      </c>
      <c r="F229" s="1422"/>
      <c r="G229" s="1422"/>
      <c r="H229" s="1422"/>
      <c r="I229" s="1422"/>
      <c r="J229" s="1422"/>
      <c r="K229" s="1405"/>
      <c r="L229" s="1427"/>
      <c r="M229" s="1423"/>
      <c r="N229" s="1422"/>
      <c r="O229" s="1423"/>
      <c r="P229" s="1423"/>
      <c r="Q229" s="1423"/>
      <c r="R229" s="1422"/>
      <c r="S229" s="1423"/>
      <c r="T229" s="1423"/>
      <c r="U229" s="1423"/>
      <c r="V229" s="1422"/>
      <c r="W229" s="1422"/>
      <c r="X229" s="1422"/>
      <c r="Y229" s="1422"/>
      <c r="Z229" s="1422"/>
      <c r="AA229" s="1423"/>
      <c r="AB229" s="1423"/>
      <c r="AC229" s="1423"/>
      <c r="AD229" s="1422"/>
      <c r="AF229" s="1422"/>
      <c r="AG229" s="1422"/>
      <c r="AH229" s="1422"/>
      <c r="AI229" s="1484"/>
      <c r="AJ229" s="1484"/>
      <c r="AK229" s="1423"/>
      <c r="AL229" s="748"/>
    </row>
    <row r="230" spans="1:38">
      <c r="A230" s="728">
        <v>225</v>
      </c>
      <c r="B230" s="727" t="s">
        <v>2657</v>
      </c>
      <c r="C230" s="1422"/>
      <c r="E230" s="1423">
        <f>'1501 Summary'!AD189</f>
        <v>44.84</v>
      </c>
      <c r="F230" s="1422"/>
      <c r="G230" s="1422"/>
      <c r="H230" s="1422"/>
      <c r="I230" s="1422"/>
      <c r="J230" s="1422"/>
      <c r="K230" s="1405"/>
      <c r="L230" s="1427"/>
      <c r="M230" s="1423"/>
      <c r="N230" s="1422"/>
      <c r="O230" s="1423"/>
      <c r="P230" s="1423"/>
      <c r="Q230" s="1423"/>
      <c r="R230" s="1422"/>
      <c r="S230" s="1423"/>
      <c r="T230" s="1423"/>
      <c r="U230" s="1423"/>
      <c r="V230" s="1422"/>
      <c r="W230" s="1422"/>
      <c r="X230" s="1422"/>
      <c r="Y230" s="1422"/>
      <c r="Z230" s="1422"/>
      <c r="AA230" s="1423"/>
      <c r="AB230" s="1423"/>
      <c r="AC230" s="1423"/>
      <c r="AD230" s="1422"/>
      <c r="AF230" s="1422"/>
      <c r="AG230" s="1422"/>
      <c r="AH230" s="1422"/>
      <c r="AI230" s="1484"/>
      <c r="AJ230" s="1484"/>
      <c r="AK230" s="1423"/>
      <c r="AL230" s="748"/>
    </row>
    <row r="231" spans="1:38">
      <c r="A231" s="728">
        <v>226</v>
      </c>
      <c r="B231" s="1478" t="s">
        <v>2658</v>
      </c>
      <c r="C231" s="1475"/>
      <c r="E231" s="1423">
        <f>'1501 Summary'!AD190</f>
        <v>-6.15</v>
      </c>
      <c r="F231" s="1422"/>
      <c r="G231" s="1422"/>
      <c r="H231" s="1422"/>
      <c r="I231" s="1422"/>
      <c r="J231" s="1422"/>
      <c r="K231" s="1405"/>
      <c r="L231" s="1427"/>
      <c r="M231" s="1423"/>
      <c r="N231" s="1422"/>
      <c r="O231" s="1423"/>
      <c r="P231" s="1423"/>
      <c r="Q231" s="1423"/>
      <c r="R231" s="1422"/>
      <c r="S231" s="1423"/>
      <c r="T231" s="1423"/>
      <c r="U231" s="1423"/>
      <c r="V231" s="1422"/>
      <c r="W231" s="1422"/>
      <c r="X231" s="1422"/>
      <c r="Y231" s="1422"/>
      <c r="Z231" s="1422"/>
      <c r="AA231" s="1423"/>
      <c r="AB231" s="1423"/>
      <c r="AC231" s="1423"/>
      <c r="AD231" s="1422"/>
      <c r="AF231" s="1422"/>
      <c r="AG231" s="1422"/>
      <c r="AH231" s="1422"/>
      <c r="AI231" s="1484"/>
      <c r="AJ231" s="1484"/>
      <c r="AK231" s="1423"/>
      <c r="AL231" s="748"/>
    </row>
    <row r="232" spans="1:38">
      <c r="A232" s="728">
        <v>227</v>
      </c>
      <c r="B232" s="1478" t="s">
        <v>2659</v>
      </c>
      <c r="C232" s="1422"/>
      <c r="E232" s="1423">
        <f>'1501 Summary'!AD191</f>
        <v>-2.8599999999999994</v>
      </c>
      <c r="F232" s="1422"/>
      <c r="G232" s="1422"/>
      <c r="H232" s="1422"/>
      <c r="I232" s="1422"/>
      <c r="J232" s="1422"/>
      <c r="K232" s="1405"/>
      <c r="L232" s="1427"/>
      <c r="M232" s="1423"/>
      <c r="N232" s="1422"/>
      <c r="O232" s="1423"/>
      <c r="P232" s="1423"/>
      <c r="Q232" s="1423"/>
      <c r="R232" s="1422"/>
      <c r="S232" s="1423"/>
      <c r="T232" s="1423"/>
      <c r="U232" s="1423"/>
      <c r="V232" s="1422"/>
      <c r="W232" s="1422"/>
      <c r="X232" s="1422"/>
      <c r="Y232" s="1422"/>
      <c r="Z232" s="1422"/>
      <c r="AA232" s="1423"/>
      <c r="AB232" s="1423"/>
      <c r="AC232" s="1423"/>
      <c r="AD232" s="1422"/>
      <c r="AF232" s="1422"/>
      <c r="AG232" s="1422"/>
      <c r="AH232" s="1422"/>
      <c r="AI232" s="1484"/>
      <c r="AJ232" s="1484"/>
      <c r="AK232" s="1423"/>
      <c r="AL232" s="748"/>
    </row>
    <row r="233" spans="1:38">
      <c r="A233" s="728">
        <v>228</v>
      </c>
      <c r="B233" s="1478" t="s">
        <v>2660</v>
      </c>
      <c r="C233" s="1475"/>
      <c r="E233" s="1423">
        <f>'1501 Summary'!AD192</f>
        <v>-3.47</v>
      </c>
      <c r="F233" s="1422"/>
      <c r="G233" s="1422"/>
      <c r="H233" s="1422"/>
      <c r="I233" s="1422"/>
      <c r="J233" s="1422"/>
      <c r="K233" s="1405"/>
      <c r="L233" s="1427"/>
      <c r="M233" s="1423"/>
      <c r="N233" s="1422"/>
      <c r="O233" s="1423"/>
      <c r="P233" s="1423"/>
      <c r="Q233" s="1423"/>
      <c r="R233" s="1422"/>
      <c r="S233" s="1423"/>
      <c r="T233" s="1423"/>
      <c r="U233" s="1423"/>
      <c r="V233" s="1422"/>
      <c r="W233" s="1422"/>
      <c r="X233" s="1422"/>
      <c r="Y233" s="1422"/>
      <c r="Z233" s="1422"/>
      <c r="AA233" s="1423"/>
      <c r="AB233" s="1423"/>
      <c r="AC233" s="1423"/>
      <c r="AD233" s="1422"/>
      <c r="AF233" s="1422"/>
      <c r="AG233" s="1422"/>
      <c r="AH233" s="1422"/>
      <c r="AI233" s="1484"/>
      <c r="AJ233" s="1484"/>
      <c r="AK233" s="1423"/>
      <c r="AL233" s="748"/>
    </row>
    <row r="234" spans="1:38">
      <c r="A234" s="728">
        <v>229</v>
      </c>
      <c r="B234" s="727" t="s">
        <v>2661</v>
      </c>
      <c r="C234" s="1422"/>
      <c r="E234" s="1423"/>
      <c r="F234" s="1422"/>
      <c r="G234" s="1422"/>
      <c r="H234" s="1422"/>
      <c r="I234" s="1422"/>
      <c r="J234" s="1422"/>
      <c r="K234" s="1405"/>
      <c r="L234" s="1427"/>
      <c r="M234" s="1423"/>
      <c r="N234" s="1422"/>
      <c r="O234" s="1423"/>
      <c r="P234" s="1423"/>
      <c r="Q234" s="1423"/>
      <c r="R234" s="1422"/>
      <c r="S234" s="1423"/>
      <c r="T234" s="1423"/>
      <c r="U234" s="1423"/>
      <c r="V234" s="1422"/>
      <c r="W234" s="1422"/>
      <c r="X234" s="1422"/>
      <c r="Y234" s="1422"/>
      <c r="Z234" s="1422"/>
      <c r="AA234" s="1423"/>
      <c r="AB234" s="1423"/>
      <c r="AC234" s="1423"/>
      <c r="AD234" s="1422"/>
      <c r="AF234" s="1422"/>
      <c r="AG234" s="1422"/>
      <c r="AH234" s="1422"/>
      <c r="AI234" s="1484"/>
      <c r="AJ234" s="1484"/>
      <c r="AK234" s="1423"/>
      <c r="AL234" s="748"/>
    </row>
    <row r="235" spans="1:38">
      <c r="A235" s="728">
        <v>230</v>
      </c>
      <c r="B235" s="727" t="s">
        <v>54</v>
      </c>
      <c r="C235" s="1475"/>
      <c r="E235" s="1423"/>
      <c r="F235" s="1422"/>
      <c r="G235" s="1422"/>
      <c r="H235" s="1422"/>
      <c r="I235" s="1422"/>
      <c r="J235" s="1422"/>
      <c r="K235" s="1405"/>
      <c r="L235" s="1427"/>
      <c r="M235" s="1423"/>
      <c r="N235" s="1422"/>
      <c r="O235" s="1423"/>
      <c r="P235" s="1423"/>
      <c r="Q235" s="1423"/>
      <c r="R235" s="1422"/>
      <c r="S235" s="1423"/>
      <c r="T235" s="1423"/>
      <c r="U235" s="1423"/>
      <c r="V235" s="1422"/>
      <c r="W235" s="1422"/>
      <c r="X235" s="1422"/>
      <c r="Y235" s="1422"/>
      <c r="Z235" s="1422"/>
      <c r="AA235" s="1423"/>
      <c r="AB235" s="1423"/>
      <c r="AC235" s="1423"/>
      <c r="AD235" s="1422"/>
      <c r="AF235" s="1422"/>
      <c r="AG235" s="1422"/>
      <c r="AH235" s="1422"/>
      <c r="AI235" s="1484"/>
      <c r="AJ235" s="1484"/>
      <c r="AK235" s="1423"/>
      <c r="AL235" s="748"/>
    </row>
    <row r="236" spans="1:38">
      <c r="A236" s="728">
        <v>231</v>
      </c>
      <c r="B236" s="727" t="s">
        <v>2666</v>
      </c>
      <c r="C236" s="1422"/>
      <c r="E236" s="1423">
        <f>'Revenue Reconcilliation'!Q154</f>
        <v>0</v>
      </c>
      <c r="F236" s="1422"/>
      <c r="G236" s="1422"/>
      <c r="H236" s="1422"/>
      <c r="I236" s="1422"/>
      <c r="J236" s="1422"/>
      <c r="K236" s="1405"/>
      <c r="L236" s="1427"/>
      <c r="M236" s="1423"/>
      <c r="N236" s="1422"/>
      <c r="O236" s="1423"/>
      <c r="P236" s="1423"/>
      <c r="Q236" s="1423"/>
      <c r="R236" s="1422"/>
      <c r="S236" s="1423"/>
      <c r="T236" s="1423"/>
      <c r="U236" s="1423"/>
      <c r="V236" s="1422"/>
      <c r="W236" s="1422"/>
      <c r="X236" s="1422"/>
      <c r="Y236" s="1422"/>
      <c r="Z236" s="1422"/>
      <c r="AA236" s="1423"/>
      <c r="AB236" s="1423"/>
      <c r="AC236" s="1423"/>
      <c r="AD236" s="1422"/>
      <c r="AF236" s="1422"/>
      <c r="AG236" s="1422"/>
      <c r="AH236" s="1422"/>
      <c r="AI236" s="1484"/>
      <c r="AJ236" s="1484"/>
      <c r="AK236" s="1423"/>
      <c r="AL236" s="748"/>
    </row>
    <row r="237" spans="1:38">
      <c r="A237" s="728">
        <v>232</v>
      </c>
      <c r="B237" s="727" t="s">
        <v>2667</v>
      </c>
      <c r="C237" s="1475"/>
      <c r="E237" s="1423">
        <f>'Revenue Reconcilliation'!Q155</f>
        <v>0</v>
      </c>
      <c r="F237" s="1422"/>
      <c r="G237" s="1422"/>
      <c r="H237" s="1422"/>
      <c r="I237" s="1422"/>
      <c r="J237" s="1422"/>
      <c r="K237" s="1405"/>
      <c r="L237" s="1427"/>
      <c r="M237" s="1423"/>
      <c r="N237" s="1422"/>
      <c r="O237" s="1423"/>
      <c r="P237" s="1423"/>
      <c r="Q237" s="1423"/>
      <c r="R237" s="1422"/>
      <c r="S237" s="1423"/>
      <c r="T237" s="1423"/>
      <c r="U237" s="1423"/>
      <c r="V237" s="1422"/>
      <c r="W237" s="1422"/>
      <c r="X237" s="1422"/>
      <c r="Y237" s="1422"/>
      <c r="Z237" s="1422"/>
      <c r="AA237" s="1423"/>
      <c r="AB237" s="1423"/>
      <c r="AC237" s="1423"/>
      <c r="AD237" s="1422"/>
      <c r="AF237" s="1422"/>
      <c r="AG237" s="1422"/>
      <c r="AH237" s="1422"/>
      <c r="AI237" s="1484"/>
      <c r="AJ237" s="1484"/>
      <c r="AK237" s="1423"/>
      <c r="AL237" s="748"/>
    </row>
    <row r="238" spans="1:38">
      <c r="A238" s="728">
        <v>233</v>
      </c>
      <c r="B238" s="727" t="s">
        <v>2668</v>
      </c>
      <c r="C238" s="1422"/>
      <c r="E238" s="1423">
        <f>'Revenue Reconcilliation'!Q156</f>
        <v>3356.48</v>
      </c>
      <c r="F238" s="1422"/>
      <c r="G238" s="1422"/>
      <c r="H238" s="1422"/>
      <c r="I238" s="1422"/>
      <c r="J238" s="1422"/>
      <c r="K238" s="1405"/>
      <c r="L238" s="1427"/>
      <c r="M238" s="1423"/>
      <c r="N238" s="1422"/>
      <c r="O238" s="1423"/>
      <c r="P238" s="1423"/>
      <c r="Q238" s="1423"/>
      <c r="R238" s="1422"/>
      <c r="S238" s="1423"/>
      <c r="T238" s="1423"/>
      <c r="U238" s="1423"/>
      <c r="V238" s="1422"/>
      <c r="W238" s="1422"/>
      <c r="X238" s="1422"/>
      <c r="Y238" s="1422"/>
      <c r="Z238" s="1422"/>
      <c r="AA238" s="1423"/>
      <c r="AB238" s="1423"/>
      <c r="AC238" s="1423"/>
      <c r="AD238" s="1422"/>
      <c r="AF238" s="1422"/>
      <c r="AG238" s="1422"/>
      <c r="AH238" s="1422"/>
      <c r="AI238" s="1484"/>
      <c r="AJ238" s="1484"/>
      <c r="AK238" s="1423"/>
      <c r="AL238" s="748"/>
    </row>
    <row r="239" spans="1:38">
      <c r="A239" s="728">
        <v>234</v>
      </c>
      <c r="B239" s="727" t="s">
        <v>2669</v>
      </c>
      <c r="C239" s="1475"/>
      <c r="E239" s="1423">
        <f>'Revenue Reconcilliation'!Q157</f>
        <v>-2.1899999999999995</v>
      </c>
      <c r="F239" s="1422"/>
      <c r="G239" s="1422"/>
      <c r="H239" s="1422"/>
      <c r="I239" s="1422"/>
      <c r="J239" s="1422"/>
      <c r="K239" s="1405"/>
      <c r="L239" s="1427"/>
      <c r="M239" s="1423"/>
      <c r="N239" s="1422"/>
      <c r="O239" s="1423"/>
      <c r="P239" s="1423"/>
      <c r="Q239" s="1423"/>
      <c r="R239" s="1422"/>
      <c r="S239" s="1423"/>
      <c r="T239" s="1423"/>
      <c r="U239" s="1423"/>
      <c r="V239" s="1422"/>
      <c r="W239" s="1422"/>
      <c r="X239" s="1422"/>
      <c r="Y239" s="1422"/>
      <c r="Z239" s="1422"/>
      <c r="AA239" s="1423"/>
      <c r="AB239" s="1423"/>
      <c r="AC239" s="1423"/>
      <c r="AD239" s="1422"/>
      <c r="AF239" s="1422"/>
      <c r="AG239" s="1422"/>
      <c r="AH239" s="1422"/>
      <c r="AI239" s="1484"/>
      <c r="AJ239" s="1484"/>
      <c r="AK239" s="1423"/>
      <c r="AL239" s="748"/>
    </row>
    <row r="240" spans="1:38">
      <c r="A240" s="728">
        <v>235</v>
      </c>
      <c r="B240" s="727" t="s">
        <v>2670</v>
      </c>
      <c r="C240" s="1422"/>
      <c r="E240" s="1423">
        <f>'Revenue Reconcilliation'!Q158</f>
        <v>0</v>
      </c>
      <c r="F240" s="1422"/>
      <c r="G240" s="1422"/>
      <c r="H240" s="1422"/>
      <c r="I240" s="1422"/>
      <c r="J240" s="1422"/>
      <c r="K240" s="1405"/>
      <c r="L240" s="1427"/>
      <c r="M240" s="1423"/>
      <c r="N240" s="1422"/>
      <c r="O240" s="1423"/>
      <c r="P240" s="1423"/>
      <c r="Q240" s="1423"/>
      <c r="R240" s="1422"/>
      <c r="S240" s="1423"/>
      <c r="T240" s="1423"/>
      <c r="U240" s="1423"/>
      <c r="V240" s="1422"/>
      <c r="W240" s="1422"/>
      <c r="X240" s="1422"/>
      <c r="Y240" s="1422"/>
      <c r="Z240" s="1422"/>
      <c r="AA240" s="1423"/>
      <c r="AB240" s="1423"/>
      <c r="AC240" s="1423"/>
      <c r="AD240" s="1422"/>
      <c r="AF240" s="1422"/>
      <c r="AG240" s="1422"/>
      <c r="AH240" s="1422"/>
      <c r="AI240" s="1484"/>
      <c r="AJ240" s="1484"/>
      <c r="AK240" s="1423"/>
      <c r="AL240" s="748"/>
    </row>
    <row r="241" spans="1:38">
      <c r="A241" s="728">
        <v>236</v>
      </c>
      <c r="B241" s="1482" t="s">
        <v>2451</v>
      </c>
      <c r="C241" s="1475"/>
      <c r="E241" s="1423">
        <f>'Revenue Reconcilliation'!Q159</f>
        <v>0</v>
      </c>
      <c r="F241" s="1422"/>
      <c r="G241" s="1422"/>
      <c r="H241" s="1422"/>
      <c r="I241" s="1422"/>
      <c r="J241" s="1422"/>
      <c r="K241" s="1405"/>
      <c r="L241" s="1427"/>
      <c r="M241" s="1423"/>
      <c r="N241" s="1422"/>
      <c r="O241" s="1423"/>
      <c r="P241" s="1423"/>
      <c r="Q241" s="1423"/>
      <c r="R241" s="1422"/>
      <c r="S241" s="1423"/>
      <c r="T241" s="1423"/>
      <c r="U241" s="1423"/>
      <c r="V241" s="1422"/>
      <c r="W241" s="1422"/>
      <c r="X241" s="1422"/>
      <c r="Y241" s="1422"/>
      <c r="Z241" s="1422"/>
      <c r="AA241" s="1423"/>
      <c r="AB241" s="1423"/>
      <c r="AC241" s="1423"/>
      <c r="AD241" s="1422"/>
      <c r="AF241" s="1422"/>
      <c r="AG241" s="1422"/>
      <c r="AH241" s="1422"/>
      <c r="AI241" s="1484"/>
      <c r="AJ241" s="1484"/>
      <c r="AK241" s="1423"/>
      <c r="AL241" s="748"/>
    </row>
    <row r="242" spans="1:38">
      <c r="A242" s="728">
        <v>237</v>
      </c>
      <c r="B242" s="1482" t="s">
        <v>2697</v>
      </c>
      <c r="C242" s="1422"/>
      <c r="E242" s="1423">
        <f>'Revenue Reconcilliation'!Q160</f>
        <v>-1979.85</v>
      </c>
      <c r="F242" s="1422"/>
      <c r="G242" s="1422"/>
      <c r="H242" s="1422"/>
      <c r="I242" s="1422"/>
      <c r="J242" s="1422"/>
      <c r="K242" s="1405"/>
      <c r="L242" s="1427"/>
      <c r="M242" s="1423"/>
      <c r="N242" s="1422"/>
      <c r="O242" s="1423"/>
      <c r="P242" s="1423"/>
      <c r="Q242" s="1423"/>
      <c r="R242" s="1422"/>
      <c r="S242" s="1423"/>
      <c r="T242" s="1423"/>
      <c r="U242" s="1423"/>
      <c r="V242" s="1422"/>
      <c r="W242" s="1422"/>
      <c r="X242" s="1422"/>
      <c r="Y242" s="1422"/>
      <c r="Z242" s="1422"/>
      <c r="AA242" s="1423"/>
      <c r="AB242" s="1423"/>
      <c r="AC242" s="1423"/>
      <c r="AD242" s="1422"/>
      <c r="AF242" s="1422"/>
      <c r="AG242" s="1422"/>
      <c r="AH242" s="1422"/>
      <c r="AI242" s="1484"/>
      <c r="AJ242" s="1484"/>
      <c r="AK242" s="1423"/>
      <c r="AL242" s="748"/>
    </row>
    <row r="243" spans="1:38">
      <c r="A243" s="728">
        <v>238</v>
      </c>
      <c r="B243" s="1482" t="s">
        <v>2698</v>
      </c>
      <c r="C243" s="1475"/>
      <c r="E243" s="1437">
        <f>'Revenue Reconcilliation'!Q161</f>
        <v>2127.86</v>
      </c>
      <c r="F243" s="1422"/>
      <c r="G243" s="1422"/>
      <c r="H243" s="1422"/>
      <c r="I243" s="1422"/>
      <c r="J243" s="1422"/>
      <c r="K243" s="1405"/>
      <c r="L243" s="1427"/>
      <c r="M243" s="1423"/>
      <c r="N243" s="1422"/>
      <c r="O243" s="1423"/>
      <c r="P243" s="1423"/>
      <c r="Q243" s="1423"/>
      <c r="R243" s="1422"/>
      <c r="S243" s="1423"/>
      <c r="T243" s="1423"/>
      <c r="U243" s="1423"/>
      <c r="V243" s="1422"/>
      <c r="W243" s="1422"/>
      <c r="X243" s="1422"/>
      <c r="Y243" s="1422"/>
      <c r="Z243" s="1422"/>
      <c r="AA243" s="1423"/>
      <c r="AB243" s="1423"/>
      <c r="AC243" s="1423"/>
      <c r="AD243" s="1422"/>
      <c r="AF243" s="1422"/>
      <c r="AG243" s="1422"/>
      <c r="AH243" s="1422"/>
      <c r="AI243" s="1484"/>
      <c r="AJ243" s="1484"/>
      <c r="AK243" s="1423"/>
      <c r="AL243" s="748"/>
    </row>
    <row r="244" spans="1:38">
      <c r="A244" s="728">
        <v>239</v>
      </c>
      <c r="B244" s="727" t="s">
        <v>2678</v>
      </c>
      <c r="C244" s="1422"/>
      <c r="E244" s="1423">
        <f>SUM(E225:E243)</f>
        <v>3709.27</v>
      </c>
      <c r="F244" s="1422"/>
      <c r="G244" s="1422"/>
      <c r="H244" s="1422"/>
      <c r="I244" s="1422"/>
      <c r="J244" s="1422"/>
      <c r="K244" s="1405"/>
      <c r="L244" s="1427"/>
      <c r="M244" s="1423"/>
      <c r="N244" s="1422"/>
      <c r="O244" s="1423"/>
      <c r="P244" s="1423"/>
      <c r="Q244" s="1423"/>
      <c r="R244" s="1422"/>
      <c r="S244" s="1423"/>
      <c r="T244" s="1423"/>
      <c r="U244" s="1423"/>
      <c r="V244" s="1422"/>
      <c r="W244" s="1422"/>
      <c r="X244" s="1422"/>
      <c r="Y244" s="1422"/>
      <c r="Z244" s="1422"/>
      <c r="AA244" s="1423"/>
      <c r="AB244" s="1423"/>
      <c r="AC244" s="1423"/>
      <c r="AD244" s="1422"/>
      <c r="AF244" s="1422"/>
      <c r="AG244" s="1422"/>
      <c r="AH244" s="1422"/>
      <c r="AI244" s="1484"/>
      <c r="AJ244" s="1484"/>
      <c r="AK244" s="1423"/>
      <c r="AL244" s="748"/>
    </row>
    <row r="245" spans="1:38">
      <c r="A245" s="728">
        <v>240</v>
      </c>
      <c r="C245" s="1475"/>
      <c r="E245" s="1423"/>
      <c r="F245" s="1422"/>
      <c r="G245" s="1422"/>
      <c r="H245" s="1422"/>
      <c r="I245" s="1422"/>
      <c r="J245" s="1422"/>
      <c r="K245" s="1405"/>
      <c r="L245" s="1427"/>
      <c r="M245" s="1423"/>
      <c r="N245" s="1422"/>
      <c r="O245" s="1423"/>
      <c r="P245" s="1423"/>
      <c r="Q245" s="1423"/>
      <c r="R245" s="1422"/>
      <c r="S245" s="1423"/>
      <c r="T245" s="1423"/>
      <c r="U245" s="1423"/>
      <c r="V245" s="1422"/>
      <c r="W245" s="1422"/>
      <c r="X245" s="1422"/>
      <c r="Y245" s="1422"/>
      <c r="Z245" s="1422"/>
      <c r="AA245" s="1423"/>
      <c r="AB245" s="1423"/>
      <c r="AC245" s="1423"/>
      <c r="AD245" s="1422"/>
      <c r="AF245" s="1422"/>
      <c r="AG245" s="1422"/>
      <c r="AH245" s="1422"/>
      <c r="AI245" s="1484"/>
      <c r="AJ245" s="1484"/>
      <c r="AK245" s="1423"/>
      <c r="AL245" s="748"/>
    </row>
    <row r="246" spans="1:38">
      <c r="A246" s="728">
        <v>241</v>
      </c>
      <c r="B246" s="1444" t="s">
        <v>2704</v>
      </c>
      <c r="C246" s="1422">
        <f>E246-'Revenue Reconcilliation'!Q162</f>
        <v>0</v>
      </c>
      <c r="D246" s="1404" t="s">
        <v>2673</v>
      </c>
      <c r="E246" s="1423">
        <f>SUM(E220,E222,E244)</f>
        <v>5485.11</v>
      </c>
      <c r="F246" s="1422"/>
      <c r="G246" s="1422"/>
      <c r="H246" s="1422"/>
      <c r="I246" s="1422"/>
      <c r="J246" s="1422"/>
      <c r="K246" s="1405"/>
      <c r="L246" s="1427"/>
      <c r="M246" s="1423"/>
      <c r="N246" s="1422"/>
      <c r="O246" s="1423"/>
      <c r="P246" s="1423"/>
      <c r="Q246" s="1423"/>
      <c r="R246" s="1422"/>
      <c r="S246" s="1423"/>
      <c r="T246" s="1423"/>
      <c r="U246" s="1423"/>
      <c r="V246" s="1422"/>
      <c r="W246" s="1422"/>
      <c r="X246" s="1422"/>
      <c r="Y246" s="1422"/>
      <c r="Z246" s="1422"/>
      <c r="AA246" s="1423"/>
      <c r="AB246" s="1423"/>
      <c r="AC246" s="1423"/>
      <c r="AD246" s="1422"/>
      <c r="AF246" s="1422"/>
      <c r="AG246" s="1422"/>
      <c r="AH246" s="1422"/>
      <c r="AI246" s="1484"/>
      <c r="AJ246" s="1484"/>
      <c r="AK246" s="1423"/>
      <c r="AL246" s="748"/>
    </row>
    <row r="247" spans="1:38">
      <c r="A247" s="728">
        <v>242</v>
      </c>
      <c r="B247" s="1448"/>
      <c r="C247" s="1475"/>
      <c r="E247" s="1423"/>
      <c r="F247" s="1422"/>
      <c r="G247" s="1422"/>
      <c r="H247" s="1422"/>
      <c r="I247" s="1422"/>
      <c r="J247" s="1422"/>
      <c r="K247" s="1405"/>
      <c r="L247" s="1427"/>
      <c r="M247" s="1423"/>
      <c r="N247" s="1422"/>
      <c r="O247" s="1423"/>
      <c r="P247" s="1423"/>
      <c r="Q247" s="1423"/>
      <c r="R247" s="1422"/>
      <c r="S247" s="1423"/>
      <c r="T247" s="1423"/>
      <c r="U247" s="1423"/>
      <c r="V247" s="1422"/>
      <c r="W247" s="1422"/>
      <c r="X247" s="1422"/>
      <c r="Y247" s="1422"/>
      <c r="Z247" s="1422"/>
      <c r="AA247" s="1423"/>
      <c r="AB247" s="1423"/>
      <c r="AC247" s="1423"/>
      <c r="AD247" s="1422"/>
      <c r="AF247" s="1422"/>
      <c r="AG247" s="1422"/>
      <c r="AH247" s="1422"/>
      <c r="AI247" s="1484"/>
      <c r="AJ247" s="1484"/>
      <c r="AK247" s="1423"/>
      <c r="AL247" s="748"/>
    </row>
    <row r="248" spans="1:38">
      <c r="A248" s="728">
        <v>243</v>
      </c>
      <c r="B248" s="1420" t="s">
        <v>2705</v>
      </c>
      <c r="E248" s="1423"/>
      <c r="F248" s="1423"/>
      <c r="G248" s="1476" t="s">
        <v>2706</v>
      </c>
      <c r="H248" s="1423"/>
      <c r="I248" s="1423"/>
      <c r="J248" s="1423"/>
      <c r="K248" s="1405"/>
      <c r="L248" s="1427"/>
      <c r="M248" s="1423"/>
      <c r="N248" s="1423"/>
      <c r="P248" s="1423"/>
      <c r="Q248" s="1423"/>
      <c r="R248" s="1423"/>
      <c r="T248" s="1423"/>
      <c r="U248" s="1423"/>
      <c r="V248" s="1423"/>
      <c r="W248" s="1423"/>
      <c r="X248" s="1423"/>
      <c r="Y248" s="1423"/>
      <c r="Z248" s="1423"/>
      <c r="AD248" s="1423"/>
      <c r="AF248" s="1423"/>
      <c r="AG248" s="1423"/>
      <c r="AH248" s="1423"/>
      <c r="AL248" s="748"/>
    </row>
    <row r="249" spans="1:38">
      <c r="A249" s="728">
        <v>244</v>
      </c>
      <c r="B249" s="727" t="s">
        <v>2462</v>
      </c>
      <c r="C249" s="1477">
        <f>E249/D249</f>
        <v>14</v>
      </c>
      <c r="D249" s="1430">
        <v>125</v>
      </c>
      <c r="E249" s="1423">
        <f>'1501 Summary'!AD74</f>
        <v>1750</v>
      </c>
      <c r="F249" s="1422"/>
      <c r="G249" s="1424">
        <f>-C249</f>
        <v>-14</v>
      </c>
      <c r="H249" s="1422">
        <f>D249</f>
        <v>125</v>
      </c>
      <c r="I249" s="1423">
        <f>H249*G249</f>
        <v>-1750</v>
      </c>
      <c r="J249" s="1422"/>
      <c r="K249" s="1405">
        <f>C249+G249</f>
        <v>0</v>
      </c>
      <c r="L249" s="1422">
        <f>D249</f>
        <v>125</v>
      </c>
      <c r="M249" s="1423">
        <f>L249*K249</f>
        <v>0</v>
      </c>
      <c r="N249" s="1422"/>
      <c r="P249" s="1423"/>
      <c r="Q249" s="1423"/>
      <c r="R249" s="1422"/>
      <c r="T249" s="1423"/>
      <c r="U249" s="1423"/>
      <c r="V249" s="1422"/>
      <c r="Z249" s="1422"/>
      <c r="AA249" s="1423"/>
      <c r="AB249" s="1423"/>
      <c r="AC249" s="1423"/>
      <c r="AD249" s="1422"/>
      <c r="AF249" s="1422"/>
      <c r="AG249" s="1422"/>
      <c r="AH249" s="1422"/>
      <c r="AI249" s="1484"/>
      <c r="AJ249" s="1484"/>
      <c r="AK249" s="1423"/>
      <c r="AL249" s="748"/>
    </row>
    <row r="250" spans="1:38">
      <c r="A250" s="728">
        <v>245</v>
      </c>
      <c r="B250" s="727" t="s">
        <v>2688</v>
      </c>
      <c r="C250" s="1477">
        <f>E250/D250</f>
        <v>267361.96789951151</v>
      </c>
      <c r="D250" s="1428">
        <v>0.14330000000000001</v>
      </c>
      <c r="E250" s="1423">
        <f>'1501 Summary'!AD75</f>
        <v>38312.97</v>
      </c>
      <c r="F250" s="1423"/>
      <c r="G250" s="1424">
        <f>-C250</f>
        <v>-267361.96789951151</v>
      </c>
      <c r="H250" s="1422">
        <f>D250</f>
        <v>0.14330000000000001</v>
      </c>
      <c r="I250" s="1423">
        <f>H250*G250</f>
        <v>-38312.97</v>
      </c>
      <c r="J250" s="1423"/>
      <c r="K250" s="1405">
        <f>C250+G250</f>
        <v>0</v>
      </c>
      <c r="L250" s="1427">
        <v>0.16113</v>
      </c>
      <c r="M250" s="1437">
        <f>L250*K250</f>
        <v>0</v>
      </c>
      <c r="N250" s="1423"/>
      <c r="P250" s="1423"/>
      <c r="Q250" s="1423"/>
      <c r="R250" s="1423"/>
      <c r="T250" s="1423"/>
      <c r="U250" s="1423"/>
      <c r="V250" s="1423"/>
      <c r="Z250" s="1423"/>
      <c r="AD250" s="1423"/>
      <c r="AF250" s="1423"/>
      <c r="AG250" s="1423"/>
      <c r="AH250" s="1423"/>
      <c r="AL250" s="748"/>
    </row>
    <row r="251" spans="1:38">
      <c r="A251" s="728">
        <v>246</v>
      </c>
      <c r="B251" s="727" t="s">
        <v>2689</v>
      </c>
      <c r="C251" s="1477">
        <f>E251/D251</f>
        <v>681100.96504005836</v>
      </c>
      <c r="D251" s="1361">
        <v>0.10983999999999999</v>
      </c>
      <c r="E251" s="1423">
        <f>'1501 Summary'!AD76</f>
        <v>74812.13</v>
      </c>
      <c r="F251" s="1423"/>
      <c r="G251" s="1424">
        <f>-C251</f>
        <v>-681100.96504005836</v>
      </c>
      <c r="H251" s="1422">
        <f>D251</f>
        <v>0.10983999999999999</v>
      </c>
      <c r="I251" s="1423">
        <f>H251*G251</f>
        <v>-74812.13</v>
      </c>
      <c r="J251" s="1423"/>
      <c r="K251" s="1405"/>
      <c r="L251" s="1427"/>
      <c r="M251" s="1423"/>
      <c r="N251" s="1423"/>
      <c r="P251" s="1423"/>
      <c r="Q251" s="1423"/>
      <c r="R251" s="1423"/>
      <c r="T251" s="1423"/>
      <c r="U251" s="1423"/>
      <c r="V251" s="1423"/>
      <c r="Z251" s="1423"/>
      <c r="AD251" s="1423"/>
      <c r="AF251" s="1423"/>
      <c r="AG251" s="1423"/>
      <c r="AH251" s="1423"/>
      <c r="AL251" s="748"/>
    </row>
    <row r="252" spans="1:38">
      <c r="A252" s="728">
        <v>247</v>
      </c>
      <c r="B252" s="1453" t="s">
        <v>2690</v>
      </c>
      <c r="C252" s="1485">
        <f>E252/D252</f>
        <v>1897641.5651531932</v>
      </c>
      <c r="D252" s="1361">
        <v>2.7089999999999999E-2</v>
      </c>
      <c r="E252" s="1437">
        <f>'1501 Summary'!AD77</f>
        <v>51407.11</v>
      </c>
      <c r="F252" s="1423"/>
      <c r="G252" s="1424">
        <f>-C252</f>
        <v>-1897641.5651531932</v>
      </c>
      <c r="H252" s="1422">
        <f>D252</f>
        <v>2.7089999999999999E-2</v>
      </c>
      <c r="I252" s="1423">
        <f>H252*G252</f>
        <v>-51407.11</v>
      </c>
      <c r="J252" s="1423"/>
      <c r="K252" s="1405"/>
      <c r="L252" s="1427"/>
      <c r="M252" s="1423"/>
      <c r="N252" s="1423"/>
      <c r="P252" s="1423"/>
      <c r="Q252" s="1423"/>
      <c r="R252" s="1423"/>
      <c r="T252" s="1423"/>
      <c r="U252" s="1423"/>
      <c r="V252" s="1423"/>
      <c r="Z252" s="1423"/>
      <c r="AD252" s="1423"/>
      <c r="AF252" s="1423"/>
      <c r="AG252" s="1423"/>
      <c r="AH252" s="1423"/>
      <c r="AL252" s="748"/>
    </row>
    <row r="253" spans="1:38">
      <c r="A253" s="728">
        <v>248</v>
      </c>
      <c r="C253" s="1424">
        <f>SUM(C250:C252)</f>
        <v>2846104.4980927631</v>
      </c>
      <c r="E253" s="1423">
        <f>SUM(E249:E252)</f>
        <v>166282.21000000002</v>
      </c>
      <c r="F253" s="1422"/>
      <c r="G253" s="1486">
        <f>-C253</f>
        <v>-2846104.4980927631</v>
      </c>
      <c r="H253" s="1422"/>
      <c r="I253" s="1422">
        <f>SUM(I249:I252)</f>
        <v>-166282.21000000002</v>
      </c>
      <c r="J253" s="1422"/>
      <c r="K253" s="1422"/>
      <c r="M253" s="1423">
        <f>SUM(M249:M250)</f>
        <v>0</v>
      </c>
      <c r="N253" s="1422"/>
      <c r="P253" s="1423"/>
      <c r="Q253" s="1423"/>
      <c r="R253" s="1422"/>
      <c r="T253" s="1423"/>
      <c r="U253" s="1423"/>
      <c r="V253" s="1422"/>
      <c r="Z253" s="1422"/>
      <c r="AA253" s="1423"/>
      <c r="AB253" s="1423"/>
      <c r="AC253" s="1423"/>
      <c r="AD253" s="1422"/>
      <c r="AF253" s="1422"/>
      <c r="AG253" s="1422"/>
      <c r="AH253" s="1422"/>
      <c r="AI253" s="1484"/>
      <c r="AJ253" s="1484"/>
      <c r="AK253" s="1423"/>
      <c r="AL253" s="748"/>
    </row>
    <row r="254" spans="1:38">
      <c r="A254" s="728">
        <v>249</v>
      </c>
      <c r="E254" s="1423"/>
      <c r="F254" s="1423"/>
      <c r="G254" s="1423"/>
      <c r="H254" s="1423"/>
      <c r="I254" s="1423"/>
      <c r="J254" s="1423"/>
      <c r="K254" s="1405"/>
      <c r="L254" s="1427"/>
      <c r="M254" s="1423"/>
      <c r="N254" s="1423"/>
      <c r="O254" s="1423"/>
      <c r="P254" s="1423"/>
      <c r="Q254" s="1423"/>
      <c r="R254" s="1423"/>
      <c r="S254" s="1423"/>
      <c r="T254" s="1423"/>
      <c r="U254" s="1423"/>
      <c r="V254" s="1423"/>
      <c r="W254" s="1423"/>
      <c r="X254" s="1423"/>
      <c r="Y254" s="1423"/>
      <c r="Z254" s="1423"/>
      <c r="AD254" s="1423"/>
      <c r="AF254" s="1423"/>
      <c r="AG254" s="1423"/>
      <c r="AH254" s="1423"/>
      <c r="AL254" s="748"/>
    </row>
    <row r="255" spans="1:38">
      <c r="A255" s="728">
        <v>250</v>
      </c>
      <c r="B255" s="727" t="s">
        <v>2650</v>
      </c>
      <c r="C255" s="1475"/>
      <c r="E255" s="1423">
        <f>'1501 Summary'!AD78</f>
        <v>1197642.52</v>
      </c>
      <c r="F255" s="1422"/>
      <c r="G255" s="1422"/>
      <c r="H255" s="1422"/>
      <c r="I255" s="1422"/>
      <c r="J255" s="1422"/>
      <c r="K255" s="1405"/>
      <c r="L255" s="1427"/>
      <c r="M255" s="1423"/>
      <c r="N255" s="1422"/>
      <c r="O255" s="1423"/>
      <c r="P255" s="1423"/>
      <c r="Q255" s="1423"/>
      <c r="R255" s="1422"/>
      <c r="S255" s="1423"/>
      <c r="T255" s="1423"/>
      <c r="U255" s="1423"/>
      <c r="V255" s="1422"/>
      <c r="W255" s="1422"/>
      <c r="X255" s="1422"/>
      <c r="Y255" s="1422"/>
      <c r="Z255" s="1422"/>
      <c r="AA255" s="1423"/>
      <c r="AB255" s="1423"/>
      <c r="AC255" s="1423"/>
      <c r="AD255" s="1422"/>
      <c r="AF255" s="1422"/>
      <c r="AG255" s="1422"/>
      <c r="AH255" s="1422"/>
      <c r="AI255" s="1484"/>
      <c r="AJ255" s="1484"/>
      <c r="AK255" s="1423"/>
      <c r="AL255" s="748"/>
    </row>
    <row r="256" spans="1:38">
      <c r="A256" s="728">
        <v>251</v>
      </c>
      <c r="E256" s="1423"/>
      <c r="F256" s="1423"/>
      <c r="G256" s="1423"/>
      <c r="H256" s="1423"/>
      <c r="I256" s="1423"/>
      <c r="J256" s="1423"/>
      <c r="K256" s="1405"/>
      <c r="L256" s="1427"/>
      <c r="M256" s="1423"/>
      <c r="N256" s="1423"/>
      <c r="O256" s="1423"/>
      <c r="P256" s="1423"/>
      <c r="Q256" s="1423"/>
      <c r="R256" s="1423"/>
      <c r="S256" s="1423"/>
      <c r="T256" s="1423"/>
      <c r="U256" s="1423"/>
      <c r="V256" s="1423"/>
      <c r="W256" s="1423"/>
      <c r="X256" s="1423"/>
      <c r="Y256" s="1423"/>
      <c r="Z256" s="1423"/>
      <c r="AD256" s="1423"/>
      <c r="AF256" s="1423"/>
      <c r="AG256" s="1423"/>
      <c r="AH256" s="1423"/>
      <c r="AL256" s="748"/>
    </row>
    <row r="257" spans="1:38">
      <c r="A257" s="728">
        <v>252</v>
      </c>
      <c r="B257" s="727" t="s">
        <v>2651</v>
      </c>
      <c r="C257" s="1475"/>
      <c r="E257" s="1423"/>
      <c r="F257" s="1422"/>
      <c r="G257" s="1422"/>
      <c r="H257" s="1422"/>
      <c r="I257" s="1422"/>
      <c r="J257" s="1422"/>
      <c r="K257" s="1405"/>
      <c r="L257" s="1427"/>
      <c r="M257" s="1423"/>
      <c r="N257" s="1422"/>
      <c r="O257" s="1423"/>
      <c r="P257" s="1423"/>
      <c r="Q257" s="1423"/>
      <c r="R257" s="1422"/>
      <c r="S257" s="1423"/>
      <c r="T257" s="1423"/>
      <c r="U257" s="1423"/>
      <c r="V257" s="1422"/>
      <c r="W257" s="1422"/>
      <c r="X257" s="1422"/>
      <c r="Y257" s="1422"/>
      <c r="Z257" s="1422"/>
      <c r="AA257" s="1423"/>
      <c r="AB257" s="1423"/>
      <c r="AC257" s="1423"/>
      <c r="AD257" s="1422"/>
      <c r="AF257" s="1422"/>
      <c r="AG257" s="1422"/>
      <c r="AH257" s="1422"/>
      <c r="AI257" s="1484"/>
      <c r="AJ257" s="1484"/>
      <c r="AK257" s="1423"/>
      <c r="AL257" s="748"/>
    </row>
    <row r="258" spans="1:38">
      <c r="A258" s="728">
        <v>253</v>
      </c>
      <c r="B258" s="727" t="s">
        <v>2652</v>
      </c>
      <c r="E258" s="1423">
        <f>'1501 Summary'!AD79</f>
        <v>305381.45999999996</v>
      </c>
      <c r="F258" s="1423"/>
      <c r="G258" s="1423"/>
      <c r="H258" s="1423"/>
      <c r="I258" s="1423"/>
      <c r="J258" s="1423"/>
      <c r="K258" s="1405"/>
      <c r="L258" s="1427"/>
      <c r="M258" s="1423"/>
      <c r="N258" s="1423"/>
      <c r="O258" s="1423"/>
      <c r="P258" s="1423"/>
      <c r="Q258" s="1423"/>
      <c r="R258" s="1423"/>
      <c r="S258" s="1423"/>
      <c r="T258" s="1423"/>
      <c r="U258" s="1423"/>
      <c r="V258" s="1423"/>
      <c r="W258" s="1423"/>
      <c r="X258" s="1423"/>
      <c r="Y258" s="1423"/>
      <c r="Z258" s="1423"/>
      <c r="AD258" s="1423"/>
      <c r="AF258" s="1423"/>
      <c r="AG258" s="1423"/>
      <c r="AH258" s="1423"/>
      <c r="AL258" s="748"/>
    </row>
    <row r="259" spans="1:38">
      <c r="A259" s="728">
        <v>254</v>
      </c>
      <c r="B259" s="727" t="s">
        <v>2653</v>
      </c>
      <c r="C259" s="1475"/>
      <c r="E259" s="1423">
        <f>'1501 Summary'!AD80</f>
        <v>4053.45</v>
      </c>
      <c r="F259" s="1422"/>
      <c r="G259" s="1422"/>
      <c r="H259" s="1422"/>
      <c r="I259" s="1422"/>
      <c r="J259" s="1422"/>
      <c r="K259" s="1405"/>
      <c r="L259" s="1427"/>
      <c r="M259" s="1423"/>
      <c r="N259" s="1422"/>
      <c r="O259" s="1423"/>
      <c r="P259" s="1423"/>
      <c r="Q259" s="1423"/>
      <c r="R259" s="1422"/>
      <c r="S259" s="1423"/>
      <c r="T259" s="1423"/>
      <c r="U259" s="1423"/>
      <c r="V259" s="1422"/>
      <c r="W259" s="1422"/>
      <c r="X259" s="1422"/>
      <c r="Y259" s="1422"/>
      <c r="Z259" s="1422"/>
      <c r="AA259" s="1423"/>
      <c r="AB259" s="1423"/>
      <c r="AC259" s="1423"/>
      <c r="AD259" s="1422"/>
      <c r="AF259" s="1422"/>
      <c r="AG259" s="1422"/>
      <c r="AH259" s="1422"/>
      <c r="AI259" s="1484"/>
      <c r="AJ259" s="1484"/>
      <c r="AK259" s="1423"/>
      <c r="AL259" s="748"/>
    </row>
    <row r="260" spans="1:38">
      <c r="A260" s="728">
        <v>255</v>
      </c>
      <c r="B260" s="727" t="s">
        <v>2654</v>
      </c>
      <c r="E260" s="1423">
        <f>'1501 Summary'!AD81</f>
        <v>14885.89</v>
      </c>
      <c r="F260" s="1423"/>
      <c r="G260" s="1423"/>
      <c r="H260" s="1423"/>
      <c r="I260" s="1423"/>
      <c r="J260" s="1423"/>
      <c r="K260" s="1405"/>
      <c r="L260" s="1427"/>
      <c r="M260" s="1423"/>
      <c r="N260" s="1423"/>
      <c r="O260" s="1423"/>
      <c r="P260" s="1423"/>
      <c r="Q260" s="1423"/>
      <c r="R260" s="1423"/>
      <c r="S260" s="1423"/>
      <c r="T260" s="1423"/>
      <c r="U260" s="1423"/>
      <c r="V260" s="1423"/>
      <c r="W260" s="1423"/>
      <c r="X260" s="1423"/>
      <c r="Y260" s="1423"/>
      <c r="Z260" s="1423"/>
      <c r="AD260" s="1423"/>
      <c r="AF260" s="1423"/>
      <c r="AG260" s="1423"/>
      <c r="AH260" s="1423"/>
      <c r="AL260" s="748"/>
    </row>
    <row r="261" spans="1:38">
      <c r="A261" s="728">
        <v>256</v>
      </c>
      <c r="B261" s="727" t="s">
        <v>2655</v>
      </c>
      <c r="C261" s="1475"/>
      <c r="E261" s="1423">
        <f>'1501 Summary'!AD82</f>
        <v>-97569.7</v>
      </c>
      <c r="F261" s="1422"/>
      <c r="G261" s="1422"/>
      <c r="H261" s="1422"/>
      <c r="I261" s="1422"/>
      <c r="J261" s="1422"/>
      <c r="K261" s="1405"/>
      <c r="L261" s="1427"/>
      <c r="M261" s="1423"/>
      <c r="N261" s="1422"/>
      <c r="O261" s="1423"/>
      <c r="P261" s="1423"/>
      <c r="Q261" s="1423"/>
      <c r="R261" s="1422"/>
      <c r="S261" s="1423"/>
      <c r="T261" s="1423"/>
      <c r="U261" s="1423"/>
      <c r="V261" s="1422"/>
      <c r="W261" s="1422"/>
      <c r="X261" s="1422"/>
      <c r="Y261" s="1422"/>
      <c r="Z261" s="1422"/>
      <c r="AA261" s="1423"/>
      <c r="AB261" s="1423"/>
      <c r="AC261" s="1423"/>
      <c r="AD261" s="1422"/>
      <c r="AF261" s="1422"/>
      <c r="AG261" s="1422"/>
      <c r="AH261" s="1422"/>
      <c r="AI261" s="1484"/>
      <c r="AJ261" s="1484"/>
      <c r="AK261" s="1423"/>
      <c r="AL261" s="748"/>
    </row>
    <row r="262" spans="1:38">
      <c r="A262" s="728">
        <v>257</v>
      </c>
      <c r="B262" s="727" t="s">
        <v>2656</v>
      </c>
      <c r="E262" s="1423">
        <f>'1501 Summary'!AD83</f>
        <v>10428.570000000002</v>
      </c>
      <c r="F262" s="1423"/>
      <c r="G262" s="1423"/>
      <c r="H262" s="1423"/>
      <c r="I262" s="1423"/>
      <c r="J262" s="1423"/>
      <c r="K262" s="1405"/>
      <c r="L262" s="1427"/>
      <c r="M262" s="1423"/>
      <c r="N262" s="1423"/>
      <c r="O262" s="1423"/>
      <c r="P262" s="1423"/>
      <c r="Q262" s="1423"/>
      <c r="R262" s="1423"/>
      <c r="S262" s="1423"/>
      <c r="T262" s="1423"/>
      <c r="U262" s="1423"/>
      <c r="V262" s="1423"/>
      <c r="W262" s="1423"/>
      <c r="X262" s="1423"/>
      <c r="Y262" s="1423"/>
      <c r="Z262" s="1423"/>
      <c r="AD262" s="1423"/>
      <c r="AF262" s="1423"/>
      <c r="AG262" s="1423"/>
      <c r="AH262" s="1423"/>
      <c r="AL262" s="748"/>
    </row>
    <row r="263" spans="1:38">
      <c r="A263" s="728">
        <v>258</v>
      </c>
      <c r="B263" s="727" t="s">
        <v>2657</v>
      </c>
      <c r="C263" s="1475"/>
      <c r="E263" s="1423">
        <f>'1501 Summary'!AD84</f>
        <v>76523.260000000009</v>
      </c>
      <c r="F263" s="1422"/>
      <c r="G263" s="1422"/>
      <c r="H263" s="1422"/>
      <c r="I263" s="1422"/>
      <c r="J263" s="1422"/>
      <c r="K263" s="1405"/>
      <c r="L263" s="1427"/>
      <c r="M263" s="1423"/>
      <c r="N263" s="1422"/>
      <c r="O263" s="1423"/>
      <c r="P263" s="1423"/>
      <c r="Q263" s="1423"/>
      <c r="R263" s="1422"/>
      <c r="S263" s="1423"/>
      <c r="T263" s="1423"/>
      <c r="U263" s="1423"/>
      <c r="V263" s="1422"/>
      <c r="W263" s="1422"/>
      <c r="X263" s="1422"/>
      <c r="Y263" s="1422"/>
      <c r="Z263" s="1422"/>
      <c r="AA263" s="1423"/>
      <c r="AB263" s="1423"/>
      <c r="AC263" s="1423"/>
      <c r="AD263" s="1422"/>
      <c r="AF263" s="1422"/>
      <c r="AG263" s="1422"/>
      <c r="AH263" s="1422"/>
      <c r="AI263" s="1484"/>
      <c r="AJ263" s="1484"/>
      <c r="AK263" s="1423"/>
      <c r="AL263" s="748"/>
    </row>
    <row r="264" spans="1:38">
      <c r="A264" s="728">
        <v>259</v>
      </c>
      <c r="B264" s="1478" t="s">
        <v>2658</v>
      </c>
      <c r="E264" s="1423">
        <f>'1501 Summary'!AD85</f>
        <v>-8664.41</v>
      </c>
      <c r="F264" s="1423"/>
      <c r="G264" s="1423"/>
      <c r="H264" s="1423"/>
      <c r="I264" s="1423"/>
      <c r="J264" s="1423"/>
      <c r="K264" s="1405"/>
      <c r="L264" s="1427"/>
      <c r="M264" s="1423"/>
      <c r="N264" s="1423"/>
      <c r="O264" s="1423"/>
      <c r="P264" s="1423"/>
      <c r="Q264" s="1423"/>
      <c r="R264" s="1423"/>
      <c r="S264" s="1423"/>
      <c r="T264" s="1423"/>
      <c r="U264" s="1423"/>
      <c r="V264" s="1423"/>
      <c r="W264" s="1423"/>
      <c r="X264" s="1423"/>
      <c r="Y264" s="1423"/>
      <c r="Z264" s="1423"/>
      <c r="AD264" s="1423"/>
      <c r="AF264" s="1423"/>
      <c r="AG264" s="1423"/>
      <c r="AH264" s="1423"/>
      <c r="AL264" s="748"/>
    </row>
    <row r="265" spans="1:38">
      <c r="A265" s="728">
        <v>260</v>
      </c>
      <c r="B265" s="1478" t="s">
        <v>2659</v>
      </c>
      <c r="C265" s="1475"/>
      <c r="E265" s="1423">
        <f>'1501 Summary'!AD86</f>
        <v>-3585.9799999999996</v>
      </c>
      <c r="F265" s="1422"/>
      <c r="G265" s="1422"/>
      <c r="H265" s="1422"/>
      <c r="I265" s="1422"/>
      <c r="J265" s="1422"/>
      <c r="K265" s="1405"/>
      <c r="L265" s="1427"/>
      <c r="M265" s="1423"/>
      <c r="N265" s="1422"/>
      <c r="O265" s="1423"/>
      <c r="P265" s="1423"/>
      <c r="Q265" s="1423"/>
      <c r="R265" s="1422"/>
      <c r="S265" s="1423"/>
      <c r="T265" s="1423"/>
      <c r="U265" s="1423"/>
      <c r="V265" s="1422"/>
      <c r="W265" s="1422"/>
      <c r="X265" s="1422"/>
      <c r="Y265" s="1422"/>
      <c r="Z265" s="1422"/>
      <c r="AA265" s="1423"/>
      <c r="AB265" s="1423"/>
      <c r="AC265" s="1423"/>
      <c r="AD265" s="1422"/>
      <c r="AF265" s="1422"/>
      <c r="AG265" s="1422"/>
      <c r="AH265" s="1422"/>
      <c r="AI265" s="1484"/>
      <c r="AJ265" s="1484"/>
      <c r="AK265" s="1423"/>
      <c r="AL265" s="748"/>
    </row>
    <row r="266" spans="1:38">
      <c r="A266" s="728">
        <v>261</v>
      </c>
      <c r="B266" s="1478" t="s">
        <v>2660</v>
      </c>
      <c r="E266" s="1423">
        <f>'1501 Summary'!AD87</f>
        <v>-3274.0999999999995</v>
      </c>
      <c r="F266" s="1423"/>
      <c r="G266" s="1423"/>
      <c r="H266" s="1423"/>
      <c r="I266" s="1423"/>
      <c r="J266" s="1423"/>
      <c r="K266" s="1405"/>
      <c r="L266" s="1427"/>
      <c r="M266" s="1423"/>
      <c r="N266" s="1423"/>
      <c r="O266" s="1423"/>
      <c r="P266" s="1423"/>
      <c r="Q266" s="1423"/>
      <c r="R266" s="1423"/>
      <c r="S266" s="1423"/>
      <c r="T266" s="1423"/>
      <c r="U266" s="1423"/>
      <c r="V266" s="1423"/>
      <c r="W266" s="1423"/>
      <c r="X266" s="1423"/>
      <c r="Y266" s="1423"/>
      <c r="Z266" s="1423"/>
      <c r="AD266" s="1423"/>
      <c r="AF266" s="1423"/>
      <c r="AG266" s="1423"/>
      <c r="AH266" s="1423"/>
      <c r="AL266" s="748"/>
    </row>
    <row r="267" spans="1:38">
      <c r="A267" s="728">
        <v>262</v>
      </c>
      <c r="B267" s="727" t="s">
        <v>2661</v>
      </c>
      <c r="C267" s="1475"/>
      <c r="E267" s="1423">
        <f>'1501 Summary'!AD88</f>
        <v>64837.789999999994</v>
      </c>
      <c r="F267" s="1422"/>
      <c r="G267" s="1422"/>
      <c r="H267" s="1422"/>
      <c r="I267" s="1422"/>
      <c r="J267" s="1422"/>
      <c r="K267" s="1405"/>
      <c r="L267" s="1427"/>
      <c r="M267" s="1423"/>
      <c r="N267" s="1422"/>
      <c r="O267" s="1423"/>
      <c r="P267" s="1423"/>
      <c r="Q267" s="1423"/>
      <c r="R267" s="1422"/>
      <c r="S267" s="1423"/>
      <c r="T267" s="1423"/>
      <c r="U267" s="1423"/>
      <c r="V267" s="1422"/>
      <c r="W267" s="1422"/>
      <c r="X267" s="1422"/>
      <c r="Y267" s="1422"/>
      <c r="Z267" s="1422"/>
      <c r="AA267" s="1423"/>
      <c r="AB267" s="1423"/>
      <c r="AC267" s="1423"/>
      <c r="AD267" s="1422"/>
      <c r="AF267" s="1422"/>
      <c r="AG267" s="1422"/>
      <c r="AH267" s="1422"/>
      <c r="AI267" s="1484"/>
      <c r="AJ267" s="1484"/>
      <c r="AK267" s="1423"/>
      <c r="AL267" s="748"/>
    </row>
    <row r="268" spans="1:38">
      <c r="A268" s="728">
        <v>263</v>
      </c>
      <c r="B268" s="727" t="s">
        <v>54</v>
      </c>
      <c r="E268" s="1423">
        <f>'1501 Summary'!AD89</f>
        <v>0</v>
      </c>
      <c r="F268" s="1423"/>
      <c r="G268" s="1423"/>
      <c r="H268" s="1423"/>
      <c r="I268" s="1423"/>
      <c r="J268" s="1423"/>
      <c r="K268" s="1405"/>
      <c r="L268" s="1427"/>
      <c r="M268" s="1423"/>
      <c r="N268" s="1423"/>
      <c r="O268" s="1423"/>
      <c r="P268" s="1423"/>
      <c r="Q268" s="1423"/>
      <c r="R268" s="1423"/>
      <c r="S268" s="1423"/>
      <c r="T268" s="1423"/>
      <c r="U268" s="1423"/>
      <c r="V268" s="1423"/>
      <c r="W268" s="1423"/>
      <c r="X268" s="1423"/>
      <c r="Y268" s="1423"/>
      <c r="Z268" s="1423"/>
      <c r="AD268" s="1423"/>
      <c r="AF268" s="1423"/>
      <c r="AG268" s="1423"/>
      <c r="AH268" s="1423"/>
      <c r="AL268" s="748"/>
    </row>
    <row r="269" spans="1:38">
      <c r="A269" s="728">
        <v>264</v>
      </c>
      <c r="B269" s="727" t="s">
        <v>2666</v>
      </c>
      <c r="C269" s="1475"/>
      <c r="E269" s="1423">
        <f>'Revenue Reconcilliation'!Q54</f>
        <v>0</v>
      </c>
      <c r="F269" s="1422"/>
      <c r="G269" s="1422"/>
      <c r="H269" s="1422"/>
      <c r="I269" s="1422"/>
      <c r="J269" s="1422"/>
      <c r="K269" s="1405"/>
      <c r="L269" s="1427"/>
      <c r="M269" s="1423"/>
      <c r="N269" s="1422"/>
      <c r="O269" s="1423"/>
      <c r="P269" s="1423"/>
      <c r="Q269" s="1423"/>
      <c r="R269" s="1422"/>
      <c r="S269" s="1423"/>
      <c r="T269" s="1423"/>
      <c r="U269" s="1423"/>
      <c r="V269" s="1422"/>
      <c r="W269" s="1422"/>
      <c r="X269" s="1422"/>
      <c r="Y269" s="1422"/>
      <c r="Z269" s="1422"/>
      <c r="AA269" s="1423"/>
      <c r="AB269" s="1423"/>
      <c r="AC269" s="1423"/>
      <c r="AD269" s="1422"/>
      <c r="AF269" s="1422"/>
      <c r="AG269" s="1422"/>
      <c r="AH269" s="1422"/>
      <c r="AI269" s="1484"/>
      <c r="AJ269" s="1484"/>
      <c r="AK269" s="1423"/>
      <c r="AL269" s="748"/>
    </row>
    <row r="270" spans="1:38">
      <c r="A270" s="728">
        <v>265</v>
      </c>
      <c r="B270" s="727" t="s">
        <v>2667</v>
      </c>
      <c r="E270" s="1423">
        <f>'Revenue Reconcilliation'!Q55</f>
        <v>0</v>
      </c>
      <c r="F270" s="1423"/>
      <c r="G270" s="1423"/>
      <c r="H270" s="1423"/>
      <c r="I270" s="1423"/>
      <c r="J270" s="1423"/>
      <c r="K270" s="1405"/>
      <c r="L270" s="1427"/>
      <c r="M270" s="1423"/>
      <c r="N270" s="1423"/>
      <c r="O270" s="1423"/>
      <c r="P270" s="1423"/>
      <c r="Q270" s="1423"/>
      <c r="R270" s="1423"/>
      <c r="S270" s="1423"/>
      <c r="T270" s="1423"/>
      <c r="U270" s="1423"/>
      <c r="V270" s="1423"/>
      <c r="W270" s="1423"/>
      <c r="X270" s="1423"/>
      <c r="Y270" s="1423"/>
      <c r="Z270" s="1423"/>
      <c r="AD270" s="1423"/>
      <c r="AF270" s="1423"/>
      <c r="AG270" s="1423"/>
      <c r="AH270" s="1423"/>
      <c r="AL270" s="748"/>
    </row>
    <row r="271" spans="1:38">
      <c r="A271" s="728">
        <v>266</v>
      </c>
      <c r="B271" s="727" t="s">
        <v>2668</v>
      </c>
      <c r="C271" s="1475"/>
      <c r="E271" s="1423">
        <f>'Revenue Reconcilliation'!Q56</f>
        <v>-230570.27000000002</v>
      </c>
      <c r="F271" s="1422"/>
      <c r="G271" s="1422"/>
      <c r="H271" s="1422"/>
      <c r="I271" s="1422"/>
      <c r="J271" s="1422"/>
      <c r="K271" s="1405"/>
      <c r="L271" s="1427"/>
      <c r="M271" s="1423"/>
      <c r="N271" s="1422"/>
      <c r="O271" s="1423"/>
      <c r="P271" s="1423"/>
      <c r="Q271" s="1423"/>
      <c r="R271" s="1422"/>
      <c r="S271" s="1423"/>
      <c r="T271" s="1423"/>
      <c r="U271" s="1423"/>
      <c r="V271" s="1422"/>
      <c r="W271" s="1422"/>
      <c r="X271" s="1422"/>
      <c r="Y271" s="1422"/>
      <c r="Z271" s="1422"/>
      <c r="AA271" s="1423"/>
      <c r="AB271" s="1423"/>
      <c r="AC271" s="1423"/>
      <c r="AD271" s="1422"/>
      <c r="AF271" s="1422"/>
      <c r="AG271" s="1422"/>
      <c r="AH271" s="1422"/>
      <c r="AI271" s="1484"/>
      <c r="AJ271" s="1484"/>
      <c r="AK271" s="1423"/>
      <c r="AL271" s="748"/>
    </row>
    <row r="272" spans="1:38">
      <c r="A272" s="728">
        <v>267</v>
      </c>
      <c r="B272" s="727" t="s">
        <v>2669</v>
      </c>
      <c r="E272" s="1423">
        <f>'Revenue Reconcilliation'!Q57</f>
        <v>0</v>
      </c>
      <c r="F272" s="1423"/>
      <c r="G272" s="1423"/>
      <c r="H272" s="1423"/>
      <c r="I272" s="1423"/>
      <c r="J272" s="1423"/>
      <c r="K272" s="1405"/>
      <c r="L272" s="1427"/>
      <c r="M272" s="1423"/>
      <c r="N272" s="1423"/>
      <c r="O272" s="1423"/>
      <c r="P272" s="1423"/>
      <c r="Q272" s="1423"/>
      <c r="R272" s="1423"/>
      <c r="S272" s="1423"/>
      <c r="T272" s="1423"/>
      <c r="U272" s="1423"/>
      <c r="V272" s="1423"/>
      <c r="W272" s="1423"/>
      <c r="X272" s="1423"/>
      <c r="Y272" s="1423"/>
      <c r="Z272" s="1423"/>
      <c r="AD272" s="1423"/>
      <c r="AF272" s="1423"/>
      <c r="AG272" s="1423"/>
      <c r="AH272" s="1423"/>
      <c r="AL272" s="748"/>
    </row>
    <row r="273" spans="1:38">
      <c r="A273" s="728">
        <v>268</v>
      </c>
      <c r="B273" s="727" t="s">
        <v>2670</v>
      </c>
      <c r="C273" s="1475"/>
      <c r="E273" s="1423">
        <f>'Revenue Reconcilliation'!Q58</f>
        <v>0</v>
      </c>
      <c r="F273" s="1422"/>
      <c r="G273" s="1422"/>
      <c r="H273" s="1422"/>
      <c r="I273" s="1422"/>
      <c r="J273" s="1422"/>
      <c r="K273" s="1405"/>
      <c r="L273" s="1427"/>
      <c r="M273" s="1423"/>
      <c r="N273" s="1422"/>
      <c r="O273" s="1423"/>
      <c r="P273" s="1423"/>
      <c r="Q273" s="1423"/>
      <c r="R273" s="1422"/>
      <c r="S273" s="1423"/>
      <c r="T273" s="1423"/>
      <c r="U273" s="1423"/>
      <c r="V273" s="1422"/>
      <c r="W273" s="1422"/>
      <c r="X273" s="1422"/>
      <c r="Y273" s="1422"/>
      <c r="Z273" s="1422"/>
      <c r="AA273" s="1423"/>
      <c r="AB273" s="1423"/>
      <c r="AC273" s="1423"/>
      <c r="AD273" s="1422"/>
      <c r="AF273" s="1422"/>
      <c r="AG273" s="1422"/>
      <c r="AH273" s="1422"/>
      <c r="AI273" s="1484"/>
      <c r="AJ273" s="1484"/>
      <c r="AK273" s="1423"/>
      <c r="AL273" s="748"/>
    </row>
    <row r="274" spans="1:38">
      <c r="A274" s="728">
        <v>269</v>
      </c>
      <c r="B274" s="1482" t="s">
        <v>2451</v>
      </c>
      <c r="E274" s="1423">
        <f>'Revenue Reconcilliation'!Q59</f>
        <v>0</v>
      </c>
      <c r="F274" s="1423"/>
      <c r="G274" s="1423"/>
      <c r="H274" s="1423"/>
      <c r="I274" s="1423"/>
      <c r="J274" s="1423"/>
      <c r="K274" s="1405"/>
      <c r="L274" s="1427"/>
      <c r="M274" s="1423"/>
      <c r="N274" s="1423"/>
      <c r="O274" s="1423"/>
      <c r="P274" s="1423"/>
      <c r="Q274" s="1423"/>
      <c r="R274" s="1423"/>
      <c r="S274" s="1423"/>
      <c r="T274" s="1423"/>
      <c r="U274" s="1423"/>
      <c r="V274" s="1423"/>
      <c r="W274" s="1423"/>
      <c r="X274" s="1423"/>
      <c r="Y274" s="1423"/>
      <c r="Z274" s="1423"/>
      <c r="AD274" s="1423"/>
      <c r="AF274" s="1423"/>
      <c r="AG274" s="1423"/>
      <c r="AH274" s="1423"/>
      <c r="AL274" s="748"/>
    </row>
    <row r="275" spans="1:38">
      <c r="A275" s="728">
        <v>270</v>
      </c>
      <c r="B275" s="1482" t="s">
        <v>2697</v>
      </c>
      <c r="C275" s="1475"/>
      <c r="E275" s="1423">
        <f>'Revenue Reconcilliation'!Q60</f>
        <v>-1722887.51</v>
      </c>
      <c r="F275" s="1422"/>
      <c r="G275" s="1422"/>
      <c r="H275" s="1422"/>
      <c r="I275" s="1422"/>
      <c r="J275" s="1422"/>
      <c r="K275" s="1405"/>
      <c r="L275" s="1427"/>
      <c r="M275" s="1423"/>
      <c r="N275" s="1422"/>
      <c r="O275" s="1423"/>
      <c r="P275" s="1423"/>
      <c r="Q275" s="1423"/>
      <c r="R275" s="1422"/>
      <c r="S275" s="1423"/>
      <c r="T275" s="1423"/>
      <c r="U275" s="1423"/>
      <c r="V275" s="1422"/>
      <c r="W275" s="1422"/>
      <c r="X275" s="1422"/>
      <c r="Y275" s="1422"/>
      <c r="Z275" s="1422"/>
      <c r="AA275" s="1423"/>
      <c r="AB275" s="1423"/>
      <c r="AC275" s="1423"/>
      <c r="AD275" s="1422"/>
      <c r="AF275" s="1422"/>
      <c r="AG275" s="1422"/>
      <c r="AH275" s="1422"/>
      <c r="AI275" s="1484"/>
      <c r="AJ275" s="1484"/>
      <c r="AK275" s="1423"/>
      <c r="AL275" s="748"/>
    </row>
    <row r="276" spans="1:38">
      <c r="A276" s="728">
        <v>271</v>
      </c>
      <c r="B276" s="1482" t="s">
        <v>2698</v>
      </c>
      <c r="E276" s="1437">
        <f>'Revenue Reconcilliation'!Q61</f>
        <v>2813362.21</v>
      </c>
      <c r="F276" s="1423"/>
      <c r="G276" s="1423"/>
      <c r="H276" s="1423"/>
      <c r="I276" s="1423"/>
      <c r="J276" s="1423"/>
      <c r="K276" s="1405"/>
      <c r="L276" s="1427"/>
      <c r="M276" s="1423"/>
      <c r="N276" s="1423"/>
      <c r="O276" s="1423"/>
      <c r="P276" s="1423"/>
      <c r="Q276" s="1423"/>
      <c r="R276" s="1423"/>
      <c r="S276" s="1423"/>
      <c r="T276" s="1423"/>
      <c r="U276" s="1423"/>
      <c r="V276" s="1423"/>
      <c r="W276" s="1423"/>
      <c r="X276" s="1423"/>
      <c r="Y276" s="1423"/>
      <c r="Z276" s="1423"/>
      <c r="AD276" s="1423"/>
      <c r="AF276" s="1423"/>
      <c r="AG276" s="1423"/>
      <c r="AH276" s="1423"/>
      <c r="AL276" s="748"/>
    </row>
    <row r="277" spans="1:38">
      <c r="A277" s="728">
        <v>272</v>
      </c>
      <c r="B277" s="727" t="s">
        <v>2678</v>
      </c>
      <c r="C277" s="1475"/>
      <c r="E277" s="1423">
        <f>SUM(E258:E276)</f>
        <v>1222920.6599999999</v>
      </c>
      <c r="F277" s="1422"/>
      <c r="G277" s="1422"/>
      <c r="H277" s="1422"/>
      <c r="I277" s="1422"/>
      <c r="J277" s="1422"/>
      <c r="K277" s="1405"/>
      <c r="L277" s="1427"/>
      <c r="M277" s="1423"/>
      <c r="N277" s="1422"/>
      <c r="O277" s="1423"/>
      <c r="P277" s="1423"/>
      <c r="Q277" s="1423"/>
      <c r="R277" s="1422"/>
      <c r="S277" s="1423"/>
      <c r="T277" s="1423"/>
      <c r="U277" s="1423"/>
      <c r="V277" s="1422"/>
      <c r="W277" s="1422"/>
      <c r="X277" s="1422"/>
      <c r="Y277" s="1422"/>
      <c r="Z277" s="1422"/>
      <c r="AA277" s="1423"/>
      <c r="AB277" s="1423"/>
      <c r="AC277" s="1423"/>
      <c r="AD277" s="1422"/>
      <c r="AF277" s="1422"/>
      <c r="AG277" s="1422"/>
      <c r="AH277" s="1422"/>
      <c r="AI277" s="1484"/>
      <c r="AJ277" s="1484"/>
      <c r="AK277" s="1423"/>
      <c r="AL277" s="748"/>
    </row>
    <row r="278" spans="1:38">
      <c r="A278" s="728">
        <v>273</v>
      </c>
      <c r="E278" s="1423"/>
      <c r="F278" s="1423"/>
      <c r="G278" s="1423"/>
      <c r="H278" s="1423"/>
      <c r="I278" s="1423"/>
      <c r="J278" s="1423"/>
      <c r="K278" s="1405"/>
      <c r="L278" s="1427"/>
      <c r="M278" s="1423"/>
      <c r="N278" s="1423"/>
      <c r="O278" s="1423"/>
      <c r="P278" s="1423"/>
      <c r="Q278" s="1423"/>
      <c r="R278" s="1423"/>
      <c r="S278" s="1423"/>
      <c r="T278" s="1423"/>
      <c r="U278" s="1423"/>
      <c r="V278" s="1423"/>
      <c r="W278" s="1423"/>
      <c r="X278" s="1423"/>
      <c r="Y278" s="1423"/>
      <c r="Z278" s="1423"/>
      <c r="AD278" s="1423"/>
      <c r="AF278" s="1423"/>
      <c r="AG278" s="1423"/>
      <c r="AH278" s="1423"/>
      <c r="AL278" s="748"/>
    </row>
    <row r="279" spans="1:38">
      <c r="A279" s="728">
        <v>274</v>
      </c>
      <c r="B279" s="1444" t="s">
        <v>2707</v>
      </c>
      <c r="C279" s="1422">
        <f>E279-'Revenue Reconcilliation'!Q62</f>
        <v>0</v>
      </c>
      <c r="D279" s="1404" t="s">
        <v>2673</v>
      </c>
      <c r="E279" s="1423">
        <f>SUM(E253,E255,E277)</f>
        <v>2586845.3899999997</v>
      </c>
      <c r="F279" s="1422"/>
      <c r="G279" s="1422"/>
      <c r="H279" s="1422"/>
      <c r="I279" s="1422"/>
      <c r="J279" s="1422"/>
      <c r="K279" s="1405"/>
      <c r="L279" s="1427"/>
      <c r="M279" s="1423"/>
      <c r="N279" s="1422"/>
      <c r="O279" s="1423"/>
      <c r="P279" s="1423"/>
      <c r="Q279" s="1423"/>
      <c r="R279" s="1422"/>
      <c r="S279" s="1423"/>
      <c r="T279" s="1423"/>
      <c r="U279" s="1423"/>
      <c r="V279" s="1422"/>
      <c r="W279" s="1422"/>
      <c r="X279" s="1422"/>
      <c r="Y279" s="1422"/>
      <c r="Z279" s="1422"/>
      <c r="AA279" s="1423"/>
      <c r="AB279" s="1423"/>
      <c r="AC279" s="1423"/>
      <c r="AD279" s="1422"/>
      <c r="AF279" s="1422"/>
      <c r="AG279" s="1422"/>
      <c r="AH279" s="1422"/>
      <c r="AI279" s="1484"/>
      <c r="AJ279" s="1484"/>
      <c r="AK279" s="1423"/>
      <c r="AL279" s="748"/>
    </row>
    <row r="280" spans="1:38">
      <c r="A280" s="728">
        <v>275</v>
      </c>
      <c r="E280" s="1423"/>
      <c r="F280" s="1423"/>
      <c r="G280" s="1423"/>
      <c r="H280" s="1423"/>
      <c r="I280" s="1423"/>
      <c r="J280" s="1423"/>
      <c r="K280" s="1405"/>
      <c r="L280" s="1427"/>
      <c r="M280" s="1423"/>
      <c r="N280" s="1423"/>
      <c r="O280" s="1423"/>
      <c r="P280" s="1423"/>
      <c r="Q280" s="1423"/>
      <c r="R280" s="1423"/>
      <c r="S280" s="1423"/>
      <c r="T280" s="1423"/>
      <c r="U280" s="1423"/>
      <c r="V280" s="1423"/>
      <c r="W280" s="1423"/>
      <c r="X280" s="1423"/>
      <c r="Y280" s="1423"/>
      <c r="Z280" s="1423"/>
      <c r="AD280" s="1423"/>
      <c r="AF280" s="1423"/>
      <c r="AG280" s="1423"/>
      <c r="AH280" s="1423"/>
      <c r="AL280" s="748"/>
    </row>
    <row r="281" spans="1:38">
      <c r="A281" s="728">
        <v>276</v>
      </c>
      <c r="B281" s="1420" t="s">
        <v>2708</v>
      </c>
      <c r="G281" s="1421"/>
      <c r="K281" s="1405"/>
      <c r="L281" s="1427"/>
      <c r="M281" s="1423"/>
      <c r="O281" s="1423"/>
      <c r="P281" s="1423"/>
      <c r="Q281" s="1423"/>
      <c r="S281" s="1423"/>
      <c r="T281" s="1423"/>
      <c r="U281" s="1423"/>
      <c r="AL281" s="748"/>
    </row>
    <row r="282" spans="1:38">
      <c r="A282" s="728">
        <v>277</v>
      </c>
      <c r="B282" s="727" t="s">
        <v>2462</v>
      </c>
      <c r="C282" s="1487">
        <f>E282/D282</f>
        <v>93</v>
      </c>
      <c r="D282" s="1422">
        <v>163</v>
      </c>
      <c r="E282" s="1488">
        <f>'1501 Summary'!AD199</f>
        <v>15159</v>
      </c>
      <c r="F282" s="1423"/>
      <c r="G282" s="1424"/>
      <c r="H282" s="1489"/>
      <c r="I282" s="1488"/>
      <c r="J282" s="1423"/>
      <c r="K282" s="1405">
        <f>C282+G282</f>
        <v>93</v>
      </c>
      <c r="L282" s="1422">
        <f>D282</f>
        <v>163</v>
      </c>
      <c r="M282" s="1423">
        <f>L282*K282</f>
        <v>15159</v>
      </c>
      <c r="N282" s="1423"/>
      <c r="O282" s="1405"/>
      <c r="P282" s="1423"/>
      <c r="Q282" s="1423"/>
      <c r="R282" s="1423"/>
      <c r="S282" s="1405">
        <f>'End of Period Calculations'!AB112</f>
        <v>96</v>
      </c>
      <c r="T282" s="1423">
        <f>S282*L282</f>
        <v>15648</v>
      </c>
      <c r="U282" s="1423">
        <f>T282-M282</f>
        <v>489</v>
      </c>
      <c r="V282" s="1423"/>
      <c r="W282" s="1423"/>
      <c r="X282" s="1423"/>
      <c r="Y282" s="1423"/>
      <c r="Z282" s="1423"/>
      <c r="AA282" s="1425"/>
      <c r="AB282" s="1425"/>
      <c r="AC282" s="1425"/>
      <c r="AD282" s="1423"/>
      <c r="AF282" s="1430">
        <v>0</v>
      </c>
      <c r="AG282" s="1422"/>
      <c r="AH282" s="1423"/>
      <c r="AI282" s="1430">
        <f>'Exh 18, Class Rates'!H49</f>
        <v>163</v>
      </c>
      <c r="AJ282" s="1425">
        <f>AI282*S282</f>
        <v>15648</v>
      </c>
      <c r="AK282" s="1425">
        <f>AJ282-T282</f>
        <v>0</v>
      </c>
      <c r="AL282" s="748"/>
    </row>
    <row r="283" spans="1:38">
      <c r="A283" s="728">
        <v>278</v>
      </c>
      <c r="B283" s="727" t="s">
        <v>2709</v>
      </c>
      <c r="C283" s="1405">
        <f>E283/D283</f>
        <v>1262436.7321089301</v>
      </c>
      <c r="D283" s="1361">
        <v>7.8950000000000006E-2</v>
      </c>
      <c r="E283" s="1488">
        <f>'1501 Summary'!AD200</f>
        <v>99669.380000000034</v>
      </c>
      <c r="F283" s="1423"/>
      <c r="G283" s="1424"/>
      <c r="H283" s="1489"/>
      <c r="I283" s="1423"/>
      <c r="J283" s="1423"/>
      <c r="K283" s="1405">
        <f>C283+G283</f>
        <v>1262436.7321089301</v>
      </c>
      <c r="L283" s="1427">
        <v>8.9639999999999997E-2</v>
      </c>
      <c r="M283" s="1423">
        <f>L283*K283</f>
        <v>113164.82866624449</v>
      </c>
      <c r="N283" s="1423"/>
      <c r="O283" s="1405"/>
      <c r="P283" s="1423"/>
      <c r="Q283" s="1423"/>
      <c r="R283" s="1423"/>
      <c r="S283" s="1405">
        <f>'End of Period Calculations'!AA112</f>
        <v>1301512.7114810457</v>
      </c>
      <c r="T283" s="1423">
        <f>S283*L283</f>
        <v>116667.59945716093</v>
      </c>
      <c r="U283" s="1423">
        <f>T283-M283</f>
        <v>3502.7707909164455</v>
      </c>
      <c r="V283" s="1423"/>
      <c r="W283" s="1423"/>
      <c r="X283" s="1423"/>
      <c r="Y283" s="1423"/>
      <c r="Z283" s="1423"/>
      <c r="AA283" s="1405">
        <f>+'End of Period Calculations'!AA112</f>
        <v>1301512.7114810457</v>
      </c>
      <c r="AB283" s="1428">
        <v>1.1900000000000001E-3</v>
      </c>
      <c r="AC283" s="1425">
        <f>AB283*AA283</f>
        <v>1548.8001266624444</v>
      </c>
      <c r="AD283" s="1423"/>
      <c r="AF283" s="1430">
        <v>0</v>
      </c>
      <c r="AG283" s="1422"/>
      <c r="AH283" s="1423"/>
      <c r="AI283" s="1428">
        <f>'Exh 18, Class Rates'!H50</f>
        <v>8.921976191142332E-2</v>
      </c>
      <c r="AJ283" s="1425">
        <f>AI283*S283</f>
        <v>116120.65424302989</v>
      </c>
      <c r="AK283" s="1425">
        <f>AJ283-T283</f>
        <v>-546.94521413104667</v>
      </c>
      <c r="AL283" s="748"/>
    </row>
    <row r="284" spans="1:38">
      <c r="A284" s="728">
        <v>279</v>
      </c>
      <c r="B284" s="1453" t="s">
        <v>2710</v>
      </c>
      <c r="C284" s="1405">
        <f>E284/D284</f>
        <v>1008044.4839857651</v>
      </c>
      <c r="D284" s="1361">
        <v>2.248E-2</v>
      </c>
      <c r="E284" s="1488">
        <f>'1501 Summary'!AD201</f>
        <v>22660.84</v>
      </c>
      <c r="F284" s="1423"/>
      <c r="G284" s="1424"/>
      <c r="H284" s="1489"/>
      <c r="I284" s="1423"/>
      <c r="J284" s="1423"/>
      <c r="K284" s="1405">
        <f>C284+G284</f>
        <v>1008044.4839857651</v>
      </c>
      <c r="L284" s="1427">
        <v>2.8170000000000001E-2</v>
      </c>
      <c r="M284" s="1437">
        <f>L284*K284</f>
        <v>28396.613113879004</v>
      </c>
      <c r="N284" s="1423"/>
      <c r="O284" s="1405"/>
      <c r="P284" s="1437"/>
      <c r="Q284" s="1437"/>
      <c r="R284" s="1423"/>
      <c r="S284" s="1405">
        <f>'End of Period Calculations'!AA113</f>
        <v>1032498.538383325</v>
      </c>
      <c r="T284" s="1437">
        <f>S284*L284</f>
        <v>29085.483826258267</v>
      </c>
      <c r="U284" s="1437">
        <f>T284-M284</f>
        <v>688.87071237926284</v>
      </c>
      <c r="V284" s="1423"/>
      <c r="W284" s="1423"/>
      <c r="X284" s="1423"/>
      <c r="Y284" s="1423"/>
      <c r="Z284" s="1423"/>
      <c r="AA284" s="1405">
        <f>+'End of Period Calculations'!AA113</f>
        <v>1032498.538383325</v>
      </c>
      <c r="AB284" s="1428">
        <v>1.1900000000000001E-3</v>
      </c>
      <c r="AC284" s="1440">
        <f>AB284*AA284</f>
        <v>1228.6732606761568</v>
      </c>
      <c r="AD284" s="1423"/>
      <c r="AF284" s="1490">
        <v>0</v>
      </c>
      <c r="AG284" s="1438"/>
      <c r="AH284" s="1423"/>
      <c r="AI284" s="1428">
        <f>'Exh 18, Class Rates'!H51</f>
        <v>2.8037937227184236E-2</v>
      </c>
      <c r="AJ284" s="1440">
        <f>AI284*S284</f>
        <v>28949.129206351139</v>
      </c>
      <c r="AK284" s="1440">
        <f>AJ284-T284</f>
        <v>-136.35461990712793</v>
      </c>
      <c r="AL284" s="748"/>
    </row>
    <row r="285" spans="1:38">
      <c r="A285" s="728">
        <v>280</v>
      </c>
      <c r="B285" s="727" t="s">
        <v>2648</v>
      </c>
      <c r="E285" s="1491">
        <f>SUM(E282:E284)</f>
        <v>137489.22000000003</v>
      </c>
      <c r="F285" s="1423"/>
      <c r="G285" s="1423"/>
      <c r="H285" s="1423"/>
      <c r="I285" s="1423"/>
      <c r="J285" s="1423"/>
      <c r="K285" s="1405"/>
      <c r="L285" s="1427"/>
      <c r="M285" s="1423">
        <f>SUM(M282:M284)</f>
        <v>156720.44178012348</v>
      </c>
      <c r="N285" s="1423"/>
      <c r="O285" s="1423"/>
      <c r="P285" s="1423"/>
      <c r="Q285" s="1423"/>
      <c r="R285" s="1423"/>
      <c r="S285" s="1423"/>
      <c r="T285" s="1423">
        <f>SUM(T282:T284)</f>
        <v>161401.0832834192</v>
      </c>
      <c r="U285" s="1423">
        <f>T285-M285</f>
        <v>4680.6415032957157</v>
      </c>
      <c r="V285" s="1423"/>
      <c r="W285" s="1423"/>
      <c r="X285" s="1423"/>
      <c r="Y285" s="1423"/>
      <c r="Z285" s="1423"/>
      <c r="AA285" s="1425"/>
      <c r="AB285" s="1425"/>
      <c r="AC285" s="1425">
        <f>SUM(AC283:AC284)</f>
        <v>2777.4733873386012</v>
      </c>
      <c r="AD285" s="1423"/>
      <c r="AF285" s="1423">
        <v>0</v>
      </c>
      <c r="AG285" s="1423"/>
      <c r="AH285" s="1423"/>
      <c r="AJ285" s="1425">
        <f>SUM(AJ282:AJ284)</f>
        <v>160717.78344938104</v>
      </c>
      <c r="AK285" s="1425">
        <f>SUM(AK282:AK284)</f>
        <v>-683.29983403817459</v>
      </c>
      <c r="AL285" s="748"/>
    </row>
    <row r="286" spans="1:38">
      <c r="A286" s="728">
        <v>281</v>
      </c>
      <c r="E286" s="1488"/>
      <c r="K286" s="1405"/>
      <c r="L286" s="1427"/>
      <c r="M286" s="1423"/>
      <c r="O286" s="1423"/>
      <c r="P286" s="1423"/>
      <c r="Q286" s="1423"/>
      <c r="S286" s="1423"/>
      <c r="T286" s="1423"/>
      <c r="U286" s="1423"/>
      <c r="AL286" s="748"/>
    </row>
    <row r="287" spans="1:38">
      <c r="A287" s="728">
        <v>282</v>
      </c>
      <c r="B287" s="727" t="s">
        <v>2650</v>
      </c>
      <c r="E287" s="1488">
        <f>'1501 Summary'!AD202</f>
        <v>922163.82000000007</v>
      </c>
      <c r="F287" s="1423"/>
      <c r="G287" s="1423"/>
      <c r="H287" s="1423"/>
      <c r="I287" s="1423"/>
      <c r="J287" s="1423"/>
      <c r="K287" s="1405"/>
      <c r="L287" s="1427"/>
      <c r="M287" s="1423"/>
      <c r="N287" s="1423"/>
      <c r="O287" s="1423"/>
      <c r="P287" s="1423"/>
      <c r="Q287" s="1423"/>
      <c r="R287" s="1423"/>
      <c r="S287" s="1423"/>
      <c r="T287" s="1423"/>
      <c r="U287" s="1423"/>
      <c r="V287" s="1423"/>
      <c r="W287" s="1423"/>
      <c r="X287" s="1423"/>
      <c r="Y287" s="1423"/>
      <c r="Z287" s="1423"/>
      <c r="AD287" s="1423"/>
      <c r="AF287" s="1423"/>
      <c r="AG287" s="1423"/>
      <c r="AH287" s="1423"/>
      <c r="AL287" s="748"/>
    </row>
    <row r="288" spans="1:38">
      <c r="A288" s="728">
        <v>283</v>
      </c>
      <c r="E288" s="1488"/>
      <c r="K288" s="1405"/>
      <c r="L288" s="1427"/>
      <c r="M288" s="1423"/>
      <c r="O288" s="1423"/>
      <c r="P288" s="1423"/>
      <c r="Q288" s="1423"/>
      <c r="S288" s="1423"/>
      <c r="T288" s="1423"/>
      <c r="U288" s="1423"/>
      <c r="AL288" s="748"/>
    </row>
    <row r="289" spans="1:38">
      <c r="A289" s="728">
        <v>284</v>
      </c>
      <c r="B289" s="727" t="s">
        <v>2651</v>
      </c>
      <c r="E289" s="1488"/>
      <c r="K289" s="1405"/>
      <c r="L289" s="1427"/>
      <c r="M289" s="1423"/>
      <c r="O289" s="1423"/>
      <c r="P289" s="1423"/>
      <c r="Q289" s="1423"/>
      <c r="S289" s="1423"/>
      <c r="T289" s="1423"/>
      <c r="U289" s="1423"/>
      <c r="AL289" s="748"/>
    </row>
    <row r="290" spans="1:38">
      <c r="A290" s="728">
        <v>285</v>
      </c>
      <c r="B290" s="727" t="s">
        <v>2652</v>
      </c>
      <c r="E290" s="1488">
        <f>'1501 Summary'!AD203</f>
        <v>107500.48999999999</v>
      </c>
      <c r="K290" s="1405"/>
      <c r="L290" s="1427"/>
      <c r="M290" s="1423"/>
      <c r="O290" s="1423"/>
      <c r="P290" s="1423"/>
      <c r="Q290" s="1423"/>
      <c r="S290" s="1423"/>
      <c r="T290" s="1423"/>
      <c r="U290" s="1423"/>
      <c r="AL290" s="748"/>
    </row>
    <row r="291" spans="1:38">
      <c r="A291" s="728">
        <v>286</v>
      </c>
      <c r="B291" s="727" t="s">
        <v>2653</v>
      </c>
      <c r="E291" s="1488">
        <f>'1501 Summary'!AD204</f>
        <v>1155.6599999999999</v>
      </c>
      <c r="F291" s="1423"/>
      <c r="G291" s="1423"/>
      <c r="H291" s="1423"/>
      <c r="I291" s="1423"/>
      <c r="J291" s="1423"/>
      <c r="K291" s="1405"/>
      <c r="L291" s="1427"/>
      <c r="M291" s="1423"/>
      <c r="N291" s="1423"/>
      <c r="O291" s="1423"/>
      <c r="P291" s="1423"/>
      <c r="Q291" s="1423"/>
      <c r="R291" s="1423"/>
      <c r="S291" s="1423"/>
      <c r="T291" s="1423"/>
      <c r="U291" s="1423"/>
      <c r="V291" s="1423"/>
      <c r="W291" s="1423"/>
      <c r="X291" s="1423"/>
      <c r="Y291" s="1423"/>
      <c r="Z291" s="1423"/>
      <c r="AD291" s="1423"/>
      <c r="AF291" s="1423"/>
      <c r="AG291" s="1423"/>
      <c r="AH291" s="1423"/>
      <c r="AI291" s="727"/>
      <c r="AJ291" s="727"/>
      <c r="AL291" s="748"/>
    </row>
    <row r="292" spans="1:38">
      <c r="A292" s="728">
        <v>287</v>
      </c>
      <c r="B292" s="727" t="s">
        <v>2654</v>
      </c>
      <c r="E292" s="1488">
        <f>'1501 Summary'!AD205</f>
        <v>8166.31</v>
      </c>
      <c r="F292" s="1423"/>
      <c r="G292" s="1423"/>
      <c r="H292" s="1423"/>
      <c r="I292" s="1423"/>
      <c r="J292" s="1423"/>
      <c r="K292" s="1405"/>
      <c r="L292" s="1427"/>
      <c r="M292" s="1423"/>
      <c r="N292" s="1423"/>
      <c r="O292" s="1423"/>
      <c r="P292" s="1423"/>
      <c r="Q292" s="1423"/>
      <c r="R292" s="1423"/>
      <c r="S292" s="1423"/>
      <c r="T292" s="1423"/>
      <c r="U292" s="1423"/>
      <c r="V292" s="1423"/>
      <c r="W292" s="1423"/>
      <c r="X292" s="1423"/>
      <c r="Y292" s="1423"/>
      <c r="Z292" s="1423"/>
      <c r="AD292" s="1423"/>
      <c r="AF292" s="1423"/>
      <c r="AG292" s="1423"/>
      <c r="AH292" s="1423"/>
      <c r="AI292" s="727"/>
      <c r="AJ292" s="727"/>
      <c r="AL292" s="748"/>
    </row>
    <row r="293" spans="1:38">
      <c r="A293" s="728">
        <v>288</v>
      </c>
      <c r="B293" s="727" t="s">
        <v>2655</v>
      </c>
      <c r="E293" s="1488">
        <f>'1501 Summary'!AD206</f>
        <v>19710.559999999998</v>
      </c>
      <c r="F293" s="1423"/>
      <c r="G293" s="1423"/>
      <c r="H293" s="1423"/>
      <c r="I293" s="1423"/>
      <c r="J293" s="1423"/>
      <c r="K293" s="1405"/>
      <c r="L293" s="1427"/>
      <c r="M293" s="1423"/>
      <c r="N293" s="1423"/>
      <c r="O293" s="1423"/>
      <c r="P293" s="1423"/>
      <c r="Q293" s="1423"/>
      <c r="R293" s="1423"/>
      <c r="S293" s="1423"/>
      <c r="T293" s="1423"/>
      <c r="U293" s="1423"/>
      <c r="V293" s="1423"/>
      <c r="W293" s="1423"/>
      <c r="X293" s="1423"/>
      <c r="Y293" s="1423"/>
      <c r="Z293" s="1423"/>
      <c r="AD293" s="1423"/>
      <c r="AF293" s="1423"/>
      <c r="AG293" s="1423"/>
      <c r="AH293" s="1423"/>
      <c r="AI293" s="727"/>
      <c r="AJ293" s="727"/>
      <c r="AL293" s="748"/>
    </row>
    <row r="294" spans="1:38">
      <c r="A294" s="728">
        <v>289</v>
      </c>
      <c r="B294" s="727" t="s">
        <v>2656</v>
      </c>
      <c r="E294" s="1488">
        <f>'1501 Summary'!AD207</f>
        <v>15791.570000000002</v>
      </c>
      <c r="F294" s="1423"/>
      <c r="G294" s="1423"/>
      <c r="H294" s="1423"/>
      <c r="I294" s="1423"/>
      <c r="J294" s="1423"/>
      <c r="K294" s="1405"/>
      <c r="L294" s="1427"/>
      <c r="M294" s="1423"/>
      <c r="N294" s="1423"/>
      <c r="O294" s="1423"/>
      <c r="P294" s="1423"/>
      <c r="Q294" s="1423"/>
      <c r="R294" s="1423"/>
      <c r="S294" s="1423"/>
      <c r="T294" s="1423"/>
      <c r="U294" s="1423"/>
      <c r="V294" s="1423"/>
      <c r="W294" s="1423"/>
      <c r="X294" s="1423"/>
      <c r="Y294" s="1423"/>
      <c r="Z294" s="1423"/>
      <c r="AD294" s="1423"/>
      <c r="AF294" s="1423"/>
      <c r="AG294" s="1423"/>
      <c r="AH294" s="1423"/>
      <c r="AI294" s="727"/>
      <c r="AJ294" s="727"/>
      <c r="AL294" s="748"/>
    </row>
    <row r="295" spans="1:38">
      <c r="A295" s="728">
        <v>290</v>
      </c>
      <c r="B295" s="727" t="s">
        <v>2657</v>
      </c>
      <c r="E295" s="1488">
        <f>'1501 Summary'!AD208</f>
        <v>62243.55000000001</v>
      </c>
      <c r="F295" s="1423"/>
      <c r="G295" s="1423"/>
      <c r="H295" s="1423"/>
      <c r="I295" s="1423"/>
      <c r="J295" s="1423"/>
      <c r="K295" s="1405"/>
      <c r="L295" s="1427"/>
      <c r="M295" s="1423"/>
      <c r="N295" s="1423"/>
      <c r="O295" s="1423"/>
      <c r="P295" s="1423"/>
      <c r="Q295" s="1423"/>
      <c r="R295" s="1423"/>
      <c r="S295" s="1423"/>
      <c r="T295" s="1423"/>
      <c r="U295" s="1423"/>
      <c r="V295" s="1423"/>
      <c r="W295" s="1423"/>
      <c r="X295" s="1423"/>
      <c r="Y295" s="1423"/>
      <c r="Z295" s="1423"/>
      <c r="AD295" s="1423"/>
      <c r="AF295" s="1423"/>
      <c r="AG295" s="1423"/>
      <c r="AH295" s="1423"/>
      <c r="AI295" s="727"/>
      <c r="AJ295" s="727"/>
      <c r="AL295" s="748"/>
    </row>
    <row r="296" spans="1:38">
      <c r="A296" s="728">
        <v>291</v>
      </c>
      <c r="B296" s="727" t="s">
        <v>2658</v>
      </c>
      <c r="E296" s="1488">
        <f>'1501 Summary'!AD209</f>
        <v>-2436.6400000000003</v>
      </c>
      <c r="F296" s="1423"/>
      <c r="G296" s="1423"/>
      <c r="H296" s="1423"/>
      <c r="I296" s="1423"/>
      <c r="J296" s="1423"/>
      <c r="K296" s="1405"/>
      <c r="L296" s="1427"/>
      <c r="M296" s="1423"/>
      <c r="N296" s="1423"/>
      <c r="O296" s="1423"/>
      <c r="P296" s="1423"/>
      <c r="Q296" s="1423"/>
      <c r="R296" s="1423"/>
      <c r="S296" s="1423"/>
      <c r="T296" s="1423"/>
      <c r="U296" s="1423"/>
      <c r="V296" s="1423"/>
      <c r="W296" s="1423"/>
      <c r="X296" s="1423"/>
      <c r="Y296" s="1423"/>
      <c r="Z296" s="1423"/>
      <c r="AD296" s="1423"/>
      <c r="AF296" s="1423"/>
      <c r="AG296" s="1423"/>
      <c r="AH296" s="1423"/>
      <c r="AI296" s="727"/>
      <c r="AJ296" s="727"/>
      <c r="AL296" s="748"/>
    </row>
    <row r="297" spans="1:38">
      <c r="A297" s="728">
        <v>292</v>
      </c>
      <c r="B297" s="727" t="s">
        <v>2659</v>
      </c>
      <c r="E297" s="1488">
        <f>'1501 Summary'!AD210</f>
        <v>-1101.2900000000002</v>
      </c>
      <c r="F297" s="1423"/>
      <c r="G297" s="1423"/>
      <c r="H297" s="1423"/>
      <c r="I297" s="1423"/>
      <c r="J297" s="1423"/>
      <c r="K297" s="1405"/>
      <c r="L297" s="1427"/>
      <c r="M297" s="1423"/>
      <c r="N297" s="1423"/>
      <c r="O297" s="1423"/>
      <c r="P297" s="1423"/>
      <c r="Q297" s="1423"/>
      <c r="R297" s="1423"/>
      <c r="S297" s="1423"/>
      <c r="T297" s="1423"/>
      <c r="U297" s="1423"/>
      <c r="V297" s="1423"/>
      <c r="W297" s="1423"/>
      <c r="X297" s="1423"/>
      <c r="Y297" s="1423"/>
      <c r="Z297" s="1423"/>
      <c r="AD297" s="1423"/>
      <c r="AF297" s="1423"/>
      <c r="AG297" s="1423"/>
      <c r="AH297" s="1423"/>
      <c r="AI297" s="727"/>
      <c r="AJ297" s="727"/>
      <c r="AL297" s="748"/>
    </row>
    <row r="298" spans="1:38">
      <c r="A298" s="728">
        <v>293</v>
      </c>
      <c r="B298" s="727" t="s">
        <v>2660</v>
      </c>
      <c r="E298" s="1488">
        <f>'1501 Summary'!AD211</f>
        <v>-1836.2099999999998</v>
      </c>
      <c r="F298" s="1423"/>
      <c r="G298" s="1423"/>
      <c r="H298" s="1423"/>
      <c r="I298" s="1423"/>
      <c r="J298" s="1423"/>
      <c r="K298" s="1405"/>
      <c r="L298" s="1427"/>
      <c r="M298" s="1423"/>
      <c r="N298" s="1423"/>
      <c r="O298" s="1423"/>
      <c r="P298" s="1423"/>
      <c r="Q298" s="1423"/>
      <c r="R298" s="1423"/>
      <c r="S298" s="1423"/>
      <c r="T298" s="1423"/>
      <c r="U298" s="1423"/>
      <c r="V298" s="1423"/>
      <c r="W298" s="1423"/>
      <c r="X298" s="1423"/>
      <c r="Y298" s="1423"/>
      <c r="Z298" s="1423"/>
      <c r="AD298" s="1423"/>
      <c r="AF298" s="1423"/>
      <c r="AG298" s="1423"/>
      <c r="AH298" s="1423"/>
      <c r="AI298" s="727"/>
      <c r="AJ298" s="727"/>
      <c r="AL298" s="748"/>
    </row>
    <row r="299" spans="1:38">
      <c r="A299" s="728">
        <v>294</v>
      </c>
      <c r="B299" s="727" t="s">
        <v>2661</v>
      </c>
      <c r="E299" s="1488">
        <f>'1501 Summary'!AD212</f>
        <v>18554.189999999999</v>
      </c>
      <c r="F299" s="1423"/>
      <c r="G299" s="1423"/>
      <c r="H299" s="1423"/>
      <c r="I299" s="1423"/>
      <c r="J299" s="1423"/>
      <c r="K299" s="1405"/>
      <c r="L299" s="1427"/>
      <c r="M299" s="1423"/>
      <c r="N299" s="1423"/>
      <c r="O299" s="1423"/>
      <c r="P299" s="1423"/>
      <c r="Q299" s="1423"/>
      <c r="R299" s="1423"/>
      <c r="S299" s="1423"/>
      <c r="T299" s="1423"/>
      <c r="U299" s="1423"/>
      <c r="V299" s="1423"/>
      <c r="W299" s="1423"/>
      <c r="X299" s="1423"/>
      <c r="Y299" s="1423"/>
      <c r="Z299" s="1423"/>
      <c r="AD299" s="1423"/>
      <c r="AF299" s="1423"/>
      <c r="AG299" s="1423"/>
      <c r="AH299" s="1423"/>
      <c r="AI299" s="727"/>
      <c r="AJ299" s="727"/>
      <c r="AL299" s="748"/>
    </row>
    <row r="300" spans="1:38">
      <c r="A300" s="728">
        <v>295</v>
      </c>
      <c r="B300" s="1443" t="s">
        <v>2665</v>
      </c>
      <c r="E300" s="1488">
        <f>'1501 Summary'!AD213</f>
        <v>988.82</v>
      </c>
      <c r="F300" s="1423"/>
      <c r="G300" s="1423"/>
      <c r="H300" s="1423"/>
      <c r="I300" s="1423"/>
      <c r="J300" s="1423"/>
      <c r="K300" s="1405"/>
      <c r="L300" s="1427"/>
      <c r="M300" s="1423"/>
      <c r="N300" s="1423"/>
      <c r="O300" s="1423"/>
      <c r="P300" s="1423"/>
      <c r="Q300" s="1423"/>
      <c r="R300" s="1423"/>
      <c r="S300" s="1423"/>
      <c r="T300" s="1423"/>
      <c r="U300" s="1423"/>
      <c r="V300" s="1423"/>
      <c r="W300" s="1423"/>
      <c r="X300" s="1423"/>
      <c r="Y300" s="1423"/>
      <c r="Z300" s="1423"/>
      <c r="AD300" s="1423"/>
      <c r="AF300" s="1423"/>
      <c r="AG300" s="1423"/>
      <c r="AH300" s="1423"/>
      <c r="AI300" s="727"/>
      <c r="AJ300" s="727"/>
      <c r="AL300" s="748"/>
    </row>
    <row r="301" spans="1:38">
      <c r="A301" s="728">
        <v>296</v>
      </c>
      <c r="B301" s="1443" t="s">
        <v>2666</v>
      </c>
      <c r="C301" s="1443"/>
      <c r="E301" s="1488">
        <f>'Revenue Reconcilliation'!Q174</f>
        <v>0</v>
      </c>
      <c r="F301" s="1423"/>
      <c r="G301" s="1423"/>
      <c r="H301" s="1423"/>
      <c r="I301" s="1423"/>
      <c r="J301" s="1423"/>
      <c r="K301" s="1405"/>
      <c r="L301" s="1427"/>
      <c r="M301" s="1423"/>
      <c r="N301" s="1423"/>
      <c r="O301" s="1423"/>
      <c r="P301" s="1423"/>
      <c r="Q301" s="1423"/>
      <c r="R301" s="1423"/>
      <c r="S301" s="1423"/>
      <c r="T301" s="1423"/>
      <c r="U301" s="1423"/>
      <c r="V301" s="1423"/>
      <c r="W301" s="1423"/>
      <c r="X301" s="1423"/>
      <c r="Y301" s="1423"/>
      <c r="Z301" s="1423"/>
      <c r="AD301" s="1423"/>
      <c r="AF301" s="1423"/>
      <c r="AG301" s="1423"/>
      <c r="AH301" s="1423"/>
      <c r="AI301" s="727"/>
      <c r="AJ301" s="727"/>
      <c r="AL301" s="748"/>
    </row>
    <row r="302" spans="1:38">
      <c r="A302" s="728">
        <v>297</v>
      </c>
      <c r="B302" s="1443" t="s">
        <v>2667</v>
      </c>
      <c r="E302" s="1488">
        <f>'Revenue Reconcilliation'!Q175</f>
        <v>0</v>
      </c>
      <c r="F302" s="1423"/>
      <c r="G302" s="1423"/>
      <c r="H302" s="1423"/>
      <c r="I302" s="1423"/>
      <c r="J302" s="1423"/>
      <c r="K302" s="1405"/>
      <c r="L302" s="1427"/>
      <c r="M302" s="1423"/>
      <c r="N302" s="1423"/>
      <c r="O302" s="1423"/>
      <c r="P302" s="1423"/>
      <c r="Q302" s="1423"/>
      <c r="R302" s="1423"/>
      <c r="S302" s="1423"/>
      <c r="T302" s="1423"/>
      <c r="U302" s="1423"/>
      <c r="V302" s="1423"/>
      <c r="W302" s="1423"/>
      <c r="X302" s="1423"/>
      <c r="Y302" s="1423"/>
      <c r="Z302" s="1423"/>
      <c r="AD302" s="1423"/>
      <c r="AF302" s="1423"/>
      <c r="AG302" s="1423"/>
      <c r="AH302" s="1423"/>
      <c r="AI302" s="727"/>
      <c r="AJ302" s="727"/>
      <c r="AL302" s="748"/>
    </row>
    <row r="303" spans="1:38">
      <c r="A303" s="728">
        <v>298</v>
      </c>
      <c r="B303" s="1443" t="s">
        <v>2668</v>
      </c>
      <c r="E303" s="1488">
        <f>'Revenue Reconcilliation'!Q176</f>
        <v>20059.57</v>
      </c>
      <c r="F303" s="1423"/>
      <c r="G303" s="1423"/>
      <c r="H303" s="1423"/>
      <c r="I303" s="1423"/>
      <c r="J303" s="1423"/>
      <c r="K303" s="1405"/>
      <c r="L303" s="1427"/>
      <c r="M303" s="1423"/>
      <c r="N303" s="1423"/>
      <c r="O303" s="1423"/>
      <c r="P303" s="1423"/>
      <c r="Q303" s="1423"/>
      <c r="R303" s="1423"/>
      <c r="S303" s="1423"/>
      <c r="T303" s="1423"/>
      <c r="U303" s="1423"/>
      <c r="V303" s="1423"/>
      <c r="W303" s="1423"/>
      <c r="X303" s="1423"/>
      <c r="Y303" s="1423"/>
      <c r="Z303" s="1423"/>
      <c r="AD303" s="1423"/>
      <c r="AF303" s="1423"/>
      <c r="AG303" s="1423"/>
      <c r="AH303" s="1423"/>
      <c r="AI303" s="727"/>
      <c r="AJ303" s="727"/>
      <c r="AL303" s="748"/>
    </row>
    <row r="304" spans="1:38">
      <c r="A304" s="728">
        <v>299</v>
      </c>
      <c r="B304" s="1443" t="s">
        <v>2669</v>
      </c>
      <c r="E304" s="1488">
        <f>'Revenue Reconcilliation'!Q177</f>
        <v>-23706.05</v>
      </c>
      <c r="F304" s="1423"/>
      <c r="G304" s="1423"/>
      <c r="H304" s="1423"/>
      <c r="I304" s="1423"/>
      <c r="J304" s="1423"/>
      <c r="K304" s="1405"/>
      <c r="L304" s="1427"/>
      <c r="M304" s="1423"/>
      <c r="N304" s="1423"/>
      <c r="O304" s="1423"/>
      <c r="P304" s="1423"/>
      <c r="Q304" s="1423"/>
      <c r="R304" s="1423"/>
      <c r="S304" s="1423"/>
      <c r="T304" s="1423"/>
      <c r="U304" s="1423"/>
      <c r="V304" s="1423"/>
      <c r="W304" s="1423"/>
      <c r="X304" s="1423"/>
      <c r="Y304" s="1423"/>
      <c r="Z304" s="1423"/>
      <c r="AD304" s="1423"/>
      <c r="AF304" s="1423"/>
      <c r="AG304" s="1423"/>
      <c r="AH304" s="1423"/>
      <c r="AI304" s="727"/>
      <c r="AJ304" s="727"/>
      <c r="AL304" s="748"/>
    </row>
    <row r="305" spans="1:38">
      <c r="A305" s="728">
        <v>300</v>
      </c>
      <c r="B305" s="1443" t="s">
        <v>2670</v>
      </c>
      <c r="E305" s="1488">
        <f>'Revenue Reconcilliation'!Q178</f>
        <v>0</v>
      </c>
      <c r="F305" s="1423"/>
      <c r="G305" s="1423"/>
      <c r="H305" s="1423"/>
      <c r="I305" s="1423"/>
      <c r="J305" s="1423"/>
      <c r="K305" s="1405"/>
      <c r="L305" s="1427"/>
      <c r="M305" s="1423"/>
      <c r="N305" s="1423"/>
      <c r="O305" s="1423"/>
      <c r="P305" s="1423"/>
      <c r="Q305" s="1423"/>
      <c r="R305" s="1423"/>
      <c r="S305" s="1423"/>
      <c r="T305" s="1423"/>
      <c r="U305" s="1423"/>
      <c r="V305" s="1423"/>
      <c r="W305" s="1423"/>
      <c r="X305" s="1423"/>
      <c r="Y305" s="1423"/>
      <c r="Z305" s="1423"/>
      <c r="AD305" s="1423"/>
      <c r="AF305" s="1423"/>
      <c r="AG305" s="1423"/>
      <c r="AH305" s="1423"/>
      <c r="AI305" s="727"/>
      <c r="AJ305" s="727"/>
      <c r="AL305" s="748"/>
    </row>
    <row r="306" spans="1:38">
      <c r="A306" s="728">
        <v>301</v>
      </c>
      <c r="B306" s="1443" t="s">
        <v>54</v>
      </c>
      <c r="E306" s="1488">
        <f>'Revenue Reconcilliation'!Q179</f>
        <v>0</v>
      </c>
      <c r="F306" s="1423"/>
      <c r="G306" s="1423"/>
      <c r="H306" s="1423"/>
      <c r="I306" s="1423"/>
      <c r="J306" s="1423"/>
      <c r="K306" s="1405"/>
      <c r="L306" s="1427"/>
      <c r="M306" s="1423"/>
      <c r="N306" s="1423"/>
      <c r="O306" s="1423"/>
      <c r="P306" s="1423"/>
      <c r="Q306" s="1423"/>
      <c r="R306" s="1423"/>
      <c r="S306" s="1423"/>
      <c r="T306" s="1423"/>
      <c r="U306" s="1423"/>
      <c r="V306" s="1423"/>
      <c r="W306" s="1423"/>
      <c r="X306" s="1423"/>
      <c r="Y306" s="1423"/>
      <c r="Z306" s="1423"/>
      <c r="AD306" s="1423"/>
      <c r="AF306" s="1423"/>
      <c r="AG306" s="1423"/>
      <c r="AH306" s="1423"/>
      <c r="AI306" s="727"/>
      <c r="AJ306" s="727"/>
      <c r="AL306" s="748"/>
    </row>
    <row r="307" spans="1:38">
      <c r="A307" s="728">
        <v>302</v>
      </c>
      <c r="B307" s="1482" t="s">
        <v>2697</v>
      </c>
      <c r="E307" s="1488">
        <f>'Revenue Reconcilliation'!Q180</f>
        <v>-1287066.5</v>
      </c>
      <c r="F307" s="1423"/>
      <c r="G307" s="1423"/>
      <c r="H307" s="1423"/>
      <c r="I307" s="1423"/>
      <c r="J307" s="1423"/>
      <c r="K307" s="1405"/>
      <c r="L307" s="1427"/>
      <c r="M307" s="1423"/>
      <c r="N307" s="1423"/>
      <c r="O307" s="1423"/>
      <c r="P307" s="1423"/>
      <c r="Q307" s="1423"/>
      <c r="R307" s="1423"/>
      <c r="S307" s="1423"/>
      <c r="T307" s="1423"/>
      <c r="U307" s="1423"/>
      <c r="V307" s="1423"/>
      <c r="W307" s="1423"/>
      <c r="X307" s="1423"/>
      <c r="Y307" s="1423"/>
      <c r="Z307" s="1423"/>
      <c r="AD307" s="1423"/>
      <c r="AF307" s="1423"/>
      <c r="AG307" s="1423"/>
      <c r="AH307" s="1423"/>
      <c r="AI307" s="727"/>
      <c r="AJ307" s="727"/>
      <c r="AL307" s="748"/>
    </row>
    <row r="308" spans="1:38">
      <c r="A308" s="728">
        <v>303</v>
      </c>
      <c r="B308" s="1482" t="s">
        <v>2698</v>
      </c>
      <c r="E308" s="1488">
        <f>'Revenue Reconcilliation'!Q181</f>
        <v>1320741.78</v>
      </c>
      <c r="F308" s="1423"/>
      <c r="G308" s="1423"/>
      <c r="H308" s="1423"/>
      <c r="I308" s="1423"/>
      <c r="J308" s="1423"/>
      <c r="K308" s="1405"/>
      <c r="L308" s="1427"/>
      <c r="M308" s="1423"/>
      <c r="N308" s="1423"/>
      <c r="O308" s="1423"/>
      <c r="P308" s="1423"/>
      <c r="Q308" s="1423"/>
      <c r="R308" s="1423"/>
      <c r="S308" s="1423"/>
      <c r="T308" s="1423"/>
      <c r="U308" s="1423"/>
      <c r="V308" s="1423"/>
      <c r="W308" s="1423"/>
      <c r="X308" s="1423"/>
      <c r="Y308" s="1423"/>
      <c r="Z308" s="1423"/>
      <c r="AD308" s="1423"/>
      <c r="AF308" s="1423"/>
      <c r="AG308" s="1423"/>
      <c r="AH308" s="1423"/>
      <c r="AI308" s="727"/>
      <c r="AJ308" s="727"/>
      <c r="AL308" s="748"/>
    </row>
    <row r="309" spans="1:38">
      <c r="A309" s="728">
        <v>304</v>
      </c>
      <c r="B309" s="1443" t="s">
        <v>2678</v>
      </c>
      <c r="E309" s="1488">
        <f>SUM(E290:E308)</f>
        <v>258765.81000000006</v>
      </c>
      <c r="F309" s="1423"/>
      <c r="G309" s="1423"/>
      <c r="H309" s="1423"/>
      <c r="I309" s="1423"/>
      <c r="J309" s="1423"/>
      <c r="K309" s="1405"/>
      <c r="L309" s="1427"/>
      <c r="M309" s="1423"/>
      <c r="N309" s="1423"/>
      <c r="O309" s="1423"/>
      <c r="P309" s="1423"/>
      <c r="Q309" s="1423"/>
      <c r="R309" s="1423"/>
      <c r="S309" s="1423"/>
      <c r="T309" s="1423"/>
      <c r="U309" s="1423"/>
      <c r="V309" s="1423"/>
      <c r="W309" s="1423"/>
      <c r="X309" s="1423"/>
      <c r="Y309" s="1423"/>
      <c r="Z309" s="1423"/>
      <c r="AD309" s="1423"/>
      <c r="AF309" s="1423"/>
      <c r="AG309" s="1423"/>
      <c r="AH309" s="1423"/>
      <c r="AI309" s="1443"/>
      <c r="AJ309" s="1443"/>
      <c r="AL309" s="748"/>
    </row>
    <row r="310" spans="1:38">
      <c r="A310" s="728">
        <v>305</v>
      </c>
      <c r="B310" s="1443"/>
      <c r="E310" s="1488"/>
      <c r="F310" s="1423"/>
      <c r="G310" s="1423"/>
      <c r="H310" s="1423"/>
      <c r="I310" s="1423"/>
      <c r="J310" s="1423"/>
      <c r="K310" s="1405"/>
      <c r="L310" s="1427"/>
      <c r="M310" s="1423"/>
      <c r="N310" s="1423"/>
      <c r="O310" s="1423"/>
      <c r="P310" s="1423"/>
      <c r="Q310" s="1423"/>
      <c r="R310" s="1423"/>
      <c r="S310" s="1423"/>
      <c r="T310" s="1423"/>
      <c r="U310" s="1423"/>
      <c r="V310" s="1423"/>
      <c r="W310" s="1423"/>
      <c r="X310" s="1423"/>
      <c r="Y310" s="1423"/>
      <c r="Z310" s="1423"/>
      <c r="AD310" s="1423"/>
      <c r="AF310" s="1423"/>
      <c r="AG310" s="1423"/>
      <c r="AH310" s="1423"/>
      <c r="AI310" s="1443"/>
      <c r="AJ310" s="1443"/>
      <c r="AL310" s="748"/>
    </row>
    <row r="311" spans="1:38">
      <c r="A311" s="728">
        <v>306</v>
      </c>
      <c r="B311" s="1444" t="str">
        <f>"Total "&amp;LEFT(B281,17)&amp;" Revenue"</f>
        <v>Total Rate Schedule 570 Revenue</v>
      </c>
      <c r="C311" s="1459">
        <f>E311-'Revenue Reconcilliation'!Q182</f>
        <v>0</v>
      </c>
      <c r="D311" s="1464" t="s">
        <v>2673</v>
      </c>
      <c r="E311" s="1492">
        <f>SUM(E285,E287,E309)</f>
        <v>1318418.8500000001</v>
      </c>
      <c r="F311" s="1438"/>
      <c r="G311" s="1438"/>
      <c r="H311" s="1438"/>
      <c r="I311" s="1438"/>
      <c r="J311" s="1438"/>
      <c r="K311" s="1447"/>
      <c r="L311" s="1446"/>
      <c r="M311" s="1437"/>
      <c r="N311" s="1438"/>
      <c r="O311" s="1437"/>
      <c r="P311" s="1437"/>
      <c r="Q311" s="1437"/>
      <c r="R311" s="1438"/>
      <c r="S311" s="1437"/>
      <c r="T311" s="1437"/>
      <c r="U311" s="1437"/>
      <c r="V311" s="1438"/>
      <c r="W311" s="1438"/>
      <c r="X311" s="1438"/>
      <c r="Y311" s="1438"/>
      <c r="Z311" s="1438"/>
      <c r="AA311" s="1437"/>
      <c r="AB311" s="1437"/>
      <c r="AC311" s="1437"/>
      <c r="AD311" s="1438"/>
      <c r="AE311" s="1447"/>
      <c r="AF311" s="1438"/>
      <c r="AG311" s="1438"/>
      <c r="AH311" s="1438"/>
      <c r="AI311" s="1438"/>
      <c r="AJ311" s="1438"/>
      <c r="AK311" s="1437"/>
      <c r="AL311" s="748"/>
    </row>
    <row r="312" spans="1:38">
      <c r="A312" s="728">
        <v>307</v>
      </c>
      <c r="B312" s="1448"/>
      <c r="D312" s="727"/>
      <c r="E312" s="1429"/>
      <c r="F312" s="1429"/>
      <c r="G312" s="1429"/>
      <c r="H312" s="1429"/>
      <c r="I312" s="1429"/>
      <c r="J312" s="1429"/>
      <c r="K312" s="1405"/>
      <c r="L312" s="1427"/>
      <c r="M312" s="1423"/>
      <c r="N312" s="1429"/>
      <c r="O312" s="1423"/>
      <c r="P312" s="1423"/>
      <c r="Q312" s="1423"/>
      <c r="R312" s="1429"/>
      <c r="S312" s="1423"/>
      <c r="T312" s="1423"/>
      <c r="U312" s="1423"/>
      <c r="V312" s="1429"/>
      <c r="W312" s="1429"/>
      <c r="X312" s="1429"/>
      <c r="Y312" s="1429"/>
      <c r="Z312" s="1429"/>
      <c r="AD312" s="1429"/>
      <c r="AF312" s="1429"/>
      <c r="AG312" s="1429"/>
      <c r="AH312" s="1429"/>
      <c r="AL312" s="748"/>
    </row>
    <row r="313" spans="1:38">
      <c r="A313" s="728">
        <v>308</v>
      </c>
      <c r="B313" s="1420" t="s">
        <v>2711</v>
      </c>
      <c r="G313" s="1421" t="s">
        <v>2712</v>
      </c>
      <c r="K313" s="1405"/>
      <c r="L313" s="1427"/>
      <c r="M313" s="1422"/>
      <c r="O313" s="1473"/>
      <c r="P313" s="1423"/>
      <c r="Q313" s="1423"/>
      <c r="S313" s="1473"/>
      <c r="T313" s="1423"/>
      <c r="U313" s="1423"/>
      <c r="AJ313" s="384"/>
      <c r="AK313" s="384"/>
      <c r="AL313" s="748"/>
    </row>
    <row r="314" spans="1:38">
      <c r="A314" s="728">
        <v>309</v>
      </c>
      <c r="B314" s="727" t="s">
        <v>2462</v>
      </c>
      <c r="C314" s="1405">
        <f t="shared" ref="C314:C320" si="0">E314/D314</f>
        <v>2227</v>
      </c>
      <c r="D314" s="1493">
        <v>625</v>
      </c>
      <c r="E314" s="1423">
        <f>'1501 Summary'!AD220</f>
        <v>1391875</v>
      </c>
      <c r="F314" s="1423"/>
      <c r="G314" s="1405">
        <f>-SUM(G451,G478,G503,G353,G698)</f>
        <v>60</v>
      </c>
      <c r="H314" s="1423">
        <f>D314</f>
        <v>625</v>
      </c>
      <c r="I314" s="1405">
        <f>G314*H314</f>
        <v>37500</v>
      </c>
      <c r="J314" s="1423"/>
      <c r="K314" s="1405">
        <f t="shared" ref="K314:K319" si="1">C314+G314</f>
        <v>2287</v>
      </c>
      <c r="L314" s="1422">
        <f>D314</f>
        <v>625</v>
      </c>
      <c r="M314" s="1423">
        <f>L314*K314</f>
        <v>1429375</v>
      </c>
      <c r="N314" s="1423"/>
      <c r="O314" s="1405"/>
      <c r="P314" s="1423"/>
      <c r="Q314" s="1423"/>
      <c r="R314" s="1423"/>
      <c r="S314" s="1405">
        <f>'End of Period Calculations'!AB116+'End of Period Calculations'!AC116</f>
        <v>2260</v>
      </c>
      <c r="T314" s="1423">
        <f t="shared" ref="T314:T320" si="2">S314*L314</f>
        <v>1412500</v>
      </c>
      <c r="U314" s="1423">
        <f t="shared" ref="U314:U319" si="3">T314-M314</f>
        <v>-16875</v>
      </c>
      <c r="V314" s="1423"/>
      <c r="W314" s="1423"/>
      <c r="X314" s="1423"/>
      <c r="Y314" s="1423"/>
      <c r="Z314" s="1423"/>
      <c r="AA314" s="1425"/>
      <c r="AB314" s="1425"/>
      <c r="AC314" s="1425"/>
      <c r="AD314" s="1423"/>
      <c r="AF314" s="1423"/>
      <c r="AG314" s="1423"/>
      <c r="AH314" s="1423"/>
      <c r="AI314" s="1430">
        <f>'Exh 18, Class Rates'!H37</f>
        <v>625</v>
      </c>
      <c r="AJ314" s="1425">
        <f>AI314*S314</f>
        <v>1412500</v>
      </c>
      <c r="AK314" s="1425">
        <f>AJ314-T314</f>
        <v>0</v>
      </c>
      <c r="AL314" s="748"/>
    </row>
    <row r="315" spans="1:38">
      <c r="A315" s="728">
        <v>310</v>
      </c>
      <c r="B315" s="727" t="s">
        <v>2713</v>
      </c>
      <c r="C315" s="1405">
        <f t="shared" si="0"/>
        <v>17874140</v>
      </c>
      <c r="D315" s="1439">
        <v>0.2</v>
      </c>
      <c r="E315" s="1423">
        <f>'1501 Summary'!AD221</f>
        <v>3574828</v>
      </c>
      <c r="F315" s="1423"/>
      <c r="G315" s="1405">
        <f>-SUM(G452,G479,G354,G699,G355)</f>
        <v>12480012</v>
      </c>
      <c r="H315" s="1427">
        <f t="shared" ref="H315:H320" si="4">D315</f>
        <v>0.2</v>
      </c>
      <c r="I315" s="1405">
        <f t="shared" ref="I315:I320" si="5">G315*H315</f>
        <v>2496002.4</v>
      </c>
      <c r="J315" s="1423"/>
      <c r="K315" s="1405">
        <f>C315+G315</f>
        <v>30354152</v>
      </c>
      <c r="L315" s="1427">
        <f>D315</f>
        <v>0.2</v>
      </c>
      <c r="M315" s="1423">
        <f t="shared" ref="M315:M320" si="6">L315*K315</f>
        <v>6070830.4000000004</v>
      </c>
      <c r="N315" s="1423"/>
      <c r="O315" s="1405"/>
      <c r="P315" s="1423"/>
      <c r="Q315" s="1423"/>
      <c r="R315" s="1423"/>
      <c r="S315" s="1405">
        <f>SUM(K315:K315)</f>
        <v>30354152</v>
      </c>
      <c r="T315" s="1423">
        <f t="shared" si="2"/>
        <v>6070830.4000000004</v>
      </c>
      <c r="U315" s="1423">
        <f t="shared" si="3"/>
        <v>0</v>
      </c>
      <c r="V315" s="1423"/>
      <c r="W315" s="1423"/>
      <c r="X315" s="1423"/>
      <c r="Y315" s="1423"/>
      <c r="Z315" s="1423"/>
      <c r="AA315" s="1425"/>
      <c r="AB315" s="1425"/>
      <c r="AC315" s="1425"/>
      <c r="AD315" s="1423"/>
      <c r="AF315" s="1423"/>
      <c r="AG315" s="1423"/>
      <c r="AH315" s="1423"/>
      <c r="AI315" s="1428">
        <f>'Exh 18, Class Rates'!H38</f>
        <v>0.2</v>
      </c>
      <c r="AJ315" s="1425">
        <f>AI315*S315</f>
        <v>6070830.4000000004</v>
      </c>
      <c r="AK315" s="1425">
        <f>AJ315-T315</f>
        <v>0</v>
      </c>
      <c r="AL315" s="748"/>
    </row>
    <row r="316" spans="1:38">
      <c r="A316" s="728">
        <v>311</v>
      </c>
      <c r="B316" s="727" t="s">
        <v>2714</v>
      </c>
      <c r="C316" s="1405">
        <f t="shared" si="0"/>
        <v>355024599.99999988</v>
      </c>
      <c r="D316" s="1361">
        <v>4.0000000000000002E-4</v>
      </c>
      <c r="E316" s="1423">
        <f>'1501 Summary'!AD222</f>
        <v>142009.83999999997</v>
      </c>
      <c r="F316" s="1423"/>
      <c r="G316" s="1405">
        <f>-SUM(G453,G480,G504,G358,G700,G359)</f>
        <v>267459875</v>
      </c>
      <c r="H316" s="1427">
        <f t="shared" si="4"/>
        <v>4.0000000000000002E-4</v>
      </c>
      <c r="I316" s="1405">
        <f t="shared" si="5"/>
        <v>106983.95000000001</v>
      </c>
      <c r="J316" s="1423"/>
      <c r="K316" s="1405">
        <f t="shared" si="1"/>
        <v>622484474.99999988</v>
      </c>
      <c r="L316" s="1427">
        <f>D316</f>
        <v>4.0000000000000002E-4</v>
      </c>
      <c r="M316" s="1423">
        <f t="shared" si="6"/>
        <v>248993.78999999995</v>
      </c>
      <c r="N316" s="1423"/>
      <c r="O316" s="1405"/>
      <c r="P316" s="1423"/>
      <c r="Q316" s="1423"/>
      <c r="R316" s="1423"/>
      <c r="S316" s="1405">
        <f>SUM(S317:S320)</f>
        <v>641617734.59945512</v>
      </c>
      <c r="T316" s="1423">
        <f t="shared" si="2"/>
        <v>256647.09383978206</v>
      </c>
      <c r="U316" s="1423">
        <f t="shared" si="3"/>
        <v>7653.3038397821074</v>
      </c>
      <c r="V316" s="1423"/>
      <c r="W316" s="1494" t="s">
        <v>2715</v>
      </c>
      <c r="X316" s="1423"/>
      <c r="Y316" s="1423"/>
      <c r="Z316" s="1423"/>
      <c r="AA316" s="1495"/>
      <c r="AB316" s="384"/>
      <c r="AC316" s="384"/>
      <c r="AD316" s="1423"/>
      <c r="AF316" s="1423"/>
      <c r="AG316" s="1423"/>
      <c r="AH316" s="1423"/>
      <c r="AI316" s="1428">
        <f>'Exh 18, Class Rates'!H39</f>
        <v>4.0000000000000002E-4</v>
      </c>
      <c r="AJ316" s="1425">
        <f>AI316*S316</f>
        <v>256647.09383978206</v>
      </c>
      <c r="AK316" s="1425">
        <f>AJ316-T316</f>
        <v>0</v>
      </c>
      <c r="AL316" s="748"/>
    </row>
    <row r="317" spans="1:38">
      <c r="A317" s="728">
        <v>312</v>
      </c>
      <c r="B317" s="1443" t="s">
        <v>2716</v>
      </c>
      <c r="C317" s="1405">
        <f t="shared" si="0"/>
        <v>94364132.43293941</v>
      </c>
      <c r="D317" s="1361">
        <v>5.3310000000000003E-2</v>
      </c>
      <c r="E317" s="1423">
        <f>'1501 Summary'!AD223</f>
        <v>5030551.9000000004</v>
      </c>
      <c r="F317" s="1423"/>
      <c r="G317" s="1405">
        <f>-SUM(G454,G481,G505,G360,G701,G361)</f>
        <v>32894671.285027228</v>
      </c>
      <c r="H317" s="1427">
        <f t="shared" si="4"/>
        <v>5.3310000000000003E-2</v>
      </c>
      <c r="I317" s="1405">
        <f t="shared" si="5"/>
        <v>1753614.9262048015</v>
      </c>
      <c r="J317" s="1423"/>
      <c r="K317" s="1405">
        <f t="shared" si="1"/>
        <v>127258803.71796665</v>
      </c>
      <c r="L317" s="1427">
        <v>5.9889999999999999E-2</v>
      </c>
      <c r="M317" s="1423">
        <f t="shared" si="6"/>
        <v>7621529.7546690218</v>
      </c>
      <c r="N317" s="1423"/>
      <c r="O317" s="1405"/>
      <c r="P317" s="1423"/>
      <c r="Q317" s="1423"/>
      <c r="R317" s="1423"/>
      <c r="S317" s="1405">
        <f>'End of Period Calculations'!AA146</f>
        <v>125402945.77158709</v>
      </c>
      <c r="T317" s="1423">
        <f t="shared" si="2"/>
        <v>7510382.4222603505</v>
      </c>
      <c r="U317" s="1423">
        <f t="shared" si="3"/>
        <v>-111147.33240867127</v>
      </c>
      <c r="V317" s="1423"/>
      <c r="W317" s="1405">
        <f>-W116</f>
        <v>267361.96789951145</v>
      </c>
      <c r="X317" s="1427">
        <v>5.9889999999999999E-2</v>
      </c>
      <c r="Y317" s="1422">
        <f>X317*W317</f>
        <v>16012.30825750174</v>
      </c>
      <c r="Z317" s="1423"/>
      <c r="AA317" s="1405">
        <f>+'End of Period Calculations'!AA146</f>
        <v>125402945.77158709</v>
      </c>
      <c r="AB317" s="1428">
        <v>3.8999999999999999E-4</v>
      </c>
      <c r="AC317" s="1425">
        <f>AB317*AA317</f>
        <v>48907.148850918966</v>
      </c>
      <c r="AD317" s="1423"/>
      <c r="AF317" s="1423"/>
      <c r="AG317" s="1423"/>
      <c r="AH317" s="1423"/>
      <c r="AI317" s="1428">
        <f>'Exh 18, Class Rates'!H40</f>
        <v>5.9609231825916362E-2</v>
      </c>
      <c r="AJ317" s="1425">
        <f>AI317*(S317+W317+AE317)</f>
        <v>7491110.5076773083</v>
      </c>
      <c r="AK317" s="1425">
        <f>AJ317-T317-Y317</f>
        <v>-35284.222840544004</v>
      </c>
      <c r="AL317" s="748"/>
    </row>
    <row r="318" spans="1:38">
      <c r="A318" s="728">
        <v>313</v>
      </c>
      <c r="B318" s="1443" t="s">
        <v>2494</v>
      </c>
      <c r="C318" s="1405">
        <f t="shared" si="0"/>
        <v>64730930.591259636</v>
      </c>
      <c r="D318" s="1361">
        <v>1.9449999999999999E-2</v>
      </c>
      <c r="E318" s="1423">
        <f>'1501 Summary'!AD224</f>
        <v>1259016.5999999999</v>
      </c>
      <c r="F318" s="1423"/>
      <c r="G318" s="1405">
        <f>-SUM(G455,G482,G506,G362,G702,G363)</f>
        <v>6609004.5404050602</v>
      </c>
      <c r="H318" s="1427">
        <f t="shared" si="4"/>
        <v>1.9449999999999999E-2</v>
      </c>
      <c r="I318" s="1405">
        <f t="shared" si="5"/>
        <v>128545.13831087841</v>
      </c>
      <c r="J318" s="1423"/>
      <c r="K318" s="1405">
        <f t="shared" si="1"/>
        <v>71339935.131664693</v>
      </c>
      <c r="L318" s="1427">
        <v>2.3029999999999998E-2</v>
      </c>
      <c r="M318" s="1423">
        <f t="shared" si="6"/>
        <v>1642958.7060822379</v>
      </c>
      <c r="N318" s="1423"/>
      <c r="O318" s="1405"/>
      <c r="P318" s="1423"/>
      <c r="Q318" s="1423"/>
      <c r="R318" s="1423"/>
      <c r="S318" s="1405">
        <f>'End of Period Calculations'!AA147</f>
        <v>98562895.00321956</v>
      </c>
      <c r="T318" s="1423">
        <f t="shared" si="2"/>
        <v>2269903.4719241462</v>
      </c>
      <c r="U318" s="1423">
        <f t="shared" si="3"/>
        <v>626944.76584190829</v>
      </c>
      <c r="V318" s="1423"/>
      <c r="W318" s="1405">
        <f>-W117</f>
        <v>681100.96504005836</v>
      </c>
      <c r="X318" s="1427">
        <v>2.3029999999999998E-2</v>
      </c>
      <c r="Y318" s="1422">
        <f>X318*W318</f>
        <v>15685.755224872542</v>
      </c>
      <c r="Z318" s="1423"/>
      <c r="AA318" s="1405">
        <f>+'End of Period Calculations'!AA147</f>
        <v>98562895.00321956</v>
      </c>
      <c r="AB318" s="1428">
        <v>3.8999999999999999E-4</v>
      </c>
      <c r="AC318" s="1425">
        <f>AB318*AA318</f>
        <v>38439.529051255631</v>
      </c>
      <c r="AD318" s="1423"/>
      <c r="AF318" s="1423"/>
      <c r="AG318" s="1423"/>
      <c r="AH318" s="1423"/>
      <c r="AI318" s="1428">
        <f>'Exh 18, Class Rates'!H41</f>
        <v>2.2922033877957149E-2</v>
      </c>
      <c r="AJ318" s="1425">
        <f>AI318*(S318+W318+AE318)</f>
        <v>2274874.2377682896</v>
      </c>
      <c r="AK318" s="1425">
        <f>AJ318-T318-Y318</f>
        <v>-10714.989380729081</v>
      </c>
      <c r="AL318" s="748"/>
    </row>
    <row r="319" spans="1:38">
      <c r="A319" s="728">
        <v>314</v>
      </c>
      <c r="B319" s="1443" t="s">
        <v>2494</v>
      </c>
      <c r="C319" s="1405">
        <f t="shared" si="0"/>
        <v>28296657.360406093</v>
      </c>
      <c r="D319" s="1361">
        <v>1.1820000000000001E-2</v>
      </c>
      <c r="E319" s="1423">
        <f>'1501 Summary'!AD225</f>
        <v>334466.49000000005</v>
      </c>
      <c r="F319" s="1423"/>
      <c r="G319" s="1405">
        <f>-SUM(G456,G483,G507,G703)</f>
        <v>5481981.3874788489</v>
      </c>
      <c r="H319" s="1427">
        <f t="shared" si="4"/>
        <v>1.1820000000000001E-2</v>
      </c>
      <c r="I319" s="1405">
        <f t="shared" si="5"/>
        <v>64797.02</v>
      </c>
      <c r="J319" s="1423"/>
      <c r="K319" s="1405">
        <f t="shared" si="1"/>
        <v>33778638.747884944</v>
      </c>
      <c r="L319" s="1427">
        <v>1.473E-2</v>
      </c>
      <c r="M319" s="1423">
        <f t="shared" si="6"/>
        <v>497559.34875634522</v>
      </c>
      <c r="N319" s="1423"/>
      <c r="O319" s="1405"/>
      <c r="P319" s="1423"/>
      <c r="Q319" s="1423"/>
      <c r="R319" s="1423"/>
      <c r="S319" s="1405">
        <f>'End of Period Calculations'!AA148</f>
        <v>34638058.781353638</v>
      </c>
      <c r="T319" s="1423">
        <f t="shared" si="2"/>
        <v>510218.6058493391</v>
      </c>
      <c r="U319" s="1423">
        <f t="shared" si="3"/>
        <v>12659.257092993881</v>
      </c>
      <c r="V319" s="1423"/>
      <c r="W319" s="1405">
        <f>-W118</f>
        <v>1897641.5651531932</v>
      </c>
      <c r="X319" s="1427">
        <v>1.473E-2</v>
      </c>
      <c r="Y319" s="1422">
        <f>X319*W319</f>
        <v>27952.260254706536</v>
      </c>
      <c r="Z319" s="1423"/>
      <c r="AA319" s="1405">
        <f>+'End of Period Calculations'!AA148</f>
        <v>34638058.781353638</v>
      </c>
      <c r="AB319" s="1428">
        <v>3.8999999999999999E-4</v>
      </c>
      <c r="AC319" s="1425">
        <f>AB319*AA319</f>
        <v>13508.842924727918</v>
      </c>
      <c r="AD319" s="1423"/>
      <c r="AF319" s="1423"/>
      <c r="AG319" s="1423"/>
      <c r="AH319" s="1423"/>
      <c r="AI319" s="1428">
        <f>'Exh 18, Class Rates'!H42</f>
        <v>1.4660944812084622E-2</v>
      </c>
      <c r="AJ319" s="1425">
        <f>AI319*(S319+W319+AE319)</f>
        <v>535647.88645099767</v>
      </c>
      <c r="AK319" s="1425">
        <f>AJ319-T319-Y319</f>
        <v>-2522.9796530479689</v>
      </c>
      <c r="AL319" s="748"/>
    </row>
    <row r="320" spans="1:38">
      <c r="A320" s="728">
        <v>315</v>
      </c>
      <c r="B320" s="1458" t="s">
        <v>2717</v>
      </c>
      <c r="C320" s="1405">
        <f t="shared" si="0"/>
        <v>166667530.24911031</v>
      </c>
      <c r="D320" s="1361">
        <v>5.62E-3</v>
      </c>
      <c r="E320" s="1437">
        <f>'1501 Summary'!AD226</f>
        <v>936671.52</v>
      </c>
      <c r="F320" s="1423"/>
      <c r="G320" s="1405">
        <f>-SUM(G457,G484,G508,G704)</f>
        <v>222478156.58362988</v>
      </c>
      <c r="H320" s="1427">
        <f t="shared" si="4"/>
        <v>5.62E-3</v>
      </c>
      <c r="I320" s="1405">
        <f t="shared" si="5"/>
        <v>1250327.24</v>
      </c>
      <c r="J320" s="1423"/>
      <c r="K320" s="1405">
        <f>C320+G320</f>
        <v>389145686.83274019</v>
      </c>
      <c r="L320" s="1427">
        <v>7.9799999999999992E-3</v>
      </c>
      <c r="M320" s="1437">
        <f t="shared" si="6"/>
        <v>3105382.5809252663</v>
      </c>
      <c r="N320" s="1423"/>
      <c r="O320" s="1405">
        <f>-'Billing Correction'!C38</f>
        <v>-1030368</v>
      </c>
      <c r="P320" s="1427">
        <f>L320</f>
        <v>7.9799999999999992E-3</v>
      </c>
      <c r="Q320" s="1437">
        <f>ROUNDUP(O320*P320,0)</f>
        <v>-8223</v>
      </c>
      <c r="R320" s="1423"/>
      <c r="S320" s="1405">
        <f>'End of Period Calculations'!AA119</f>
        <v>383013835.04329479</v>
      </c>
      <c r="T320" s="1437">
        <f t="shared" si="2"/>
        <v>3056450.4036454922</v>
      </c>
      <c r="U320" s="1437">
        <f>T320-M320-Q320</f>
        <v>-40709.1772797741</v>
      </c>
      <c r="V320" s="1423"/>
      <c r="W320" s="1447">
        <v>0</v>
      </c>
      <c r="X320" s="1427">
        <v>7.9799999999999992E-3</v>
      </c>
      <c r="Y320" s="1438">
        <f>X320*W320</f>
        <v>0</v>
      </c>
      <c r="Z320" s="1423"/>
      <c r="AA320" s="1405">
        <f>'End of Period Calculations'!AA149</f>
        <v>383013835.04329479</v>
      </c>
      <c r="AB320" s="1428">
        <v>3.8999999999999999E-4</v>
      </c>
      <c r="AC320" s="1440">
        <f>AB320*AA320</f>
        <v>149375.39566688496</v>
      </c>
      <c r="AD320" s="1423"/>
      <c r="AE320" s="1405">
        <f>IF($AM$3="No", W320, -'Billing Correction'!C37)</f>
        <v>0</v>
      </c>
      <c r="AF320" s="1427">
        <f>P320</f>
        <v>7.9799999999999992E-3</v>
      </c>
      <c r="AG320" s="1437">
        <f>AE320*AF320</f>
        <v>0</v>
      </c>
      <c r="AH320" s="1423"/>
      <c r="AI320" s="1428">
        <f>'Exh 18, Class Rates'!H43</f>
        <v>7.9425892464653949E-3</v>
      </c>
      <c r="AJ320" s="1425">
        <f>AI320*(S320+W320+AE320)</f>
        <v>3042121.5674623437</v>
      </c>
      <c r="AK320" s="1440">
        <f>AJ320-T320-Y320-AG320</f>
        <v>-14328.836183148436</v>
      </c>
      <c r="AL320" s="748"/>
    </row>
    <row r="321" spans="1:38">
      <c r="A321" s="728">
        <v>316</v>
      </c>
      <c r="B321" s="727" t="s">
        <v>2648</v>
      </c>
      <c r="E321" s="1422">
        <f>SUM(E314:E320)</f>
        <v>12669419.35</v>
      </c>
      <c r="F321" s="1422"/>
      <c r="G321" s="1422"/>
      <c r="H321" s="1422"/>
      <c r="I321" s="1422"/>
      <c r="J321" s="1422"/>
      <c r="K321" s="1405"/>
      <c r="L321" s="1427"/>
      <c r="M321" s="1423">
        <f>SUM(M314:M320)</f>
        <v>20616629.580432877</v>
      </c>
      <c r="N321" s="1422"/>
      <c r="O321" s="1422"/>
      <c r="P321" s="1423"/>
      <c r="Q321" s="1423">
        <f>SUM(Q320)</f>
        <v>-8223</v>
      </c>
      <c r="R321" s="1422"/>
      <c r="S321" s="1422"/>
      <c r="T321" s="1423">
        <f>SUM(T314:T320)</f>
        <v>21086932.397519112</v>
      </c>
      <c r="U321" s="1423">
        <f>SUM(U314:U320)</f>
        <v>478525.81708623894</v>
      </c>
      <c r="V321" s="1422"/>
      <c r="W321" s="1405">
        <f>SUM(W317:W320)</f>
        <v>2846104.4980927631</v>
      </c>
      <c r="X321" s="1405"/>
      <c r="Y321" s="1452">
        <f>SUM(Y317:Y320)</f>
        <v>59650.32373708082</v>
      </c>
      <c r="Z321" s="1422"/>
      <c r="AA321" s="1496"/>
      <c r="AB321" s="1430"/>
      <c r="AC321" s="1425">
        <f>SUM(AC317:AC320)</f>
        <v>250230.91649378746</v>
      </c>
      <c r="AD321" s="1422"/>
      <c r="AE321" s="1422"/>
      <c r="AF321" s="1423"/>
      <c r="AG321" s="1423">
        <f>SUM(AG320)</f>
        <v>0</v>
      </c>
      <c r="AH321" s="1422"/>
      <c r="AJ321" s="1425">
        <f>SUM(AJ314:AJ320)</f>
        <v>21083731.693198722</v>
      </c>
      <c r="AK321" s="1425">
        <f>SUM(AK317:AK320)</f>
        <v>-62851.028057469492</v>
      </c>
      <c r="AL321" s="748"/>
    </row>
    <row r="322" spans="1:38">
      <c r="A322" s="728">
        <v>317</v>
      </c>
      <c r="E322" s="1422"/>
      <c r="F322" s="1422"/>
      <c r="G322" s="1422"/>
      <c r="H322" s="1422"/>
      <c r="I322" s="1422"/>
      <c r="J322" s="1422"/>
      <c r="K322" s="1405"/>
      <c r="L322" s="1427"/>
      <c r="M322" s="1423"/>
      <c r="N322" s="1422"/>
      <c r="O322" s="1423"/>
      <c r="P322" s="1423"/>
      <c r="Q322" s="1423"/>
      <c r="R322" s="1422"/>
      <c r="S322" s="1423"/>
      <c r="T322" s="1423"/>
      <c r="U322" s="1423"/>
      <c r="V322" s="1422"/>
      <c r="W322" s="1422"/>
      <c r="X322" s="1422"/>
      <c r="Y322" s="1422"/>
      <c r="Z322" s="1422"/>
      <c r="AA322" s="1473"/>
      <c r="AB322" s="1473"/>
      <c r="AC322" s="1473"/>
      <c r="AD322" s="1422"/>
      <c r="AF322" s="1422"/>
      <c r="AG322" s="1422"/>
      <c r="AH322" s="1422"/>
      <c r="AK322" s="1423"/>
      <c r="AL322" s="748"/>
    </row>
    <row r="323" spans="1:38">
      <c r="A323" s="728">
        <v>318</v>
      </c>
      <c r="B323" s="727" t="s">
        <v>2651</v>
      </c>
      <c r="K323" s="1405"/>
      <c r="L323" s="1427"/>
      <c r="M323" s="1423"/>
      <c r="O323" s="1423"/>
      <c r="P323" s="1423"/>
      <c r="Q323" s="1423"/>
      <c r="S323" s="1423"/>
      <c r="T323" s="1423"/>
      <c r="U323" s="1423"/>
      <c r="AA323" s="727"/>
      <c r="AB323" s="727"/>
      <c r="AC323" s="727"/>
      <c r="AK323" s="727"/>
      <c r="AL323" s="748"/>
    </row>
    <row r="324" spans="1:38">
      <c r="A324" s="728">
        <v>319</v>
      </c>
      <c r="B324" s="1479" t="s">
        <v>2658</v>
      </c>
      <c r="E324" s="1488">
        <f>'1501 Summary'!AD227</f>
        <v>-226050.83</v>
      </c>
      <c r="F324" s="1489"/>
      <c r="G324" s="1489"/>
      <c r="H324" s="1489"/>
      <c r="I324" s="1489"/>
      <c r="J324" s="1489"/>
      <c r="K324" s="1405"/>
      <c r="L324" s="1427"/>
      <c r="M324" s="1423"/>
      <c r="N324" s="1489"/>
      <c r="O324" s="1423"/>
      <c r="P324" s="1423"/>
      <c r="Q324" s="1423"/>
      <c r="R324" s="1489"/>
      <c r="S324" s="1423"/>
      <c r="T324" s="1423"/>
      <c r="U324" s="1423"/>
      <c r="V324" s="1489"/>
      <c r="W324" s="1489"/>
      <c r="X324" s="1489"/>
      <c r="Y324" s="1489"/>
      <c r="Z324" s="1489"/>
      <c r="AA324" s="727"/>
      <c r="AB324" s="727"/>
      <c r="AC324" s="727"/>
      <c r="AD324" s="1489"/>
      <c r="AF324" s="1489"/>
      <c r="AG324" s="1489"/>
      <c r="AH324" s="1489"/>
      <c r="AK324" s="727"/>
      <c r="AL324" s="748"/>
    </row>
    <row r="325" spans="1:38">
      <c r="A325" s="728">
        <v>320</v>
      </c>
      <c r="B325" s="1479" t="s">
        <v>2659</v>
      </c>
      <c r="E325" s="1488">
        <f>'1501 Summary'!AD228</f>
        <v>-102092.36</v>
      </c>
      <c r="F325" s="1489"/>
      <c r="G325" s="1489"/>
      <c r="H325" s="1489"/>
      <c r="I325" s="1489"/>
      <c r="J325" s="1489"/>
      <c r="K325" s="1405"/>
      <c r="L325" s="1427"/>
      <c r="M325" s="1423"/>
      <c r="N325" s="1489"/>
      <c r="O325" s="1423"/>
      <c r="P325" s="1423"/>
      <c r="Q325" s="1423"/>
      <c r="R325" s="1489"/>
      <c r="S325" s="1423"/>
      <c r="T325" s="1423"/>
      <c r="U325" s="1423"/>
      <c r="V325" s="1489"/>
      <c r="W325" s="1489"/>
      <c r="X325" s="1489"/>
      <c r="Y325" s="1489"/>
      <c r="Z325" s="1489"/>
      <c r="AA325" s="727"/>
      <c r="AB325" s="727"/>
      <c r="AC325" s="727"/>
      <c r="AD325" s="1489"/>
      <c r="AF325" s="1489"/>
      <c r="AG325" s="1489"/>
      <c r="AH325" s="1489"/>
      <c r="AK325" s="727"/>
      <c r="AL325" s="748"/>
    </row>
    <row r="326" spans="1:38">
      <c r="A326" s="728">
        <v>321</v>
      </c>
      <c r="B326" s="1479" t="s">
        <v>2660</v>
      </c>
      <c r="E326" s="1488">
        <f>'1501 Summary'!AD229</f>
        <v>-175611.99</v>
      </c>
      <c r="F326" s="1489"/>
      <c r="G326" s="1489"/>
      <c r="H326" s="1489"/>
      <c r="I326" s="1489"/>
      <c r="J326" s="1489"/>
      <c r="K326" s="1405"/>
      <c r="L326" s="1427"/>
      <c r="M326" s="1423"/>
      <c r="N326" s="1489"/>
      <c r="O326" s="1423"/>
      <c r="P326" s="1423"/>
      <c r="Q326" s="1423"/>
      <c r="R326" s="1489"/>
      <c r="S326" s="1423"/>
      <c r="T326" s="1423"/>
      <c r="U326" s="1423"/>
      <c r="V326" s="1489"/>
      <c r="W326" s="1489"/>
      <c r="X326" s="1489"/>
      <c r="Y326" s="1489"/>
      <c r="Z326" s="1489"/>
      <c r="AA326" s="727"/>
      <c r="AB326" s="727"/>
      <c r="AC326" s="727"/>
      <c r="AD326" s="1489"/>
      <c r="AF326" s="1489"/>
      <c r="AG326" s="1489"/>
      <c r="AH326" s="1489"/>
      <c r="AK326" s="727"/>
      <c r="AL326" s="748"/>
    </row>
    <row r="327" spans="1:38">
      <c r="A327" s="728">
        <v>322</v>
      </c>
      <c r="B327" s="1421" t="s">
        <v>2653</v>
      </c>
      <c r="E327" s="1488">
        <f>'1501 Summary'!AD230</f>
        <v>109759.33000000002</v>
      </c>
      <c r="F327" s="1489"/>
      <c r="G327" s="1489"/>
      <c r="H327" s="1489"/>
      <c r="I327" s="1489"/>
      <c r="J327" s="1489"/>
      <c r="K327" s="1405"/>
      <c r="L327" s="1427"/>
      <c r="M327" s="1423"/>
      <c r="N327" s="1489"/>
      <c r="O327" s="1423"/>
      <c r="P327" s="1423"/>
      <c r="Q327" s="1423"/>
      <c r="R327" s="1489"/>
      <c r="S327" s="1423"/>
      <c r="T327" s="1423"/>
      <c r="U327" s="1423"/>
      <c r="V327" s="1489"/>
      <c r="W327" s="1489">
        <f>125339712+W317</f>
        <v>125607073.96789952</v>
      </c>
      <c r="X327" s="1489"/>
      <c r="Y327" s="1489"/>
      <c r="Z327" s="1489"/>
      <c r="AA327" s="727"/>
      <c r="AB327" s="727"/>
      <c r="AC327" s="727"/>
      <c r="AD327" s="1489"/>
      <c r="AF327" s="1489"/>
      <c r="AG327" s="1489"/>
      <c r="AH327" s="1489"/>
      <c r="AK327" s="727"/>
      <c r="AL327" s="748"/>
    </row>
    <row r="328" spans="1:38">
      <c r="A328" s="728">
        <v>323</v>
      </c>
      <c r="B328" s="1421" t="s">
        <v>2654</v>
      </c>
      <c r="E328" s="1488">
        <f>'1501 Summary'!AD231</f>
        <v>607986.66</v>
      </c>
      <c r="F328" s="1489"/>
      <c r="G328" s="1489"/>
      <c r="H328" s="1489"/>
      <c r="I328" s="1489"/>
      <c r="J328" s="1489"/>
      <c r="K328" s="1405"/>
      <c r="L328" s="1427"/>
      <c r="M328" s="1423"/>
      <c r="N328" s="1489"/>
      <c r="O328" s="1423"/>
      <c r="P328" s="1423"/>
      <c r="Q328" s="1423"/>
      <c r="R328" s="1489"/>
      <c r="S328" s="1423"/>
      <c r="T328" s="1423"/>
      <c r="U328" s="1423"/>
      <c r="V328" s="1489"/>
      <c r="W328" s="1489"/>
      <c r="X328" s="1489"/>
      <c r="Y328" s="1489"/>
      <c r="Z328" s="1489"/>
      <c r="AA328" s="727"/>
      <c r="AB328" s="727"/>
      <c r="AC328" s="727"/>
      <c r="AD328" s="1489"/>
      <c r="AF328" s="1489"/>
      <c r="AG328" s="1489"/>
      <c r="AH328" s="1489"/>
      <c r="AK328" s="727"/>
      <c r="AL328" s="748"/>
    </row>
    <row r="329" spans="1:38">
      <c r="A329" s="728">
        <v>324</v>
      </c>
      <c r="B329" s="1421" t="s">
        <v>2718</v>
      </c>
      <c r="E329" s="1488">
        <f>'1501 Summary'!AD232</f>
        <v>19250</v>
      </c>
      <c r="F329" s="1489"/>
      <c r="G329" s="1489"/>
      <c r="H329" s="1489"/>
      <c r="I329" s="1489"/>
      <c r="J329" s="1489"/>
      <c r="K329" s="1405"/>
      <c r="L329" s="1427"/>
      <c r="M329" s="1423"/>
      <c r="N329" s="1489"/>
      <c r="O329" s="1423"/>
      <c r="P329" s="1423"/>
      <c r="Q329" s="1423"/>
      <c r="R329" s="1489"/>
      <c r="S329" s="1423"/>
      <c r="T329" s="1423"/>
      <c r="U329" s="1423"/>
      <c r="V329" s="1489"/>
      <c r="W329" s="1489"/>
      <c r="X329" s="1489"/>
      <c r="Y329" s="1489"/>
      <c r="Z329" s="1489"/>
      <c r="AA329" s="727"/>
      <c r="AB329" s="727"/>
      <c r="AC329" s="727"/>
      <c r="AD329" s="1489"/>
      <c r="AF329" s="1489"/>
      <c r="AG329" s="1489"/>
      <c r="AH329" s="1489"/>
      <c r="AK329" s="727"/>
      <c r="AL329" s="748"/>
    </row>
    <row r="330" spans="1:38">
      <c r="A330" s="728">
        <v>325</v>
      </c>
      <c r="B330" s="1421" t="s">
        <v>2718</v>
      </c>
      <c r="E330" s="1488">
        <f>'1501 Summary'!AD233</f>
        <v>2500</v>
      </c>
      <c r="F330" s="1489"/>
      <c r="G330" s="1489"/>
      <c r="H330" s="1489"/>
      <c r="I330" s="1489"/>
      <c r="J330" s="1489"/>
      <c r="K330" s="1405"/>
      <c r="L330" s="1427"/>
      <c r="M330" s="1423"/>
      <c r="N330" s="1489"/>
      <c r="O330" s="1423"/>
      <c r="P330" s="1423"/>
      <c r="Q330" s="1423"/>
      <c r="R330" s="1489"/>
      <c r="S330" s="1423"/>
      <c r="T330" s="1423"/>
      <c r="U330" s="1423"/>
      <c r="V330" s="1489"/>
      <c r="W330" s="1489"/>
      <c r="X330" s="1489"/>
      <c r="Y330" s="1489"/>
      <c r="Z330" s="1489"/>
      <c r="AA330" s="727"/>
      <c r="AB330" s="727"/>
      <c r="AC330" s="727"/>
      <c r="AD330" s="1489"/>
      <c r="AF330" s="1489"/>
      <c r="AG330" s="1489"/>
      <c r="AH330" s="1489"/>
      <c r="AK330" s="727"/>
      <c r="AL330" s="748"/>
    </row>
    <row r="331" spans="1:38">
      <c r="A331" s="728">
        <v>326</v>
      </c>
      <c r="B331" s="1421" t="s">
        <v>2719</v>
      </c>
      <c r="E331" s="1488">
        <f>'1501 Summary'!AD234</f>
        <v>562345.5</v>
      </c>
      <c r="F331" s="1489"/>
      <c r="G331" s="1489"/>
      <c r="H331" s="1489"/>
      <c r="I331" s="1489"/>
      <c r="J331" s="1489"/>
      <c r="K331" s="1405"/>
      <c r="L331" s="1427"/>
      <c r="M331" s="1423"/>
      <c r="N331" s="1489"/>
      <c r="O331" s="1423"/>
      <c r="P331" s="1423"/>
      <c r="Q331" s="1423"/>
      <c r="R331" s="1489"/>
      <c r="S331" s="1423"/>
      <c r="T331" s="1423"/>
      <c r="U331" s="1423"/>
      <c r="V331" s="1489"/>
      <c r="W331" s="1489"/>
      <c r="X331" s="1489"/>
      <c r="Y331" s="1489"/>
      <c r="Z331" s="1489"/>
      <c r="AA331" s="727"/>
      <c r="AB331" s="727"/>
      <c r="AC331" s="727"/>
      <c r="AD331" s="1489"/>
      <c r="AF331" s="1489"/>
      <c r="AG331" s="1489"/>
      <c r="AH331" s="1489"/>
      <c r="AK331" s="727"/>
      <c r="AL331" s="748"/>
    </row>
    <row r="332" spans="1:38">
      <c r="A332" s="728">
        <v>327</v>
      </c>
      <c r="B332" s="1421" t="s">
        <v>2661</v>
      </c>
      <c r="E332" s="1488">
        <f>'1501 Summary'!AD235</f>
        <v>408396.4</v>
      </c>
      <c r="F332" s="1489"/>
      <c r="G332" s="1489"/>
      <c r="H332" s="1489"/>
      <c r="I332" s="1489"/>
      <c r="J332" s="1489"/>
      <c r="K332" s="1405"/>
      <c r="L332" s="1427"/>
      <c r="M332" s="1423"/>
      <c r="N332" s="1489"/>
      <c r="O332" s="1423"/>
      <c r="P332" s="1423"/>
      <c r="Q332" s="1423"/>
      <c r="R332" s="1489"/>
      <c r="S332" s="1423"/>
      <c r="T332" s="1423"/>
      <c r="U332" s="1423"/>
      <c r="V332" s="1489"/>
      <c r="W332" s="1489"/>
      <c r="X332" s="1489"/>
      <c r="Y332" s="1489"/>
      <c r="Z332" s="1489"/>
      <c r="AA332" s="727"/>
      <c r="AB332" s="727"/>
      <c r="AC332" s="727"/>
      <c r="AD332" s="1489"/>
      <c r="AF332" s="1489"/>
      <c r="AG332" s="1489"/>
      <c r="AH332" s="1489"/>
      <c r="AK332" s="727"/>
      <c r="AL332" s="748"/>
    </row>
    <row r="333" spans="1:38">
      <c r="A333" s="728">
        <v>328</v>
      </c>
      <c r="B333" s="1421" t="s">
        <v>2676</v>
      </c>
      <c r="E333" s="1488">
        <f>'1501 Summary'!AD236</f>
        <v>714.05000000000007</v>
      </c>
      <c r="F333" s="1489"/>
      <c r="G333" s="1489"/>
      <c r="H333" s="1489"/>
      <c r="I333" s="1489"/>
      <c r="J333" s="1489"/>
      <c r="K333" s="1405"/>
      <c r="L333" s="1427"/>
      <c r="M333" s="1423"/>
      <c r="N333" s="1489"/>
      <c r="O333" s="1423"/>
      <c r="P333" s="1423"/>
      <c r="Q333" s="1423"/>
      <c r="R333" s="1489"/>
      <c r="S333" s="1423"/>
      <c r="T333" s="1423"/>
      <c r="U333" s="1423"/>
      <c r="V333" s="1489"/>
      <c r="W333" s="1489"/>
      <c r="X333" s="1489"/>
      <c r="Y333" s="1489"/>
      <c r="Z333" s="1489"/>
      <c r="AA333" s="727"/>
      <c r="AB333" s="727"/>
      <c r="AC333" s="727"/>
      <c r="AD333" s="1489"/>
      <c r="AF333" s="1489"/>
      <c r="AG333" s="1489"/>
      <c r="AH333" s="1489"/>
      <c r="AK333" s="727"/>
      <c r="AL333" s="748"/>
    </row>
    <row r="334" spans="1:38">
      <c r="A334" s="728">
        <v>329</v>
      </c>
      <c r="B334" s="1462" t="s">
        <v>2720</v>
      </c>
      <c r="E334" s="1488">
        <f>'1501 Summary'!AD237</f>
        <v>6197.85</v>
      </c>
      <c r="F334" s="1489"/>
      <c r="G334" s="1489"/>
      <c r="H334" s="1489"/>
      <c r="I334" s="1489"/>
      <c r="J334" s="1489"/>
      <c r="K334" s="1405"/>
      <c r="L334" s="1427"/>
      <c r="M334" s="1423"/>
      <c r="N334" s="1489"/>
      <c r="O334" s="1423"/>
      <c r="P334" s="1423"/>
      <c r="Q334" s="1423"/>
      <c r="R334" s="1489"/>
      <c r="S334" s="1423"/>
      <c r="T334" s="1423"/>
      <c r="U334" s="1423"/>
      <c r="V334" s="1489"/>
      <c r="W334" s="1489"/>
      <c r="X334" s="1489"/>
      <c r="Y334" s="1489"/>
      <c r="Z334" s="1489"/>
      <c r="AA334" s="727"/>
      <c r="AB334" s="727"/>
      <c r="AC334" s="727"/>
      <c r="AD334" s="1489"/>
      <c r="AF334" s="1489"/>
      <c r="AG334" s="1489"/>
      <c r="AH334" s="1489"/>
      <c r="AK334" s="727"/>
      <c r="AL334" s="748"/>
    </row>
    <row r="335" spans="1:38">
      <c r="A335" s="728">
        <v>330</v>
      </c>
      <c r="B335" s="1421" t="s">
        <v>2662</v>
      </c>
      <c r="E335" s="1488">
        <f>'1501 Summary'!AD238</f>
        <v>5602.9400000000005</v>
      </c>
      <c r="F335" s="1489"/>
      <c r="G335" s="1489"/>
      <c r="H335" s="1489"/>
      <c r="I335" s="1489"/>
      <c r="J335" s="1489"/>
      <c r="K335" s="1405"/>
      <c r="L335" s="1427"/>
      <c r="M335" s="1423"/>
      <c r="N335" s="1489"/>
      <c r="O335" s="1423"/>
      <c r="P335" s="1423"/>
      <c r="Q335" s="1423"/>
      <c r="R335" s="1489"/>
      <c r="S335" s="1423"/>
      <c r="T335" s="1423"/>
      <c r="U335" s="1423"/>
      <c r="V335" s="1489"/>
      <c r="W335" s="1489"/>
      <c r="X335" s="1489"/>
      <c r="Y335" s="1489"/>
      <c r="Z335" s="1489"/>
      <c r="AA335" s="727"/>
      <c r="AB335" s="727"/>
      <c r="AC335" s="727"/>
      <c r="AD335" s="1489"/>
      <c r="AF335" s="1489"/>
      <c r="AG335" s="1489"/>
      <c r="AH335" s="1489"/>
      <c r="AK335" s="727"/>
      <c r="AL335" s="748"/>
    </row>
    <row r="336" spans="1:38">
      <c r="A336" s="728">
        <v>331</v>
      </c>
      <c r="B336" s="1421" t="s">
        <v>2663</v>
      </c>
      <c r="E336" s="1488">
        <f>'1501 Summary'!AD239</f>
        <v>30.129999999999953</v>
      </c>
      <c r="F336" s="1489"/>
      <c r="G336" s="1489"/>
      <c r="H336" s="1489"/>
      <c r="I336" s="1489"/>
      <c r="J336" s="1489"/>
      <c r="K336" s="1405"/>
      <c r="L336" s="1427"/>
      <c r="M336" s="1423"/>
      <c r="N336" s="1489"/>
      <c r="O336" s="1423"/>
      <c r="P336" s="1423"/>
      <c r="Q336" s="1423"/>
      <c r="R336" s="1489"/>
      <c r="S336" s="1423"/>
      <c r="T336" s="1423"/>
      <c r="U336" s="1423"/>
      <c r="V336" s="1489"/>
      <c r="W336" s="1489"/>
      <c r="X336" s="1489"/>
      <c r="Y336" s="1489"/>
      <c r="Z336" s="1489"/>
      <c r="AA336" s="727"/>
      <c r="AB336" s="727"/>
      <c r="AC336" s="727"/>
      <c r="AD336" s="1489"/>
      <c r="AF336" s="1489"/>
      <c r="AG336" s="1489"/>
      <c r="AH336" s="1489"/>
      <c r="AK336" s="727"/>
      <c r="AL336" s="748"/>
    </row>
    <row r="337" spans="1:38">
      <c r="A337" s="728">
        <v>332</v>
      </c>
      <c r="B337" s="1421" t="s">
        <v>2664</v>
      </c>
      <c r="E337" s="1488">
        <f>'1501 Summary'!AD240</f>
        <v>904.32</v>
      </c>
      <c r="F337" s="1489"/>
      <c r="G337" s="1489"/>
      <c r="H337" s="1489"/>
      <c r="I337" s="1489"/>
      <c r="J337" s="1489"/>
      <c r="K337" s="1405"/>
      <c r="L337" s="1427"/>
      <c r="M337" s="1423"/>
      <c r="N337" s="1489"/>
      <c r="O337" s="1423"/>
      <c r="P337" s="1423"/>
      <c r="Q337" s="1423"/>
      <c r="R337" s="1489"/>
      <c r="S337" s="1423"/>
      <c r="T337" s="1423"/>
      <c r="U337" s="1423"/>
      <c r="V337" s="1489"/>
      <c r="W337" s="1489"/>
      <c r="X337" s="1489"/>
      <c r="Y337" s="1489"/>
      <c r="Z337" s="1489"/>
      <c r="AA337" s="727"/>
      <c r="AB337" s="727"/>
      <c r="AC337" s="727"/>
      <c r="AD337" s="1489"/>
      <c r="AF337" s="1489"/>
      <c r="AG337" s="1489"/>
      <c r="AH337" s="1489"/>
      <c r="AK337" s="727"/>
      <c r="AL337" s="748"/>
    </row>
    <row r="338" spans="1:38">
      <c r="A338" s="728">
        <v>333</v>
      </c>
      <c r="B338" s="1443" t="s">
        <v>2665</v>
      </c>
      <c r="E338" s="1488">
        <f>'1501 Summary'!AD241</f>
        <v>6522.57</v>
      </c>
      <c r="F338" s="1489"/>
      <c r="G338" s="1489"/>
      <c r="H338" s="1489"/>
      <c r="I338" s="1489"/>
      <c r="J338" s="1489"/>
      <c r="K338" s="1405"/>
      <c r="L338" s="1427"/>
      <c r="M338" s="1423"/>
      <c r="N338" s="1489"/>
      <c r="O338" s="1423"/>
      <c r="P338" s="1423"/>
      <c r="Q338" s="1423"/>
      <c r="R338" s="1489"/>
      <c r="S338" s="1423"/>
      <c r="T338" s="1423"/>
      <c r="U338" s="1423"/>
      <c r="V338" s="1489"/>
      <c r="W338" s="1489"/>
      <c r="X338" s="1489"/>
      <c r="Y338" s="1489"/>
      <c r="Z338" s="1489"/>
      <c r="AA338" s="727"/>
      <c r="AB338" s="727"/>
      <c r="AC338" s="727"/>
      <c r="AD338" s="1489"/>
      <c r="AF338" s="1489"/>
      <c r="AG338" s="1489"/>
      <c r="AH338" s="1489"/>
      <c r="AK338" s="727"/>
      <c r="AL338" s="748"/>
    </row>
    <row r="339" spans="1:38">
      <c r="A339" s="728">
        <v>334</v>
      </c>
      <c r="B339" s="1443" t="s">
        <v>54</v>
      </c>
      <c r="E339" s="1488">
        <f>'1501 Summary'!AD242</f>
        <v>-13318.530000000008</v>
      </c>
      <c r="F339" s="1489"/>
      <c r="G339" s="1489"/>
      <c r="H339" s="1489"/>
      <c r="I339" s="1489"/>
      <c r="J339" s="1489"/>
      <c r="K339" s="1405"/>
      <c r="L339" s="1427"/>
      <c r="M339" s="1423"/>
      <c r="N339" s="1489"/>
      <c r="O339" s="1423"/>
      <c r="P339" s="1423"/>
      <c r="Q339" s="1423"/>
      <c r="R339" s="1489"/>
      <c r="S339" s="1423"/>
      <c r="T339" s="1423"/>
      <c r="U339" s="1423"/>
      <c r="V339" s="1489"/>
      <c r="W339" s="1489"/>
      <c r="X339" s="1489"/>
      <c r="Y339" s="1489"/>
      <c r="Z339" s="1489"/>
      <c r="AA339" s="727"/>
      <c r="AB339" s="727"/>
      <c r="AC339" s="727"/>
      <c r="AD339" s="1489"/>
      <c r="AF339" s="1489"/>
      <c r="AG339" s="1489"/>
      <c r="AH339" s="1489"/>
      <c r="AK339" s="727"/>
      <c r="AL339" s="748"/>
    </row>
    <row r="340" spans="1:38">
      <c r="A340" s="728">
        <v>335</v>
      </c>
      <c r="B340" s="1443" t="s">
        <v>2666</v>
      </c>
      <c r="E340" s="1423">
        <f>'Revenue Reconcilliation'!Q194</f>
        <v>0</v>
      </c>
      <c r="F340" s="1423"/>
      <c r="G340" s="1423"/>
      <c r="H340" s="1423"/>
      <c r="I340" s="1423"/>
      <c r="J340" s="1423"/>
      <c r="K340" s="1405"/>
      <c r="L340" s="1427"/>
      <c r="M340" s="1423"/>
      <c r="N340" s="1423"/>
      <c r="O340" s="1423"/>
      <c r="P340" s="1423"/>
      <c r="Q340" s="1423"/>
      <c r="R340" s="1423"/>
      <c r="S340" s="1423"/>
      <c r="T340" s="1423"/>
      <c r="U340" s="1423"/>
      <c r="V340" s="1423"/>
      <c r="W340" s="1423"/>
      <c r="X340" s="1423"/>
      <c r="Y340" s="1423"/>
      <c r="Z340" s="1423"/>
      <c r="AA340" s="727"/>
      <c r="AB340" s="727"/>
      <c r="AC340" s="727"/>
      <c r="AD340" s="1423"/>
      <c r="AF340" s="1423"/>
      <c r="AG340" s="1423"/>
      <c r="AH340" s="1423"/>
      <c r="AK340" s="727"/>
      <c r="AL340" s="748"/>
    </row>
    <row r="341" spans="1:38">
      <c r="A341" s="728">
        <v>336</v>
      </c>
      <c r="B341" s="1443" t="s">
        <v>2667</v>
      </c>
      <c r="E341" s="1423">
        <f>'Revenue Reconcilliation'!Q195</f>
        <v>0</v>
      </c>
      <c r="F341" s="1423"/>
      <c r="G341" s="1423"/>
      <c r="H341" s="1423"/>
      <c r="I341" s="1423"/>
      <c r="J341" s="1423"/>
      <c r="K341" s="1405"/>
      <c r="L341" s="1427"/>
      <c r="M341" s="1423"/>
      <c r="N341" s="1423"/>
      <c r="O341" s="1423"/>
      <c r="P341" s="1423"/>
      <c r="Q341" s="1423"/>
      <c r="R341" s="1423"/>
      <c r="S341" s="1423"/>
      <c r="T341" s="1423"/>
      <c r="U341" s="1423"/>
      <c r="V341" s="1423"/>
      <c r="W341" s="1423"/>
      <c r="X341" s="1423"/>
      <c r="Y341" s="1423"/>
      <c r="Z341" s="1423"/>
      <c r="AA341" s="1423"/>
      <c r="AB341" s="1423"/>
      <c r="AC341" s="1423"/>
      <c r="AD341" s="1423"/>
      <c r="AF341" s="1423"/>
      <c r="AG341" s="1423"/>
      <c r="AH341" s="1423"/>
      <c r="AK341" s="1423"/>
      <c r="AL341" s="748"/>
    </row>
    <row r="342" spans="1:38">
      <c r="A342" s="728">
        <v>337</v>
      </c>
      <c r="B342" s="1443" t="s">
        <v>2668</v>
      </c>
      <c r="E342" s="1423">
        <f>'Revenue Reconcilliation'!Q196</f>
        <v>0</v>
      </c>
      <c r="F342" s="1423"/>
      <c r="G342" s="1423"/>
      <c r="H342" s="1423"/>
      <c r="I342" s="1423"/>
      <c r="J342" s="1423"/>
      <c r="K342" s="1405"/>
      <c r="L342" s="1427"/>
      <c r="M342" s="1423"/>
      <c r="N342" s="1423"/>
      <c r="O342" s="1423"/>
      <c r="P342" s="1423"/>
      <c r="Q342" s="1423"/>
      <c r="R342" s="1423"/>
      <c r="S342" s="1423"/>
      <c r="T342" s="1423"/>
      <c r="U342" s="1423"/>
      <c r="V342" s="1423"/>
      <c r="W342" s="1423"/>
      <c r="X342" s="1423"/>
      <c r="Y342" s="1423"/>
      <c r="Z342" s="1423"/>
      <c r="AA342" s="1423"/>
      <c r="AB342" s="1423"/>
      <c r="AC342" s="1423"/>
      <c r="AD342" s="1423"/>
      <c r="AF342" s="1423"/>
      <c r="AG342" s="1423"/>
      <c r="AH342" s="1423"/>
      <c r="AK342" s="1423"/>
      <c r="AL342" s="748"/>
    </row>
    <row r="343" spans="1:38">
      <c r="A343" s="728">
        <v>338</v>
      </c>
      <c r="B343" s="1443" t="s">
        <v>2669</v>
      </c>
      <c r="E343" s="1423">
        <f>'Revenue Reconcilliation'!Q197</f>
        <v>-106115.93000000001</v>
      </c>
      <c r="F343" s="1423"/>
      <c r="G343" s="1423"/>
      <c r="H343" s="1423"/>
      <c r="I343" s="1423"/>
      <c r="J343" s="1423"/>
      <c r="K343" s="1405"/>
      <c r="L343" s="1427"/>
      <c r="M343" s="1423"/>
      <c r="N343" s="1423"/>
      <c r="O343" s="1423"/>
      <c r="P343" s="1423"/>
      <c r="Q343" s="1423"/>
      <c r="R343" s="1423"/>
      <c r="S343" s="1423"/>
      <c r="T343" s="1423"/>
      <c r="U343" s="1423"/>
      <c r="V343" s="1423"/>
      <c r="W343" s="1423"/>
      <c r="X343" s="1423"/>
      <c r="Y343" s="1423"/>
      <c r="Z343" s="1423"/>
      <c r="AA343" s="1423"/>
      <c r="AB343" s="1423"/>
      <c r="AC343" s="1423"/>
      <c r="AD343" s="1423"/>
      <c r="AF343" s="1423"/>
      <c r="AG343" s="1423"/>
      <c r="AH343" s="1423"/>
      <c r="AK343" s="1423"/>
      <c r="AL343" s="748"/>
    </row>
    <row r="344" spans="1:38">
      <c r="A344" s="728">
        <v>339</v>
      </c>
      <c r="B344" s="1443" t="s">
        <v>2670</v>
      </c>
      <c r="E344" s="1423">
        <f>'Revenue Reconcilliation'!Q198</f>
        <v>0</v>
      </c>
      <c r="F344" s="1423"/>
      <c r="G344" s="1423"/>
      <c r="H344" s="1423"/>
      <c r="I344" s="1423"/>
      <c r="J344" s="1423"/>
      <c r="K344" s="1405"/>
      <c r="L344" s="1427"/>
      <c r="M344" s="1423"/>
      <c r="N344" s="1423"/>
      <c r="O344" s="1423"/>
      <c r="P344" s="1423"/>
      <c r="Q344" s="1423"/>
      <c r="R344" s="1423"/>
      <c r="S344" s="1423"/>
      <c r="T344" s="1423"/>
      <c r="U344" s="1423"/>
      <c r="V344" s="1423"/>
      <c r="W344" s="1423"/>
      <c r="X344" s="1423"/>
      <c r="Y344" s="1423"/>
      <c r="Z344" s="1423"/>
      <c r="AA344" s="1423"/>
      <c r="AB344" s="1423"/>
      <c r="AC344" s="1423"/>
      <c r="AD344" s="1423"/>
      <c r="AF344" s="1423"/>
      <c r="AG344" s="1423"/>
      <c r="AH344" s="1423"/>
      <c r="AK344" s="1423"/>
      <c r="AL344" s="748"/>
    </row>
    <row r="345" spans="1:38">
      <c r="A345" s="728">
        <v>340</v>
      </c>
      <c r="B345" s="1482" t="s">
        <v>2451</v>
      </c>
      <c r="E345" s="1423">
        <f>'Revenue Reconcilliation'!Q199</f>
        <v>0</v>
      </c>
      <c r="F345" s="1423"/>
      <c r="G345" s="1423"/>
      <c r="H345" s="1423"/>
      <c r="I345" s="1423"/>
      <c r="J345" s="1423"/>
      <c r="K345" s="1405"/>
      <c r="L345" s="1427"/>
      <c r="M345" s="1423"/>
      <c r="N345" s="1423"/>
      <c r="O345" s="1423"/>
      <c r="P345" s="1423"/>
      <c r="Q345" s="1423"/>
      <c r="R345" s="1423"/>
      <c r="S345" s="1423"/>
      <c r="T345" s="1423"/>
      <c r="U345" s="1423"/>
      <c r="V345" s="1423"/>
      <c r="W345" s="1423"/>
      <c r="X345" s="1423"/>
      <c r="Y345" s="1423"/>
      <c r="Z345" s="1423"/>
      <c r="AA345" s="1423"/>
      <c r="AB345" s="1423"/>
      <c r="AC345" s="1423"/>
      <c r="AD345" s="1423"/>
      <c r="AF345" s="1423"/>
      <c r="AG345" s="1423"/>
      <c r="AH345" s="1423"/>
      <c r="AK345" s="1423"/>
      <c r="AL345" s="748"/>
    </row>
    <row r="346" spans="1:38">
      <c r="A346" s="728">
        <v>341</v>
      </c>
      <c r="B346" s="1482" t="s">
        <v>2697</v>
      </c>
      <c r="E346" s="1423">
        <f>'Revenue Reconcilliation'!Q200</f>
        <v>-13703887.85</v>
      </c>
      <c r="F346" s="1423"/>
      <c r="G346" s="1423"/>
      <c r="H346" s="1423"/>
      <c r="I346" s="1423"/>
      <c r="J346" s="1423"/>
      <c r="K346" s="1405"/>
      <c r="L346" s="1427"/>
      <c r="M346" s="1423"/>
      <c r="N346" s="1423"/>
      <c r="O346" s="1423"/>
      <c r="P346" s="1423"/>
      <c r="Q346" s="1423"/>
      <c r="R346" s="1423"/>
      <c r="S346" s="1423"/>
      <c r="T346" s="1423"/>
      <c r="U346" s="1423"/>
      <c r="V346" s="1423"/>
      <c r="W346" s="1423"/>
      <c r="X346" s="1423"/>
      <c r="Y346" s="1423"/>
      <c r="Z346" s="1423"/>
      <c r="AA346" s="1423"/>
      <c r="AB346" s="1423"/>
      <c r="AC346" s="1423"/>
      <c r="AD346" s="1423"/>
      <c r="AF346" s="1423"/>
      <c r="AG346" s="1423"/>
      <c r="AH346" s="1423"/>
      <c r="AK346" s="1423"/>
      <c r="AL346" s="748"/>
    </row>
    <row r="347" spans="1:38">
      <c r="A347" s="728">
        <v>342</v>
      </c>
      <c r="B347" s="1482" t="s">
        <v>2698</v>
      </c>
      <c r="E347" s="1437">
        <f>'Revenue Reconcilliation'!Q201</f>
        <v>13702522.259999998</v>
      </c>
      <c r="F347" s="1423"/>
      <c r="G347" s="1423"/>
      <c r="H347" s="1423"/>
      <c r="I347" s="1423"/>
      <c r="J347" s="1423"/>
      <c r="K347" s="1405"/>
      <c r="L347" s="1427"/>
      <c r="M347" s="1423"/>
      <c r="N347" s="1423"/>
      <c r="O347" s="1423"/>
      <c r="P347" s="1423"/>
      <c r="Q347" s="1423"/>
      <c r="R347" s="1423"/>
      <c r="S347" s="1423"/>
      <c r="T347" s="1423"/>
      <c r="U347" s="1423"/>
      <c r="V347" s="1423"/>
      <c r="W347" s="1423"/>
      <c r="X347" s="1423"/>
      <c r="Y347" s="1423"/>
      <c r="Z347" s="1423"/>
      <c r="AA347" s="1423"/>
      <c r="AB347" s="1423"/>
      <c r="AC347" s="1423"/>
      <c r="AD347" s="1423"/>
      <c r="AF347" s="1423"/>
      <c r="AG347" s="1423"/>
      <c r="AH347" s="1423"/>
      <c r="AK347" s="1423"/>
      <c r="AL347" s="748"/>
    </row>
    <row r="348" spans="1:38">
      <c r="A348" s="728">
        <v>343</v>
      </c>
      <c r="B348" s="1443" t="s">
        <v>2678</v>
      </c>
      <c r="E348" s="1423">
        <f>SUM(E324:E347)</f>
        <v>1105654.5199999977</v>
      </c>
      <c r="F348" s="1423"/>
      <c r="G348" s="1423"/>
      <c r="H348" s="1423"/>
      <c r="I348" s="1423"/>
      <c r="J348" s="1423"/>
      <c r="K348" s="1405"/>
      <c r="L348" s="1427"/>
      <c r="M348" s="1423"/>
      <c r="N348" s="1423"/>
      <c r="O348" s="1423"/>
      <c r="P348" s="1423"/>
      <c r="Q348" s="1423"/>
      <c r="R348" s="1423"/>
      <c r="S348" s="1423"/>
      <c r="T348" s="1423"/>
      <c r="U348" s="1423"/>
      <c r="V348" s="1423"/>
      <c r="W348" s="1423"/>
      <c r="X348" s="1423"/>
      <c r="Y348" s="1423"/>
      <c r="Z348" s="1423"/>
      <c r="AA348" s="1423"/>
      <c r="AB348" s="1423"/>
      <c r="AC348" s="1423"/>
      <c r="AD348" s="1423"/>
      <c r="AF348" s="1423"/>
      <c r="AG348" s="1423"/>
      <c r="AH348" s="1423"/>
      <c r="AK348" s="1423"/>
      <c r="AL348" s="748"/>
    </row>
    <row r="349" spans="1:38">
      <c r="A349" s="728">
        <v>344</v>
      </c>
      <c r="B349" s="1443"/>
      <c r="E349" s="1423"/>
      <c r="F349" s="1423"/>
      <c r="G349" s="1423"/>
      <c r="H349" s="1423"/>
      <c r="I349" s="1423"/>
      <c r="J349" s="1423"/>
      <c r="K349" s="1405"/>
      <c r="L349" s="1427"/>
      <c r="M349" s="1423"/>
      <c r="N349" s="1423"/>
      <c r="O349" s="1423"/>
      <c r="P349" s="1423"/>
      <c r="Q349" s="1423"/>
      <c r="R349" s="1423"/>
      <c r="S349" s="1423"/>
      <c r="T349" s="1423"/>
      <c r="U349" s="1423"/>
      <c r="V349" s="1423"/>
      <c r="W349" s="1423"/>
      <c r="X349" s="1423"/>
      <c r="Y349" s="1423"/>
      <c r="Z349" s="1423"/>
      <c r="AA349" s="1423"/>
      <c r="AB349" s="1423"/>
      <c r="AC349" s="1423"/>
      <c r="AD349" s="1423"/>
      <c r="AF349" s="1423"/>
      <c r="AG349" s="1423"/>
      <c r="AH349" s="1423"/>
      <c r="AK349" s="1423"/>
      <c r="AL349" s="748"/>
    </row>
    <row r="350" spans="1:38">
      <c r="A350" s="728">
        <v>345</v>
      </c>
      <c r="B350" s="1444" t="s">
        <v>2721</v>
      </c>
      <c r="C350" s="1438">
        <f>E350-'Revenue Reconcilliation'!Q202</f>
        <v>0</v>
      </c>
      <c r="D350" s="1445" t="s">
        <v>2673</v>
      </c>
      <c r="E350" s="1437">
        <f>SUM(E321,E348)</f>
        <v>13775073.869999997</v>
      </c>
      <c r="F350" s="1437"/>
      <c r="G350" s="1437"/>
      <c r="H350" s="1437"/>
      <c r="I350" s="1437"/>
      <c r="J350" s="1437"/>
      <c r="K350" s="1447"/>
      <c r="L350" s="1446"/>
      <c r="M350" s="1437"/>
      <c r="N350" s="1437"/>
      <c r="O350" s="1437"/>
      <c r="P350" s="1437"/>
      <c r="Q350" s="1437"/>
      <c r="R350" s="1437"/>
      <c r="S350" s="1437"/>
      <c r="T350" s="1437"/>
      <c r="U350" s="1437"/>
      <c r="V350" s="1437"/>
      <c r="W350" s="1437"/>
      <c r="X350" s="1437"/>
      <c r="Y350" s="1437"/>
      <c r="Z350" s="1437"/>
      <c r="AA350" s="1437"/>
      <c r="AB350" s="1437"/>
      <c r="AC350" s="1437"/>
      <c r="AD350" s="1437"/>
      <c r="AE350" s="1447"/>
      <c r="AF350" s="1437"/>
      <c r="AG350" s="1437"/>
      <c r="AH350" s="1437"/>
      <c r="AI350" s="1438"/>
      <c r="AJ350" s="1438"/>
      <c r="AK350" s="1437"/>
      <c r="AL350" s="748"/>
    </row>
    <row r="351" spans="1:38">
      <c r="A351" s="728">
        <v>346</v>
      </c>
      <c r="D351" s="1450"/>
      <c r="E351" s="1429"/>
      <c r="F351" s="1429"/>
      <c r="G351" s="1429"/>
      <c r="H351" s="1429"/>
      <c r="I351" s="1429"/>
      <c r="J351" s="1429"/>
      <c r="K351" s="1405"/>
      <c r="L351" s="1427"/>
      <c r="M351" s="1423"/>
      <c r="N351" s="1429"/>
      <c r="O351" s="1423"/>
      <c r="P351" s="1423"/>
      <c r="Q351" s="1423"/>
      <c r="R351" s="1429"/>
      <c r="S351" s="1423"/>
      <c r="T351" s="1423"/>
      <c r="U351" s="1423"/>
      <c r="V351" s="1429"/>
      <c r="W351" s="1429"/>
      <c r="X351" s="1429"/>
      <c r="Y351" s="1429"/>
      <c r="Z351" s="1429"/>
      <c r="AD351" s="1429"/>
      <c r="AF351" s="1429"/>
      <c r="AG351" s="1429"/>
      <c r="AH351" s="1429"/>
      <c r="AL351" s="748"/>
    </row>
    <row r="352" spans="1:38">
      <c r="A352" s="728">
        <v>347</v>
      </c>
      <c r="B352" s="1420" t="s">
        <v>2722</v>
      </c>
      <c r="G352" s="1404" t="s">
        <v>2723</v>
      </c>
      <c r="K352" s="1405"/>
      <c r="L352" s="1427"/>
      <c r="M352" s="1423"/>
      <c r="O352" s="1423"/>
      <c r="P352" s="1423"/>
      <c r="Q352" s="1423"/>
      <c r="S352" s="1423"/>
      <c r="T352" s="1423"/>
      <c r="U352" s="1423"/>
      <c r="AI352" s="1430"/>
      <c r="AL352" s="748"/>
    </row>
    <row r="353" spans="1:38">
      <c r="A353" s="728">
        <v>348</v>
      </c>
      <c r="B353" s="727" t="s">
        <v>2724</v>
      </c>
      <c r="C353" s="1405">
        <f t="shared" ref="C353:C363" si="7">E353/D353</f>
        <v>12</v>
      </c>
      <c r="D353" s="1422">
        <v>625</v>
      </c>
      <c r="E353" s="1423">
        <f>'1501 Summary'!AD249</f>
        <v>7500</v>
      </c>
      <c r="F353" s="1422"/>
      <c r="G353" s="1424">
        <f>-C353</f>
        <v>-12</v>
      </c>
      <c r="H353" s="1422">
        <f>D353</f>
        <v>625</v>
      </c>
      <c r="I353" s="1423">
        <f>H353*G353</f>
        <v>-7500</v>
      </c>
      <c r="J353" s="1422"/>
      <c r="K353" s="1405">
        <f t="shared" ref="K353:K382" si="8">C353+G353</f>
        <v>0</v>
      </c>
      <c r="L353" s="1422">
        <f t="shared" ref="L353:L361" si="9">D353</f>
        <v>625</v>
      </c>
      <c r="M353" s="1423">
        <f>L353*K353</f>
        <v>0</v>
      </c>
      <c r="N353" s="1422"/>
      <c r="O353" s="1405"/>
      <c r="P353" s="1422"/>
      <c r="Q353" s="1423"/>
      <c r="R353" s="1422"/>
      <c r="S353" s="1405"/>
      <c r="T353" s="1422"/>
      <c r="U353" s="1423"/>
      <c r="V353" s="1422"/>
      <c r="W353" s="1422"/>
      <c r="X353" s="1422"/>
      <c r="Y353" s="1422"/>
      <c r="Z353" s="1422"/>
      <c r="AA353" s="1425"/>
      <c r="AB353" s="1425"/>
      <c r="AC353" s="1425"/>
      <c r="AD353" s="1422"/>
      <c r="AF353" s="1422"/>
      <c r="AG353" s="1422"/>
      <c r="AH353" s="1422"/>
      <c r="AI353" s="1430"/>
      <c r="AJ353" s="1425"/>
      <c r="AK353" s="1425"/>
      <c r="AL353" s="748"/>
    </row>
    <row r="354" spans="1:38">
      <c r="A354" s="728">
        <v>349</v>
      </c>
      <c r="B354" s="727" t="s">
        <v>2725</v>
      </c>
      <c r="C354" s="1405">
        <f t="shared" si="7"/>
        <v>7.0000000000000018</v>
      </c>
      <c r="D354" s="1430">
        <v>13219.29</v>
      </c>
      <c r="E354" s="1423">
        <f>SUM('1501 Summary'!G250,'1501 Summary'!I250,'1501 Summary'!K250,'1501 Summary'!M250,'1501 Summary'!O250,'1501 Summary'!Q250,'1501 Summary'!S250)</f>
        <v>92535.030000000028</v>
      </c>
      <c r="F354" s="1422"/>
      <c r="G354" s="1424">
        <f>-C354</f>
        <v>-7.0000000000000018</v>
      </c>
      <c r="H354" s="1422">
        <f t="shared" ref="H354:H363" si="10">D354</f>
        <v>13219.29</v>
      </c>
      <c r="I354" s="1423">
        <f t="shared" ref="I354:I363" si="11">H354*G354</f>
        <v>-92535.030000000028</v>
      </c>
      <c r="J354" s="1422"/>
      <c r="K354" s="1405">
        <f t="shared" si="8"/>
        <v>0</v>
      </c>
      <c r="L354" s="1423"/>
      <c r="M354" s="1423"/>
      <c r="N354" s="1422"/>
      <c r="O354" s="1405"/>
      <c r="P354" s="1422"/>
      <c r="Q354" s="1423"/>
      <c r="R354" s="1422"/>
      <c r="S354" s="1405"/>
      <c r="T354" s="1422"/>
      <c r="U354" s="1423"/>
      <c r="V354" s="1422"/>
      <c r="W354" s="1422"/>
      <c r="X354" s="1422"/>
      <c r="Y354" s="1422"/>
      <c r="Z354" s="1422"/>
      <c r="AA354" s="1425"/>
      <c r="AB354" s="1425"/>
      <c r="AC354" s="1425"/>
      <c r="AD354" s="1422"/>
      <c r="AF354" s="1422"/>
      <c r="AG354" s="1422"/>
      <c r="AH354" s="1422"/>
      <c r="AI354" s="1430"/>
      <c r="AJ354" s="1425"/>
      <c r="AK354" s="1425"/>
      <c r="AL354" s="748"/>
    </row>
    <row r="355" spans="1:38">
      <c r="A355" s="728">
        <v>350</v>
      </c>
      <c r="B355" s="727" t="s">
        <v>2726</v>
      </c>
      <c r="C355" s="1405">
        <f t="shared" si="7"/>
        <v>5</v>
      </c>
      <c r="D355" s="1430">
        <v>13344.87</v>
      </c>
      <c r="E355" s="1423">
        <f>SUM('1501 Summary'!U250,'1501 Summary'!W250,'1501 Summary'!Y250,'1501 Summary'!AA250,'1501 Summary'!AC250)</f>
        <v>66724.350000000006</v>
      </c>
      <c r="F355" s="1422"/>
      <c r="G355" s="1424">
        <f t="shared" ref="G355:G363" si="12">-C355</f>
        <v>-5</v>
      </c>
      <c r="H355" s="1422">
        <f t="shared" si="10"/>
        <v>13344.87</v>
      </c>
      <c r="I355" s="1423">
        <f t="shared" si="11"/>
        <v>-66724.350000000006</v>
      </c>
      <c r="J355" s="1422"/>
      <c r="K355" s="1405">
        <f t="shared" si="8"/>
        <v>0</v>
      </c>
      <c r="L355" s="1423">
        <f t="shared" si="9"/>
        <v>13344.87</v>
      </c>
      <c r="M355" s="1423">
        <f>L355*SUM(K355,K354)</f>
        <v>0</v>
      </c>
      <c r="N355" s="1422"/>
      <c r="O355" s="1405"/>
      <c r="P355" s="1423"/>
      <c r="Q355" s="1423"/>
      <c r="R355" s="1422"/>
      <c r="S355" s="1405"/>
      <c r="T355" s="1423"/>
      <c r="U355" s="1423"/>
      <c r="V355" s="1422"/>
      <c r="W355" s="1422"/>
      <c r="X355" s="1422"/>
      <c r="Y355" s="1422"/>
      <c r="Z355" s="1422"/>
      <c r="AA355" s="1425"/>
      <c r="AB355" s="1425"/>
      <c r="AC355" s="1425"/>
      <c r="AD355" s="1422"/>
      <c r="AF355" s="1422"/>
      <c r="AG355" s="1422"/>
      <c r="AH355" s="1422"/>
      <c r="AI355" s="1430"/>
      <c r="AJ355" s="1425"/>
      <c r="AK355" s="1425"/>
      <c r="AL355" s="748"/>
    </row>
    <row r="356" spans="1:38">
      <c r="A356" s="728">
        <v>351</v>
      </c>
      <c r="B356" s="727" t="s">
        <v>2727</v>
      </c>
      <c r="C356" s="1405"/>
      <c r="D356" s="1497"/>
      <c r="E356" s="1423">
        <f>SUM('1501 Summary'!G251:W251)</f>
        <v>0</v>
      </c>
      <c r="F356" s="1422"/>
      <c r="G356" s="1424">
        <f t="shared" si="12"/>
        <v>0</v>
      </c>
      <c r="H356" s="1422">
        <f t="shared" si="10"/>
        <v>0</v>
      </c>
      <c r="I356" s="1423">
        <f t="shared" si="11"/>
        <v>0</v>
      </c>
      <c r="J356" s="1422"/>
      <c r="K356" s="1405">
        <f t="shared" si="8"/>
        <v>0</v>
      </c>
      <c r="L356" s="1427"/>
      <c r="M356" s="1423"/>
      <c r="N356" s="1422"/>
      <c r="O356" s="1405"/>
      <c r="P356" s="1423"/>
      <c r="Q356" s="1423"/>
      <c r="R356" s="1422"/>
      <c r="S356" s="1405"/>
      <c r="T356" s="1423"/>
      <c r="U356" s="1423"/>
      <c r="V356" s="1422"/>
      <c r="W356" s="1422"/>
      <c r="X356" s="1422"/>
      <c r="Y356" s="1422"/>
      <c r="Z356" s="1422"/>
      <c r="AA356" s="1425"/>
      <c r="AB356" s="1425"/>
      <c r="AC356" s="1425"/>
      <c r="AD356" s="1422"/>
      <c r="AF356" s="1422"/>
      <c r="AG356" s="1422"/>
      <c r="AH356" s="1422"/>
      <c r="AI356" s="1430"/>
      <c r="AJ356" s="1425"/>
      <c r="AK356" s="1425"/>
      <c r="AL356" s="748"/>
    </row>
    <row r="357" spans="1:38">
      <c r="A357" s="728">
        <v>352</v>
      </c>
      <c r="B357" s="727" t="s">
        <v>2728</v>
      </c>
      <c r="C357" s="1405"/>
      <c r="D357" s="1498"/>
      <c r="E357" s="1423">
        <f>SUM('1501 Summary'!Y251:AC251)</f>
        <v>0</v>
      </c>
      <c r="F357" s="1422"/>
      <c r="G357" s="1424">
        <f t="shared" si="12"/>
        <v>0</v>
      </c>
      <c r="H357" s="1422">
        <f t="shared" si="10"/>
        <v>0</v>
      </c>
      <c r="I357" s="1423">
        <f t="shared" si="11"/>
        <v>0</v>
      </c>
      <c r="J357" s="1422"/>
      <c r="K357" s="1405">
        <f t="shared" si="8"/>
        <v>0</v>
      </c>
      <c r="L357" s="1427"/>
      <c r="M357" s="1423"/>
      <c r="N357" s="1422"/>
      <c r="O357" s="1405"/>
      <c r="P357" s="1422"/>
      <c r="Q357" s="1423"/>
      <c r="R357" s="1422"/>
      <c r="S357" s="1405"/>
      <c r="T357" s="1422"/>
      <c r="U357" s="1423"/>
      <c r="V357" s="1422"/>
      <c r="W357" s="1422"/>
      <c r="X357" s="1422"/>
      <c r="Y357" s="1422"/>
      <c r="Z357" s="1422"/>
      <c r="AA357" s="1425"/>
      <c r="AB357" s="1425"/>
      <c r="AC357" s="1425"/>
      <c r="AD357" s="1422"/>
      <c r="AF357" s="1422"/>
      <c r="AG357" s="1422"/>
      <c r="AH357" s="1422"/>
      <c r="AI357" s="1430"/>
      <c r="AJ357" s="1425"/>
      <c r="AK357" s="1425"/>
      <c r="AL357" s="748"/>
    </row>
    <row r="358" spans="1:38">
      <c r="A358" s="728">
        <v>353</v>
      </c>
      <c r="B358" s="727" t="s">
        <v>2729</v>
      </c>
      <c r="C358" s="1405">
        <f t="shared" si="7"/>
        <v>21523500.000000004</v>
      </c>
      <c r="D358" s="1497">
        <v>4.0000000000000002E-4</v>
      </c>
      <c r="E358" s="1423">
        <f>SUM('1501 Summary'!G252,'1501 Summary'!I252,'1501 Summary'!K252,'1501 Summary'!M252,'1501 Summary'!O252,'1501 Summary'!Q252,'1501 Summary'!S252,'1501 Summary'!U252,'1501 Summary'!W252)</f>
        <v>8609.4000000000015</v>
      </c>
      <c r="F358" s="1422"/>
      <c r="G358" s="1424">
        <f>-C358</f>
        <v>-21523500.000000004</v>
      </c>
      <c r="H358" s="1497">
        <f t="shared" si="10"/>
        <v>4.0000000000000002E-4</v>
      </c>
      <c r="I358" s="1423">
        <f>H358*G358</f>
        <v>-8609.4000000000015</v>
      </c>
      <c r="J358" s="1422"/>
      <c r="K358" s="1405">
        <f t="shared" si="8"/>
        <v>0</v>
      </c>
      <c r="L358" s="1427"/>
      <c r="M358" s="1423"/>
      <c r="N358" s="1422"/>
      <c r="O358" s="1405"/>
      <c r="P358" s="1422"/>
      <c r="Q358" s="1423"/>
      <c r="R358" s="1422"/>
      <c r="S358" s="1405"/>
      <c r="T358" s="1422"/>
      <c r="U358" s="1423"/>
      <c r="V358" s="1422"/>
      <c r="W358" s="1422"/>
      <c r="X358" s="1422"/>
      <c r="Y358" s="1422"/>
      <c r="Z358" s="1422"/>
      <c r="AA358" s="1425"/>
      <c r="AB358" s="1425"/>
      <c r="AC358" s="1425"/>
      <c r="AD358" s="1422"/>
      <c r="AF358" s="1422"/>
      <c r="AG358" s="1422"/>
      <c r="AH358" s="1422"/>
      <c r="AI358" s="1430"/>
      <c r="AJ358" s="1425"/>
      <c r="AK358" s="1425"/>
      <c r="AL358" s="748"/>
    </row>
    <row r="359" spans="1:38">
      <c r="A359" s="728">
        <v>354</v>
      </c>
      <c r="B359" s="727" t="s">
        <v>2730</v>
      </c>
      <c r="C359" s="1405">
        <f t="shared" si="7"/>
        <v>8214375</v>
      </c>
      <c r="D359" s="1497">
        <v>4.0000000000000002E-4</v>
      </c>
      <c r="E359" s="1423">
        <f>SUM('1501 Summary'!Y252,'1501 Summary'!AA252,'1501 Summary'!AC252)</f>
        <v>3285.75</v>
      </c>
      <c r="F359" s="1422"/>
      <c r="G359" s="1424">
        <f t="shared" si="12"/>
        <v>-8214375</v>
      </c>
      <c r="H359" s="1497">
        <f t="shared" si="10"/>
        <v>4.0000000000000002E-4</v>
      </c>
      <c r="I359" s="1423">
        <f t="shared" si="11"/>
        <v>-3285.75</v>
      </c>
      <c r="J359" s="1422"/>
      <c r="K359" s="1405">
        <f t="shared" si="8"/>
        <v>0</v>
      </c>
      <c r="L359" s="1427">
        <f t="shared" si="9"/>
        <v>4.0000000000000002E-4</v>
      </c>
      <c r="M359" s="1423">
        <f>L359*SUM(K359,K356)</f>
        <v>0</v>
      </c>
      <c r="N359" s="1422"/>
      <c r="O359" s="1429"/>
      <c r="P359" s="1422"/>
      <c r="Q359" s="1423"/>
      <c r="R359" s="1422"/>
      <c r="S359" s="1429"/>
      <c r="T359" s="1422"/>
      <c r="U359" s="1423"/>
      <c r="V359" s="1422"/>
      <c r="W359" s="1422"/>
      <c r="X359" s="1422"/>
      <c r="Y359" s="1422"/>
      <c r="Z359" s="1422"/>
      <c r="AA359" s="1425"/>
      <c r="AB359" s="1425"/>
      <c r="AC359" s="1425"/>
      <c r="AD359" s="1422"/>
      <c r="AF359" s="1422"/>
      <c r="AG359" s="1422"/>
      <c r="AH359" s="1422"/>
      <c r="AI359" s="1428"/>
      <c r="AJ359" s="1425"/>
      <c r="AK359" s="1425"/>
      <c r="AL359" s="748"/>
    </row>
    <row r="360" spans="1:38">
      <c r="A360" s="728">
        <v>355</v>
      </c>
      <c r="B360" s="727" t="s">
        <v>2731</v>
      </c>
      <c r="C360" s="1405">
        <f t="shared" si="7"/>
        <v>14171122.740901714</v>
      </c>
      <c r="D360" s="1404">
        <v>1.4541200000000001E-2</v>
      </c>
      <c r="E360" s="1423">
        <f>SUM('1501 Summary'!G253,'1501 Summary'!I253,'1501 Summary'!K253,'1501 Summary'!M253,'1501 Summary'!O253,'1501 Summary'!Q253)</f>
        <v>206065.13</v>
      </c>
      <c r="F360" s="1422"/>
      <c r="G360" s="1424">
        <f t="shared" si="12"/>
        <v>-14171122.740901714</v>
      </c>
      <c r="H360" s="1499">
        <f t="shared" si="10"/>
        <v>1.4541200000000001E-2</v>
      </c>
      <c r="I360" s="1423">
        <f t="shared" si="11"/>
        <v>-206065.13</v>
      </c>
      <c r="J360" s="1422"/>
      <c r="K360" s="1405">
        <f t="shared" si="8"/>
        <v>0</v>
      </c>
      <c r="L360" s="1427"/>
      <c r="M360" s="1423"/>
      <c r="N360" s="1422"/>
      <c r="O360" s="1405"/>
      <c r="P360" s="1422"/>
      <c r="Q360" s="1423"/>
      <c r="R360" s="1422"/>
      <c r="S360" s="1405"/>
      <c r="T360" s="1422"/>
      <c r="U360" s="1423"/>
      <c r="V360" s="1422"/>
      <c r="W360" s="1422"/>
      <c r="X360" s="1422"/>
      <c r="Y360" s="1422"/>
      <c r="Z360" s="1422"/>
      <c r="AA360" s="1425"/>
      <c r="AB360" s="1425"/>
      <c r="AC360" s="1425"/>
      <c r="AD360" s="1422"/>
      <c r="AF360" s="1422"/>
      <c r="AG360" s="1422"/>
      <c r="AH360" s="1422"/>
      <c r="AI360" s="1428"/>
      <c r="AJ360" s="1425"/>
      <c r="AK360" s="1425"/>
      <c r="AL360" s="748"/>
    </row>
    <row r="361" spans="1:38">
      <c r="A361" s="728">
        <v>356</v>
      </c>
      <c r="B361" s="727" t="s">
        <v>2732</v>
      </c>
      <c r="C361" s="1405">
        <f t="shared" si="7"/>
        <v>15341795.589707958</v>
      </c>
      <c r="D361" s="1404">
        <v>1.4679299999999999E-2</v>
      </c>
      <c r="E361" s="1423">
        <f>SUM('1501 Summary'!S253,'1501 Summary'!U253,'1501 Summary'!W253,'1501 Summary'!Y253,'1501 Summary'!AA253,'1501 Summary'!AC253)</f>
        <v>225206.82</v>
      </c>
      <c r="F361" s="1422"/>
      <c r="G361" s="1424">
        <f t="shared" si="12"/>
        <v>-15341795.589707958</v>
      </c>
      <c r="H361" s="1499">
        <f t="shared" si="10"/>
        <v>1.4679299999999999E-2</v>
      </c>
      <c r="I361" s="1423">
        <f t="shared" si="11"/>
        <v>-225206.82</v>
      </c>
      <c r="J361" s="1422"/>
      <c r="K361" s="1405">
        <f t="shared" si="8"/>
        <v>0</v>
      </c>
      <c r="L361" s="1498">
        <f t="shared" si="9"/>
        <v>1.4679299999999999E-2</v>
      </c>
      <c r="M361" s="1423">
        <f>L361*SUM(K361,K360)</f>
        <v>0</v>
      </c>
      <c r="N361" s="1422"/>
      <c r="O361" s="1405"/>
      <c r="P361" s="1422"/>
      <c r="Q361" s="1423"/>
      <c r="R361" s="1422"/>
      <c r="S361" s="1405"/>
      <c r="T361" s="1422"/>
      <c r="U361" s="1423"/>
      <c r="V361" s="1422"/>
      <c r="W361" s="1422"/>
      <c r="X361" s="1422"/>
      <c r="Y361" s="1422"/>
      <c r="Z361" s="1422"/>
      <c r="AA361" s="1425"/>
      <c r="AB361" s="1425"/>
      <c r="AC361" s="1425"/>
      <c r="AD361" s="1422"/>
      <c r="AF361" s="1422"/>
      <c r="AG361" s="1422"/>
      <c r="AH361" s="1422"/>
      <c r="AI361" s="1428"/>
      <c r="AJ361" s="1425"/>
      <c r="AK361" s="1425"/>
      <c r="AL361" s="748"/>
    </row>
    <row r="362" spans="1:38">
      <c r="A362" s="728">
        <v>357</v>
      </c>
      <c r="B362" s="727" t="s">
        <v>2733</v>
      </c>
      <c r="C362" s="1405">
        <f t="shared" si="7"/>
        <v>307368.03654901887</v>
      </c>
      <c r="D362" s="1499">
        <v>1.8889699999999999E-2</v>
      </c>
      <c r="E362" s="1423">
        <f>SUM('1501 Summary'!G254,'1501 Summary'!I254,'1501 Summary'!K254,'1501 Summary'!M254,'1501 Summary'!O254,'1501 Summary'!Q254)</f>
        <v>5806.0900000000011</v>
      </c>
      <c r="F362" s="1422"/>
      <c r="G362" s="1424">
        <f t="shared" si="12"/>
        <v>-307368.03654901887</v>
      </c>
      <c r="H362" s="1499">
        <f t="shared" si="10"/>
        <v>1.8889699999999999E-2</v>
      </c>
      <c r="I362" s="1423">
        <f t="shared" si="11"/>
        <v>-5806.0900000000011</v>
      </c>
      <c r="J362" s="1422"/>
      <c r="K362" s="1405">
        <f t="shared" si="8"/>
        <v>0</v>
      </c>
      <c r="L362" s="1498"/>
      <c r="M362" s="1423"/>
      <c r="N362" s="1422"/>
      <c r="O362" s="1405"/>
      <c r="P362" s="1422"/>
      <c r="Q362" s="1423"/>
      <c r="R362" s="1422"/>
      <c r="S362" s="1405"/>
      <c r="T362" s="1422"/>
      <c r="U362" s="1423"/>
      <c r="V362" s="1422"/>
      <c r="W362" s="1422"/>
      <c r="X362" s="1422"/>
      <c r="Y362" s="1422"/>
      <c r="Z362" s="1422"/>
      <c r="AA362" s="1425"/>
      <c r="AB362" s="1425"/>
      <c r="AC362" s="1425"/>
      <c r="AD362" s="1422"/>
      <c r="AF362" s="1422"/>
      <c r="AG362" s="1422"/>
      <c r="AH362" s="1422"/>
      <c r="AI362" s="1428"/>
      <c r="AJ362" s="1425"/>
      <c r="AK362" s="1425"/>
      <c r="AL362" s="748"/>
    </row>
    <row r="363" spans="1:38">
      <c r="A363" s="728">
        <v>358</v>
      </c>
      <c r="B363" s="1453" t="s">
        <v>2734</v>
      </c>
      <c r="C363" s="1405">
        <f t="shared" si="7"/>
        <v>0</v>
      </c>
      <c r="D363" s="1499">
        <v>1.9069099999999999E-2</v>
      </c>
      <c r="E363" s="1437">
        <f>SUM('1501 Summary'!S254:AC254)</f>
        <v>0</v>
      </c>
      <c r="F363" s="1422"/>
      <c r="G363" s="1469">
        <f t="shared" si="12"/>
        <v>0</v>
      </c>
      <c r="H363" s="1499">
        <f t="shared" si="10"/>
        <v>1.9069099999999999E-2</v>
      </c>
      <c r="I363" s="1437">
        <f t="shared" si="11"/>
        <v>0</v>
      </c>
      <c r="J363" s="1422"/>
      <c r="K363" s="1405">
        <f t="shared" si="8"/>
        <v>0</v>
      </c>
      <c r="L363" s="1498">
        <f>D363</f>
        <v>1.9069099999999999E-2</v>
      </c>
      <c r="M363" s="1437">
        <f>L363*SUM(K363,K362)</f>
        <v>0</v>
      </c>
      <c r="N363" s="1422"/>
      <c r="O363" s="1405"/>
      <c r="P363" s="1422"/>
      <c r="Q363" s="1423"/>
      <c r="R363" s="1422"/>
      <c r="S363" s="1405"/>
      <c r="T363" s="1422"/>
      <c r="U363" s="1423"/>
      <c r="V363" s="1422"/>
      <c r="W363" s="1422"/>
      <c r="X363" s="1422"/>
      <c r="Y363" s="1422"/>
      <c r="Z363" s="1422"/>
      <c r="AA363" s="1425"/>
      <c r="AB363" s="1425"/>
      <c r="AC363" s="1425"/>
      <c r="AD363" s="1422"/>
      <c r="AF363" s="1422"/>
      <c r="AG363" s="1422"/>
      <c r="AH363" s="1422"/>
      <c r="AI363" s="1428"/>
      <c r="AJ363" s="1425"/>
      <c r="AK363" s="1425"/>
      <c r="AL363" s="748"/>
    </row>
    <row r="364" spans="1:38">
      <c r="A364" s="728">
        <v>359</v>
      </c>
      <c r="B364" s="727" t="s">
        <v>2648</v>
      </c>
      <c r="C364" s="1405"/>
      <c r="D364" s="1498"/>
      <c r="E364" s="1423">
        <f>SUM(E353:E363)</f>
        <v>615732.56999999995</v>
      </c>
      <c r="F364" s="1422"/>
      <c r="G364" s="1422"/>
      <c r="H364" s="1422"/>
      <c r="I364" s="1422">
        <f>SUM(I353:I363)</f>
        <v>-615732.56999999995</v>
      </c>
      <c r="J364" s="1422"/>
      <c r="K364" s="1405"/>
      <c r="L364" s="1427"/>
      <c r="M364" s="1423">
        <f>SUM(M353:M363)</f>
        <v>0</v>
      </c>
      <c r="N364" s="1422"/>
      <c r="O364" s="1422"/>
      <c r="P364" s="1422"/>
      <c r="Q364" s="1423"/>
      <c r="R364" s="1422"/>
      <c r="S364" s="1422"/>
      <c r="T364" s="1422"/>
      <c r="U364" s="1423"/>
      <c r="V364" s="1422"/>
      <c r="W364" s="1422"/>
      <c r="X364" s="1422"/>
      <c r="Y364" s="1422"/>
      <c r="Z364" s="1422"/>
      <c r="AA364" s="1425"/>
      <c r="AB364" s="1425"/>
      <c r="AC364" s="1425"/>
      <c r="AD364" s="1422"/>
      <c r="AF364" s="1422"/>
      <c r="AG364" s="1422"/>
      <c r="AH364" s="1422"/>
      <c r="AI364" s="1430"/>
      <c r="AJ364" s="1425"/>
      <c r="AK364" s="1425"/>
      <c r="AL364" s="748"/>
    </row>
    <row r="365" spans="1:38">
      <c r="A365" s="728">
        <v>360</v>
      </c>
      <c r="E365" s="1423"/>
      <c r="F365" s="1423"/>
      <c r="G365" s="1423"/>
      <c r="H365" s="1423"/>
      <c r="I365" s="1423"/>
      <c r="J365" s="1423"/>
      <c r="K365" s="1405"/>
      <c r="L365" s="1427"/>
      <c r="M365" s="1423"/>
      <c r="N365" s="1423"/>
      <c r="O365" s="1423"/>
      <c r="P365" s="1423"/>
      <c r="Q365" s="1423"/>
      <c r="R365" s="1423"/>
      <c r="S365" s="1423"/>
      <c r="T365" s="1423"/>
      <c r="U365" s="1423"/>
      <c r="V365" s="1423"/>
      <c r="W365" s="1423"/>
      <c r="X365" s="1423"/>
      <c r="Y365" s="1423"/>
      <c r="Z365" s="1423"/>
      <c r="AA365" s="1423"/>
      <c r="AB365" s="1423"/>
      <c r="AC365" s="1423"/>
      <c r="AD365" s="1423"/>
      <c r="AF365" s="1423"/>
      <c r="AG365" s="1423"/>
      <c r="AH365" s="1423"/>
      <c r="AI365" s="1430"/>
      <c r="AJ365" s="1425"/>
      <c r="AK365" s="1423"/>
      <c r="AL365" s="748"/>
    </row>
    <row r="366" spans="1:38">
      <c r="A366" s="728">
        <v>361</v>
      </c>
      <c r="B366" s="727" t="s">
        <v>2651</v>
      </c>
      <c r="E366" s="1423"/>
      <c r="F366" s="1423"/>
      <c r="G366" s="1423"/>
      <c r="H366" s="1423"/>
      <c r="I366" s="1423"/>
      <c r="J366" s="1423"/>
      <c r="K366" s="1405"/>
      <c r="L366" s="1427"/>
      <c r="M366" s="1423"/>
      <c r="N366" s="1423"/>
      <c r="O366" s="1423"/>
      <c r="P366" s="1423"/>
      <c r="Q366" s="1423"/>
      <c r="R366" s="1423"/>
      <c r="S366" s="1423"/>
      <c r="T366" s="1423"/>
      <c r="U366" s="1423"/>
      <c r="V366" s="1423"/>
      <c r="W366" s="1423"/>
      <c r="X366" s="1423"/>
      <c r="Y366" s="1423"/>
      <c r="Z366" s="1423"/>
      <c r="AA366" s="1423"/>
      <c r="AB366" s="1423"/>
      <c r="AC366" s="1423"/>
      <c r="AD366" s="1423"/>
      <c r="AF366" s="1423"/>
      <c r="AG366" s="1423"/>
      <c r="AH366" s="1423"/>
      <c r="AI366" s="1430"/>
      <c r="AJ366" s="1425"/>
      <c r="AK366" s="1423"/>
      <c r="AL366" s="748"/>
    </row>
    <row r="367" spans="1:38">
      <c r="A367" s="728">
        <v>362</v>
      </c>
      <c r="B367" s="727" t="s">
        <v>2719</v>
      </c>
      <c r="E367" s="1423">
        <f>'1501 Summary'!AD255</f>
        <v>27283.11</v>
      </c>
      <c r="F367" s="1422"/>
      <c r="G367" s="1422"/>
      <c r="H367" s="1422"/>
      <c r="I367" s="1422"/>
      <c r="J367" s="1422"/>
      <c r="K367" s="1405"/>
      <c r="L367" s="1427"/>
      <c r="M367" s="1423"/>
      <c r="N367" s="1422"/>
      <c r="O367" s="1423"/>
      <c r="P367" s="1423"/>
      <c r="Q367" s="1423"/>
      <c r="R367" s="1422"/>
      <c r="S367" s="1423"/>
      <c r="T367" s="1423"/>
      <c r="U367" s="1423"/>
      <c r="V367" s="1422"/>
      <c r="W367" s="1422"/>
      <c r="X367" s="1422"/>
      <c r="Y367" s="1422"/>
      <c r="Z367" s="1422"/>
      <c r="AA367" s="1423"/>
      <c r="AB367" s="1423"/>
      <c r="AC367" s="1423"/>
      <c r="AD367" s="1422"/>
      <c r="AF367" s="1422"/>
      <c r="AG367" s="1422"/>
      <c r="AH367" s="1422"/>
      <c r="AI367" s="1430"/>
      <c r="AJ367" s="1425"/>
      <c r="AK367" s="1423"/>
      <c r="AL367" s="748"/>
    </row>
    <row r="368" spans="1:38">
      <c r="A368" s="728">
        <v>363</v>
      </c>
      <c r="B368" s="727" t="s">
        <v>0</v>
      </c>
      <c r="E368" s="1423">
        <f>'1501 Summary'!AD256</f>
        <v>0</v>
      </c>
      <c r="F368" s="1423"/>
      <c r="G368" s="1423"/>
      <c r="H368" s="1423"/>
      <c r="I368" s="1423"/>
      <c r="J368" s="1423"/>
      <c r="K368" s="1405"/>
      <c r="L368" s="1427"/>
      <c r="M368" s="1423"/>
      <c r="N368" s="1423"/>
      <c r="O368" s="1423"/>
      <c r="P368" s="1423"/>
      <c r="Q368" s="1423"/>
      <c r="R368" s="1423"/>
      <c r="S368" s="1423"/>
      <c r="T368" s="1423"/>
      <c r="U368" s="1423"/>
      <c r="V368" s="1423"/>
      <c r="W368" s="1423"/>
      <c r="X368" s="1423"/>
      <c r="Y368" s="1423"/>
      <c r="Z368" s="1423"/>
      <c r="AA368" s="1423"/>
      <c r="AB368" s="1423"/>
      <c r="AC368" s="1423"/>
      <c r="AD368" s="1423"/>
      <c r="AF368" s="1423"/>
      <c r="AG368" s="1423"/>
      <c r="AH368" s="1423"/>
      <c r="AI368" s="1430"/>
      <c r="AJ368" s="1425"/>
      <c r="AK368" s="1423"/>
      <c r="AL368" s="748"/>
    </row>
    <row r="369" spans="1:38">
      <c r="A369" s="728">
        <v>364</v>
      </c>
      <c r="B369" s="1482" t="s">
        <v>2697</v>
      </c>
      <c r="E369" s="1423">
        <f>'Revenue Reconcilliation'!Q220</f>
        <v>-643015.67999999993</v>
      </c>
      <c r="F369" s="1423"/>
      <c r="G369" s="1423"/>
      <c r="H369" s="1423"/>
      <c r="I369" s="1423"/>
      <c r="J369" s="1423"/>
      <c r="K369" s="1405"/>
      <c r="L369" s="1427"/>
      <c r="M369" s="1423"/>
      <c r="N369" s="1423"/>
      <c r="O369" s="1423"/>
      <c r="P369" s="1423"/>
      <c r="Q369" s="1423"/>
      <c r="R369" s="1423"/>
      <c r="S369" s="1423"/>
      <c r="T369" s="1423"/>
      <c r="U369" s="1423"/>
      <c r="V369" s="1423"/>
      <c r="W369" s="1423"/>
      <c r="X369" s="1423"/>
      <c r="Y369" s="1423"/>
      <c r="Z369" s="1423"/>
      <c r="AA369" s="1423"/>
      <c r="AB369" s="1423"/>
      <c r="AC369" s="1423"/>
      <c r="AD369" s="1423"/>
      <c r="AF369" s="1423"/>
      <c r="AG369" s="1423"/>
      <c r="AH369" s="1423"/>
      <c r="AI369" s="1430"/>
      <c r="AJ369" s="1425"/>
      <c r="AK369" s="1423"/>
      <c r="AL369" s="748"/>
    </row>
    <row r="370" spans="1:38">
      <c r="A370" s="728">
        <v>365</v>
      </c>
      <c r="B370" s="1482" t="s">
        <v>2698</v>
      </c>
      <c r="E370" s="1423">
        <f>'Revenue Reconcilliation'!Q221</f>
        <v>672796.02000000014</v>
      </c>
      <c r="F370" s="1423"/>
      <c r="G370" s="1423"/>
      <c r="H370" s="1423"/>
      <c r="I370" s="1423"/>
      <c r="J370" s="1423"/>
      <c r="K370" s="1405"/>
      <c r="L370" s="1427"/>
      <c r="M370" s="1423"/>
      <c r="N370" s="1423"/>
      <c r="O370" s="1423"/>
      <c r="P370" s="1423"/>
      <c r="Q370" s="1423"/>
      <c r="R370" s="1423"/>
      <c r="S370" s="1423"/>
      <c r="T370" s="1423"/>
      <c r="U370" s="1423"/>
      <c r="V370" s="1423"/>
      <c r="W370" s="1423"/>
      <c r="X370" s="1423"/>
      <c r="Y370" s="1423"/>
      <c r="Z370" s="1423"/>
      <c r="AA370" s="1423"/>
      <c r="AB370" s="1423"/>
      <c r="AC370" s="1423"/>
      <c r="AD370" s="1423"/>
      <c r="AF370" s="1423"/>
      <c r="AG370" s="1423"/>
      <c r="AH370" s="1423"/>
      <c r="AI370" s="1430"/>
      <c r="AJ370" s="1425"/>
      <c r="AK370" s="1423"/>
      <c r="AL370" s="748"/>
    </row>
    <row r="371" spans="1:38">
      <c r="A371" s="728">
        <v>366</v>
      </c>
      <c r="B371" s="1443" t="s">
        <v>2678</v>
      </c>
      <c r="E371" s="1423">
        <f>SUM(E367:E370)</f>
        <v>57063.450000000186</v>
      </c>
      <c r="F371" s="1422"/>
      <c r="G371" s="1422"/>
      <c r="H371" s="1422"/>
      <c r="I371" s="1422"/>
      <c r="J371" s="1422"/>
      <c r="K371" s="1405"/>
      <c r="L371" s="1427"/>
      <c r="M371" s="1423"/>
      <c r="N371" s="1422"/>
      <c r="O371" s="1423"/>
      <c r="P371" s="1423"/>
      <c r="Q371" s="1423"/>
      <c r="R371" s="1422"/>
      <c r="S371" s="1423"/>
      <c r="T371" s="1423"/>
      <c r="U371" s="1423"/>
      <c r="V371" s="1422"/>
      <c r="W371" s="1422"/>
      <c r="X371" s="1422"/>
      <c r="Y371" s="1422"/>
      <c r="Z371" s="1422"/>
      <c r="AA371" s="1423"/>
      <c r="AB371" s="1423"/>
      <c r="AC371" s="1423"/>
      <c r="AD371" s="1422"/>
      <c r="AF371" s="1422"/>
      <c r="AG371" s="1422"/>
      <c r="AH371" s="1422"/>
      <c r="AI371" s="1430"/>
      <c r="AJ371" s="1425"/>
      <c r="AK371" s="1423"/>
      <c r="AL371" s="748"/>
    </row>
    <row r="372" spans="1:38">
      <c r="A372" s="728">
        <v>367</v>
      </c>
      <c r="E372" s="1423"/>
      <c r="F372" s="1423"/>
      <c r="G372" s="1423"/>
      <c r="H372" s="1423"/>
      <c r="I372" s="1423"/>
      <c r="J372" s="1423"/>
      <c r="K372" s="1405"/>
      <c r="L372" s="1427"/>
      <c r="M372" s="1423"/>
      <c r="N372" s="1423"/>
      <c r="O372" s="1423"/>
      <c r="P372" s="1423"/>
      <c r="Q372" s="1423"/>
      <c r="R372" s="1423"/>
      <c r="S372" s="1423"/>
      <c r="T372" s="1423"/>
      <c r="U372" s="1423"/>
      <c r="V372" s="1423"/>
      <c r="W372" s="1423"/>
      <c r="X372" s="1423"/>
      <c r="Y372" s="1423"/>
      <c r="Z372" s="1423"/>
      <c r="AA372" s="1423"/>
      <c r="AB372" s="1423"/>
      <c r="AC372" s="1423"/>
      <c r="AD372" s="1423"/>
      <c r="AF372" s="1423"/>
      <c r="AG372" s="1423"/>
      <c r="AH372" s="1423"/>
      <c r="AI372" s="1430"/>
      <c r="AJ372" s="1425"/>
      <c r="AK372" s="1423"/>
      <c r="AL372" s="748"/>
    </row>
    <row r="373" spans="1:38">
      <c r="A373" s="728">
        <v>368</v>
      </c>
      <c r="B373" s="1444" t="str">
        <f>"Total "&amp;LEFT(B352,17)&amp;" Revenue"</f>
        <v>Total Rate Schedule 906 Revenue</v>
      </c>
      <c r="C373" s="1438">
        <f>E373-'Revenue Reconcilliation'!Q222</f>
        <v>0</v>
      </c>
      <c r="D373" s="1445" t="s">
        <v>2673</v>
      </c>
      <c r="E373" s="1437">
        <f>SUM(E364,E371)</f>
        <v>672796.02000000014</v>
      </c>
      <c r="F373" s="1438"/>
      <c r="G373" s="1438"/>
      <c r="H373" s="1438"/>
      <c r="I373" s="1438"/>
      <c r="J373" s="1438"/>
      <c r="K373" s="1447"/>
      <c r="L373" s="1446"/>
      <c r="M373" s="1437"/>
      <c r="N373" s="1438"/>
      <c r="O373" s="1437"/>
      <c r="P373" s="1437"/>
      <c r="Q373" s="1437"/>
      <c r="R373" s="1438"/>
      <c r="S373" s="1437"/>
      <c r="T373" s="1437"/>
      <c r="U373" s="1437"/>
      <c r="V373" s="1438"/>
      <c r="W373" s="1438"/>
      <c r="X373" s="1438"/>
      <c r="Y373" s="1438"/>
      <c r="Z373" s="1438"/>
      <c r="AA373" s="1437"/>
      <c r="AB373" s="1437"/>
      <c r="AC373" s="1437"/>
      <c r="AD373" s="1438"/>
      <c r="AE373" s="1447"/>
      <c r="AF373" s="1438"/>
      <c r="AG373" s="1438"/>
      <c r="AH373" s="1438"/>
      <c r="AI373" s="1490"/>
      <c r="AJ373" s="1440"/>
      <c r="AK373" s="1437"/>
      <c r="AL373" s="748"/>
    </row>
    <row r="374" spans="1:38">
      <c r="A374" s="728">
        <v>369</v>
      </c>
      <c r="K374" s="1405"/>
      <c r="L374" s="1427"/>
      <c r="M374" s="1423"/>
      <c r="O374" s="1423"/>
      <c r="P374" s="1423"/>
      <c r="Q374" s="1423"/>
      <c r="S374" s="1423"/>
      <c r="T374" s="1423"/>
      <c r="U374" s="1423"/>
      <c r="AI374" s="1430"/>
      <c r="AJ374" s="1425"/>
      <c r="AL374" s="748"/>
    </row>
    <row r="375" spans="1:38">
      <c r="A375" s="728">
        <v>370</v>
      </c>
      <c r="B375" s="1420" t="s">
        <v>2735</v>
      </c>
      <c r="K375" s="1405"/>
      <c r="L375" s="1427"/>
      <c r="M375" s="1423"/>
      <c r="Q375" s="1423"/>
      <c r="U375" s="1423"/>
      <c r="AI375" s="1430"/>
      <c r="AJ375" s="1425"/>
      <c r="AL375" s="748"/>
    </row>
    <row r="376" spans="1:38">
      <c r="A376" s="728">
        <v>371</v>
      </c>
      <c r="B376" s="727" t="s">
        <v>2724</v>
      </c>
      <c r="C376" s="1405">
        <f t="shared" ref="C376:C382" si="13">E376/D376</f>
        <v>12</v>
      </c>
      <c r="D376" s="1422">
        <v>625</v>
      </c>
      <c r="E376" s="1423">
        <f>'1501 Summary'!AD263</f>
        <v>7500</v>
      </c>
      <c r="F376" s="1422"/>
      <c r="G376" s="1422"/>
      <c r="H376" s="1422"/>
      <c r="I376" s="1422"/>
      <c r="J376" s="1422"/>
      <c r="K376" s="1405">
        <f t="shared" si="8"/>
        <v>12</v>
      </c>
      <c r="L376" s="1422">
        <f>D376</f>
        <v>625</v>
      </c>
      <c r="M376" s="1423">
        <f>L376*K376</f>
        <v>7500</v>
      </c>
      <c r="N376" s="1422"/>
      <c r="O376" s="1424"/>
      <c r="P376" s="1422"/>
      <c r="Q376" s="1423"/>
      <c r="R376" s="1422"/>
      <c r="S376" s="1424"/>
      <c r="T376" s="1422"/>
      <c r="U376" s="1423"/>
      <c r="V376" s="1422"/>
      <c r="W376" s="1422"/>
      <c r="X376" s="1422"/>
      <c r="Y376" s="1422"/>
      <c r="Z376" s="1422"/>
      <c r="AA376" s="1425"/>
      <c r="AB376" s="1425"/>
      <c r="AC376" s="1425"/>
      <c r="AD376" s="1422"/>
      <c r="AF376" s="1422"/>
      <c r="AG376" s="1422"/>
      <c r="AH376" s="1422"/>
      <c r="AI376" s="1430"/>
      <c r="AJ376" s="1425"/>
      <c r="AK376" s="1425"/>
      <c r="AL376" s="748"/>
    </row>
    <row r="377" spans="1:38">
      <c r="A377" s="728">
        <v>372</v>
      </c>
      <c r="B377" s="727" t="s">
        <v>2713</v>
      </c>
      <c r="C377" s="1405">
        <v>0</v>
      </c>
      <c r="D377" s="1422">
        <v>0</v>
      </c>
      <c r="E377" s="1423">
        <f>'1501 Summary'!AD264</f>
        <v>0</v>
      </c>
      <c r="F377" s="1422"/>
      <c r="G377" s="1422"/>
      <c r="H377" s="1422"/>
      <c r="I377" s="1422"/>
      <c r="J377" s="1422"/>
      <c r="K377" s="1405">
        <f t="shared" si="8"/>
        <v>0</v>
      </c>
      <c r="L377" s="1427"/>
      <c r="M377" s="1423">
        <f>L377*K377</f>
        <v>0</v>
      </c>
      <c r="N377" s="1422"/>
      <c r="O377" s="1424"/>
      <c r="P377" s="1422"/>
      <c r="Q377" s="1423"/>
      <c r="R377" s="1422"/>
      <c r="S377" s="1424"/>
      <c r="T377" s="1422"/>
      <c r="U377" s="1423"/>
      <c r="V377" s="1422"/>
      <c r="W377" s="1422"/>
      <c r="X377" s="1422"/>
      <c r="Y377" s="1422"/>
      <c r="Z377" s="1422"/>
      <c r="AA377" s="1425"/>
      <c r="AB377" s="1425"/>
      <c r="AC377" s="1425"/>
      <c r="AD377" s="1422"/>
      <c r="AF377" s="1422"/>
      <c r="AG377" s="1422"/>
      <c r="AH377" s="1422"/>
      <c r="AI377" s="1430"/>
      <c r="AJ377" s="1425"/>
      <c r="AK377" s="1425"/>
      <c r="AL377" s="748"/>
    </row>
    <row r="378" spans="1:38">
      <c r="A378" s="728">
        <v>373</v>
      </c>
      <c r="B378" s="727" t="s">
        <v>2736</v>
      </c>
      <c r="C378" s="1405">
        <f t="shared" si="13"/>
        <v>12</v>
      </c>
      <c r="D378" s="1422">
        <v>2000</v>
      </c>
      <c r="E378" s="1423">
        <f>'1501 Summary'!AD265</f>
        <v>24000</v>
      </c>
      <c r="F378" s="1422"/>
      <c r="G378" s="1422"/>
      <c r="H378" s="1422"/>
      <c r="I378" s="1422"/>
      <c r="J378" s="1422"/>
      <c r="K378" s="1405">
        <f t="shared" si="8"/>
        <v>12</v>
      </c>
      <c r="L378" s="1422">
        <f>D378</f>
        <v>2000</v>
      </c>
      <c r="M378" s="1423">
        <f>L378*K378</f>
        <v>24000</v>
      </c>
      <c r="N378" s="1422"/>
      <c r="O378" s="1424"/>
      <c r="P378" s="1422"/>
      <c r="Q378" s="1423"/>
      <c r="R378" s="1422"/>
      <c r="S378" s="1424"/>
      <c r="T378" s="1422"/>
      <c r="U378" s="1423"/>
      <c r="V378" s="1422"/>
      <c r="W378" s="1422"/>
      <c r="X378" s="1422"/>
      <c r="Y378" s="1422"/>
      <c r="Z378" s="1422"/>
      <c r="AA378" s="1425"/>
      <c r="AB378" s="1425"/>
      <c r="AC378" s="1425"/>
      <c r="AD378" s="1422"/>
      <c r="AF378" s="1422"/>
      <c r="AG378" s="1422"/>
      <c r="AH378" s="1422"/>
      <c r="AI378" s="1430"/>
      <c r="AJ378" s="1425"/>
      <c r="AK378" s="1425"/>
      <c r="AL378" s="748"/>
    </row>
    <row r="379" spans="1:38">
      <c r="A379" s="728">
        <v>374</v>
      </c>
      <c r="B379" s="727" t="s">
        <v>2737</v>
      </c>
      <c r="C379" s="1405">
        <f t="shared" si="13"/>
        <v>28347024.999999993</v>
      </c>
      <c r="D379" s="1500">
        <v>4.0000000000000002E-4</v>
      </c>
      <c r="E379" s="1423">
        <f>'1501 Summary'!AD266</f>
        <v>11338.809999999998</v>
      </c>
      <c r="F379" s="1422"/>
      <c r="G379" s="1422"/>
      <c r="H379" s="1422"/>
      <c r="I379" s="1422"/>
      <c r="J379" s="1422"/>
      <c r="K379" s="1405">
        <f t="shared" si="8"/>
        <v>28347024.999999993</v>
      </c>
      <c r="L379" s="1427">
        <f>D379</f>
        <v>4.0000000000000002E-4</v>
      </c>
      <c r="M379" s="1423">
        <f>L379*K379</f>
        <v>11338.809999999998</v>
      </c>
      <c r="N379" s="1422"/>
      <c r="O379" s="1424"/>
      <c r="P379" s="1422"/>
      <c r="Q379" s="1423"/>
      <c r="R379" s="1422"/>
      <c r="S379" s="1424"/>
      <c r="T379" s="1422"/>
      <c r="U379" s="1423"/>
      <c r="V379" s="1422"/>
      <c r="W379" s="1422"/>
      <c r="X379" s="1422"/>
      <c r="Y379" s="1422"/>
      <c r="Z379" s="1422"/>
      <c r="AA379" s="1425"/>
      <c r="AB379" s="1425"/>
      <c r="AC379" s="1425"/>
      <c r="AD379" s="1422"/>
      <c r="AF379" s="1422"/>
      <c r="AG379" s="1422"/>
      <c r="AH379" s="1422"/>
      <c r="AI379" s="1428"/>
      <c r="AJ379" s="1425"/>
      <c r="AK379" s="1425"/>
      <c r="AL379" s="748"/>
    </row>
    <row r="380" spans="1:38">
      <c r="A380" s="728">
        <v>375</v>
      </c>
      <c r="B380" s="727" t="s">
        <v>2738</v>
      </c>
      <c r="C380" s="1405">
        <v>0</v>
      </c>
      <c r="D380" s="1404">
        <v>0</v>
      </c>
      <c r="E380" s="1423">
        <f>'1501 Summary'!AD267</f>
        <v>0</v>
      </c>
      <c r="F380" s="1422"/>
      <c r="G380" s="1422"/>
      <c r="H380" s="1422"/>
      <c r="I380" s="1422"/>
      <c r="J380" s="1422"/>
      <c r="K380" s="1405"/>
      <c r="L380" s="1427"/>
      <c r="M380" s="1423">
        <f>L380*K380</f>
        <v>0</v>
      </c>
      <c r="N380" s="1422"/>
      <c r="O380" s="1424"/>
      <c r="P380" s="1422"/>
      <c r="Q380" s="1423"/>
      <c r="R380" s="1422"/>
      <c r="S380" s="1424"/>
      <c r="T380" s="1422"/>
      <c r="U380" s="1423"/>
      <c r="V380" s="1422"/>
      <c r="W380" s="1422"/>
      <c r="X380" s="1422"/>
      <c r="Y380" s="1422"/>
      <c r="Z380" s="1422"/>
      <c r="AA380" s="1425"/>
      <c r="AB380" s="1425"/>
      <c r="AC380" s="1425"/>
      <c r="AD380" s="1422"/>
      <c r="AF380" s="1422"/>
      <c r="AG380" s="1422"/>
      <c r="AH380" s="1422"/>
      <c r="AI380" s="1428"/>
      <c r="AJ380" s="1425"/>
      <c r="AK380" s="1425"/>
      <c r="AL380" s="748"/>
    </row>
    <row r="381" spans="1:38">
      <c r="A381" s="728">
        <v>376</v>
      </c>
      <c r="B381" s="727" t="s">
        <v>2739</v>
      </c>
      <c r="C381" s="1405">
        <f t="shared" si="13"/>
        <v>20390726.458932508</v>
      </c>
      <c r="D381" s="1501">
        <v>1.6376700000000001E-2</v>
      </c>
      <c r="E381" s="1423">
        <f>SUM('1501 Summary'!G268:W268)</f>
        <v>333932.81</v>
      </c>
      <c r="F381" s="1422"/>
      <c r="G381" s="1422"/>
      <c r="H381" s="1422"/>
      <c r="I381" s="1422"/>
      <c r="J381" s="1422"/>
      <c r="K381" s="1405">
        <f t="shared" si="8"/>
        <v>20390726.458932508</v>
      </c>
      <c r="L381" s="1498"/>
      <c r="M381" s="1423"/>
      <c r="N381" s="1422"/>
      <c r="O381" s="1424"/>
      <c r="P381" s="1422"/>
      <c r="Q381" s="1423"/>
      <c r="R381" s="1422"/>
      <c r="S381" s="1424"/>
      <c r="T381" s="1422"/>
      <c r="U381" s="1423"/>
      <c r="V381" s="1422"/>
      <c r="W381" s="1422"/>
      <c r="X381" s="1422"/>
      <c r="Y381" s="1422"/>
      <c r="Z381" s="1422"/>
      <c r="AA381" s="1425"/>
      <c r="AB381" s="1425"/>
      <c r="AC381" s="1425"/>
      <c r="AD381" s="1422"/>
      <c r="AF381" s="1422"/>
      <c r="AG381" s="1422"/>
      <c r="AH381" s="1422"/>
      <c r="AI381" s="1428"/>
      <c r="AJ381" s="1425"/>
      <c r="AK381" s="1425"/>
      <c r="AL381" s="748"/>
    </row>
    <row r="382" spans="1:38">
      <c r="A382" s="728">
        <v>377</v>
      </c>
      <c r="B382" s="1453" t="s">
        <v>2740</v>
      </c>
      <c r="C382" s="1405">
        <f t="shared" si="13"/>
        <v>8004124.7766731614</v>
      </c>
      <c r="D382" s="1501">
        <v>1.6063899999999999E-2</v>
      </c>
      <c r="E382" s="1437">
        <f>SUM('1501 Summary'!Y268:AC268)</f>
        <v>128577.45999999999</v>
      </c>
      <c r="F382" s="1422"/>
      <c r="G382" s="1422"/>
      <c r="H382" s="1422"/>
      <c r="I382" s="1422"/>
      <c r="J382" s="1422"/>
      <c r="K382" s="1405">
        <f t="shared" si="8"/>
        <v>8004124.7766731614</v>
      </c>
      <c r="L382" s="1498">
        <f>D382</f>
        <v>1.6063899999999999E-2</v>
      </c>
      <c r="M382" s="1437">
        <f>L382*SUM(K382,K381)</f>
        <v>456132.05076364585</v>
      </c>
      <c r="N382" s="1422"/>
      <c r="O382" s="1424"/>
      <c r="P382" s="1422"/>
      <c r="Q382" s="1423"/>
      <c r="R382" s="1422"/>
      <c r="S382" s="1424"/>
      <c r="T382" s="1422"/>
      <c r="U382" s="1423"/>
      <c r="V382" s="1422"/>
      <c r="W382" s="1422"/>
      <c r="X382" s="1422"/>
      <c r="Y382" s="1422"/>
      <c r="Z382" s="1422"/>
      <c r="AA382" s="1425"/>
      <c r="AB382" s="1425"/>
      <c r="AC382" s="1425"/>
      <c r="AD382" s="1422"/>
      <c r="AF382" s="1422"/>
      <c r="AG382" s="1422"/>
      <c r="AH382" s="1422"/>
      <c r="AI382" s="1428"/>
      <c r="AJ382" s="1425"/>
      <c r="AK382" s="1425"/>
      <c r="AL382" s="748"/>
    </row>
    <row r="383" spans="1:38">
      <c r="A383" s="728">
        <v>378</v>
      </c>
      <c r="B383" s="727" t="s">
        <v>2648</v>
      </c>
      <c r="E383" s="1423">
        <f>SUM(E376:E382)</f>
        <v>505349.07999999996</v>
      </c>
      <c r="F383" s="1422"/>
      <c r="G383" s="1422"/>
      <c r="H383" s="1422"/>
      <c r="I383" s="1422"/>
      <c r="J383" s="1422"/>
      <c r="K383" s="1405"/>
      <c r="L383" s="1427"/>
      <c r="M383" s="1423">
        <f>SUM(M376:M382)</f>
        <v>498970.86076364585</v>
      </c>
      <c r="N383" s="1422"/>
      <c r="O383" s="1422"/>
      <c r="P383" s="1422"/>
      <c r="Q383" s="1423"/>
      <c r="R383" s="1422"/>
      <c r="S383" s="1422"/>
      <c r="T383" s="1422"/>
      <c r="U383" s="1423"/>
      <c r="V383" s="1422"/>
      <c r="W383" s="1422"/>
      <c r="X383" s="1422"/>
      <c r="Y383" s="1422"/>
      <c r="Z383" s="1422"/>
      <c r="AA383" s="1425"/>
      <c r="AB383" s="1425"/>
      <c r="AC383" s="1425"/>
      <c r="AD383" s="1422"/>
      <c r="AF383" s="1422"/>
      <c r="AG383" s="1422"/>
      <c r="AH383" s="1422"/>
      <c r="AI383" s="1430"/>
      <c r="AJ383" s="1425"/>
      <c r="AK383" s="1425"/>
      <c r="AL383" s="748"/>
    </row>
    <row r="384" spans="1:38">
      <c r="A384" s="728">
        <v>379</v>
      </c>
      <c r="E384" s="1423"/>
      <c r="F384" s="1423"/>
      <c r="G384" s="1423"/>
      <c r="H384" s="1423"/>
      <c r="I384" s="1423"/>
      <c r="J384" s="1423"/>
      <c r="K384" s="1405"/>
      <c r="L384" s="1427"/>
      <c r="M384" s="1422"/>
      <c r="N384" s="1423"/>
      <c r="O384" s="1423"/>
      <c r="P384" s="1423"/>
      <c r="Q384" s="1423"/>
      <c r="R384" s="1423"/>
      <c r="S384" s="1423"/>
      <c r="T384" s="1423"/>
      <c r="U384" s="1423"/>
      <c r="V384" s="1423"/>
      <c r="W384" s="1423"/>
      <c r="X384" s="1423"/>
      <c r="Y384" s="1423"/>
      <c r="Z384" s="1423"/>
      <c r="AD384" s="1423"/>
      <c r="AF384" s="1423"/>
      <c r="AG384" s="1423"/>
      <c r="AH384" s="1423"/>
      <c r="AI384" s="1430"/>
      <c r="AJ384" s="1425"/>
      <c r="AL384" s="748"/>
    </row>
    <row r="385" spans="1:38">
      <c r="A385" s="728">
        <v>380</v>
      </c>
      <c r="B385" s="727" t="s">
        <v>2651</v>
      </c>
      <c r="E385" s="1423"/>
      <c r="F385" s="1423"/>
      <c r="G385" s="1423"/>
      <c r="H385" s="1423"/>
      <c r="I385" s="1423"/>
      <c r="J385" s="1423"/>
      <c r="K385" s="1405"/>
      <c r="L385" s="1427"/>
      <c r="M385" s="1422"/>
      <c r="N385" s="1423"/>
      <c r="O385" s="1423"/>
      <c r="P385" s="1423"/>
      <c r="Q385" s="1423"/>
      <c r="R385" s="1423"/>
      <c r="S385" s="1423"/>
      <c r="T385" s="1423"/>
      <c r="U385" s="1423"/>
      <c r="V385" s="1423"/>
      <c r="W385" s="1423"/>
      <c r="X385" s="1423"/>
      <c r="Y385" s="1423"/>
      <c r="Z385" s="1423"/>
      <c r="AD385" s="1423"/>
      <c r="AF385" s="1423"/>
      <c r="AG385" s="1423"/>
      <c r="AH385" s="1423"/>
      <c r="AI385" s="1430"/>
      <c r="AJ385" s="1425"/>
      <c r="AL385" s="748"/>
    </row>
    <row r="386" spans="1:38">
      <c r="A386" s="728">
        <v>381</v>
      </c>
      <c r="B386" s="727" t="s">
        <v>2719</v>
      </c>
      <c r="E386" s="1423">
        <f>'1501 Summary'!AD269</f>
        <v>22392.03</v>
      </c>
      <c r="F386" s="1423"/>
      <c r="G386" s="1423"/>
      <c r="H386" s="1423"/>
      <c r="I386" s="1423"/>
      <c r="J386" s="1423"/>
      <c r="K386" s="1405"/>
      <c r="L386" s="1427"/>
      <c r="M386" s="1422"/>
      <c r="N386" s="1423"/>
      <c r="O386" s="1423"/>
      <c r="P386" s="1423"/>
      <c r="Q386" s="1423"/>
      <c r="R386" s="1423"/>
      <c r="S386" s="1423"/>
      <c r="T386" s="1423"/>
      <c r="U386" s="1423"/>
      <c r="V386" s="1423"/>
      <c r="W386" s="1423"/>
      <c r="X386" s="1423"/>
      <c r="Y386" s="1423"/>
      <c r="Z386" s="1423"/>
      <c r="AD386" s="1423"/>
      <c r="AF386" s="1423"/>
      <c r="AG386" s="1423"/>
      <c r="AH386" s="1423"/>
      <c r="AI386" s="1430"/>
      <c r="AJ386" s="1425"/>
      <c r="AL386" s="748"/>
    </row>
    <row r="387" spans="1:38">
      <c r="A387" s="728">
        <v>382</v>
      </c>
      <c r="B387" s="727" t="s">
        <v>0</v>
      </c>
      <c r="E387" s="1423">
        <f>'1501 Summary'!AD270</f>
        <v>0</v>
      </c>
      <c r="F387" s="1423"/>
      <c r="G387" s="1423"/>
      <c r="H387" s="1423"/>
      <c r="I387" s="1423"/>
      <c r="J387" s="1423"/>
      <c r="K387" s="1405"/>
      <c r="L387" s="1427"/>
      <c r="M387" s="1422"/>
      <c r="N387" s="1423"/>
      <c r="O387" s="1423"/>
      <c r="P387" s="1423"/>
      <c r="Q387" s="1423"/>
      <c r="R387" s="1423"/>
      <c r="S387" s="1423"/>
      <c r="T387" s="1423"/>
      <c r="U387" s="1423"/>
      <c r="V387" s="1423"/>
      <c r="W387" s="1423"/>
      <c r="X387" s="1423"/>
      <c r="Y387" s="1423"/>
      <c r="Z387" s="1423"/>
      <c r="AD387" s="1423"/>
      <c r="AF387" s="1423"/>
      <c r="AG387" s="1423"/>
      <c r="AH387" s="1423"/>
      <c r="AI387" s="1430"/>
      <c r="AJ387" s="1425"/>
      <c r="AL387" s="748"/>
    </row>
    <row r="388" spans="1:38">
      <c r="A388" s="728">
        <v>383</v>
      </c>
      <c r="B388" s="1482" t="s">
        <v>2697</v>
      </c>
      <c r="E388" s="1423">
        <f>'Revenue Reconcilliation'!Q240</f>
        <v>-527741.1100000001</v>
      </c>
      <c r="F388" s="1423"/>
      <c r="G388" s="1423"/>
      <c r="H388" s="1423"/>
      <c r="I388" s="1423"/>
      <c r="J388" s="1423"/>
      <c r="K388" s="1405"/>
      <c r="L388" s="1427"/>
      <c r="M388" s="1422"/>
      <c r="N388" s="1423"/>
      <c r="O388" s="1423"/>
      <c r="P388" s="1423"/>
      <c r="Q388" s="1423"/>
      <c r="R388" s="1423"/>
      <c r="S388" s="1423"/>
      <c r="T388" s="1423"/>
      <c r="U388" s="1423"/>
      <c r="V388" s="1423"/>
      <c r="W388" s="1423"/>
      <c r="X388" s="1423"/>
      <c r="Y388" s="1423"/>
      <c r="Z388" s="1423"/>
      <c r="AA388" s="1423"/>
      <c r="AB388" s="1423"/>
      <c r="AC388" s="1423"/>
      <c r="AD388" s="1423"/>
      <c r="AF388" s="1423"/>
      <c r="AG388" s="1423"/>
      <c r="AH388" s="1423"/>
      <c r="AI388" s="1430"/>
      <c r="AJ388" s="1425"/>
      <c r="AK388" s="1423"/>
      <c r="AL388" s="748"/>
    </row>
    <row r="389" spans="1:38">
      <c r="A389" s="728">
        <v>384</v>
      </c>
      <c r="B389" s="1482" t="s">
        <v>2698</v>
      </c>
      <c r="E389" s="1437">
        <f>'Revenue Reconcilliation'!Q241</f>
        <v>561061.27</v>
      </c>
      <c r="F389" s="1423"/>
      <c r="G389" s="1423"/>
      <c r="H389" s="1423"/>
      <c r="I389" s="1423"/>
      <c r="J389" s="1423"/>
      <c r="K389" s="1405"/>
      <c r="L389" s="1427"/>
      <c r="M389" s="1422"/>
      <c r="N389" s="1423"/>
      <c r="O389" s="1423"/>
      <c r="P389" s="1423"/>
      <c r="Q389" s="1423"/>
      <c r="R389" s="1423"/>
      <c r="S389" s="1423"/>
      <c r="T389" s="1423"/>
      <c r="U389" s="1423"/>
      <c r="V389" s="1423"/>
      <c r="W389" s="1423"/>
      <c r="X389" s="1423"/>
      <c r="Y389" s="1423"/>
      <c r="Z389" s="1423"/>
      <c r="AD389" s="1423"/>
      <c r="AF389" s="1423"/>
      <c r="AG389" s="1423"/>
      <c r="AH389" s="1423"/>
      <c r="AI389" s="1430"/>
      <c r="AJ389" s="1425"/>
      <c r="AL389" s="748"/>
    </row>
    <row r="390" spans="1:38">
      <c r="A390" s="728">
        <v>385</v>
      </c>
      <c r="B390" s="1443" t="s">
        <v>2678</v>
      </c>
      <c r="E390" s="1423">
        <f>SUM(E386:E389)</f>
        <v>55712.189999999944</v>
      </c>
      <c r="F390" s="1423"/>
      <c r="G390" s="1423"/>
      <c r="H390" s="1423"/>
      <c r="I390" s="1423"/>
      <c r="J390" s="1423"/>
      <c r="K390" s="1405"/>
      <c r="L390" s="1427"/>
      <c r="M390" s="1422"/>
      <c r="N390" s="1423"/>
      <c r="O390" s="1423"/>
      <c r="P390" s="1423"/>
      <c r="Q390" s="1423"/>
      <c r="R390" s="1423"/>
      <c r="S390" s="1423"/>
      <c r="T390" s="1423"/>
      <c r="U390" s="1423"/>
      <c r="V390" s="1423"/>
      <c r="W390" s="1423"/>
      <c r="X390" s="1423"/>
      <c r="Y390" s="1423"/>
      <c r="Z390" s="1423"/>
      <c r="AA390" s="1423"/>
      <c r="AB390" s="1423"/>
      <c r="AC390" s="1423"/>
      <c r="AD390" s="1423"/>
      <c r="AF390" s="1423"/>
      <c r="AG390" s="1423"/>
      <c r="AH390" s="1423"/>
      <c r="AI390" s="1430"/>
      <c r="AJ390" s="1425"/>
      <c r="AK390" s="1423"/>
      <c r="AL390" s="748"/>
    </row>
    <row r="391" spans="1:38">
      <c r="A391" s="728">
        <v>386</v>
      </c>
      <c r="D391" s="1450"/>
      <c r="E391" s="1429"/>
      <c r="F391" s="1429"/>
      <c r="G391" s="1429"/>
      <c r="H391" s="1429"/>
      <c r="I391" s="1429"/>
      <c r="J391" s="1429"/>
      <c r="K391" s="1405"/>
      <c r="L391" s="1427"/>
      <c r="M391" s="1422"/>
      <c r="N391" s="1429"/>
      <c r="O391" s="1423"/>
      <c r="P391" s="1423"/>
      <c r="Q391" s="1423"/>
      <c r="R391" s="1429"/>
      <c r="S391" s="1423"/>
      <c r="T391" s="1423"/>
      <c r="U391" s="1423"/>
      <c r="V391" s="1429"/>
      <c r="W391" s="1429"/>
      <c r="X391" s="1429"/>
      <c r="Y391" s="1429"/>
      <c r="Z391" s="1429"/>
      <c r="AD391" s="1429"/>
      <c r="AF391" s="1429"/>
      <c r="AG391" s="1429"/>
      <c r="AH391" s="1429"/>
      <c r="AI391" s="1430"/>
      <c r="AJ391" s="1425"/>
      <c r="AL391" s="748"/>
    </row>
    <row r="392" spans="1:38">
      <c r="A392" s="728">
        <v>387</v>
      </c>
      <c r="B392" s="1444" t="str">
        <f>"Total "&amp;LEFT(B375,17)&amp;" Revenue"</f>
        <v>Total Rate Schedule 909 Revenue</v>
      </c>
      <c r="C392" s="1438">
        <f>E392-'Revenue Reconcilliation'!Q242</f>
        <v>0</v>
      </c>
      <c r="D392" s="1445" t="s">
        <v>2673</v>
      </c>
      <c r="E392" s="1465">
        <f>SUM(E383,E390)</f>
        <v>561061.2699999999</v>
      </c>
      <c r="F392" s="1502"/>
      <c r="G392" s="1502"/>
      <c r="H392" s="1502"/>
      <c r="I392" s="1502"/>
      <c r="J392" s="1502"/>
      <c r="K392" s="1447"/>
      <c r="L392" s="1446"/>
      <c r="M392" s="1438"/>
      <c r="N392" s="1502"/>
      <c r="O392" s="1437"/>
      <c r="P392" s="1437"/>
      <c r="Q392" s="1437"/>
      <c r="R392" s="1502"/>
      <c r="S392" s="1437"/>
      <c r="T392" s="1437"/>
      <c r="U392" s="1437"/>
      <c r="V392" s="1502"/>
      <c r="W392" s="1502"/>
      <c r="X392" s="1502"/>
      <c r="Y392" s="1502"/>
      <c r="Z392" s="1502"/>
      <c r="AA392" s="1445"/>
      <c r="AB392" s="1445"/>
      <c r="AC392" s="1445"/>
      <c r="AD392" s="1502"/>
      <c r="AE392" s="1447"/>
      <c r="AF392" s="1502"/>
      <c r="AG392" s="1502"/>
      <c r="AH392" s="1502"/>
      <c r="AI392" s="1490"/>
      <c r="AJ392" s="1440"/>
      <c r="AK392" s="1445"/>
      <c r="AL392" s="748"/>
    </row>
    <row r="393" spans="1:38">
      <c r="A393" s="728">
        <v>388</v>
      </c>
      <c r="D393" s="1450"/>
      <c r="E393" s="1429"/>
      <c r="F393" s="1429"/>
      <c r="G393" s="1429"/>
      <c r="H393" s="1429"/>
      <c r="I393" s="1429"/>
      <c r="J393" s="1429"/>
      <c r="K393" s="1405"/>
      <c r="L393" s="1427"/>
      <c r="M393" s="1422"/>
      <c r="N393" s="1429"/>
      <c r="O393" s="1423"/>
      <c r="P393" s="1423"/>
      <c r="Q393" s="1423"/>
      <c r="R393" s="1429"/>
      <c r="S393" s="1423"/>
      <c r="T393" s="1423"/>
      <c r="U393" s="1423"/>
      <c r="V393" s="1429"/>
      <c r="W393" s="1429"/>
      <c r="X393" s="1429"/>
      <c r="Y393" s="1429"/>
      <c r="Z393" s="1429"/>
      <c r="AD393" s="1429"/>
      <c r="AF393" s="1429"/>
      <c r="AG393" s="1429"/>
      <c r="AH393" s="1429"/>
      <c r="AI393" s="1430"/>
      <c r="AJ393" s="1425"/>
      <c r="AL393" s="748"/>
    </row>
    <row r="394" spans="1:38">
      <c r="A394" s="728">
        <v>389</v>
      </c>
      <c r="B394" s="1420" t="s">
        <v>2741</v>
      </c>
      <c r="K394" s="1405"/>
      <c r="L394" s="1427"/>
      <c r="M394" s="1422"/>
      <c r="O394" s="1423"/>
      <c r="P394" s="1423"/>
      <c r="Q394" s="1423"/>
      <c r="S394" s="1423"/>
      <c r="T394" s="1423"/>
      <c r="U394" s="1423"/>
      <c r="AI394" s="1430"/>
      <c r="AJ394" s="1425"/>
      <c r="AL394" s="748"/>
    </row>
    <row r="395" spans="1:38">
      <c r="A395" s="728">
        <v>390</v>
      </c>
      <c r="B395" s="727" t="s">
        <v>2724</v>
      </c>
      <c r="C395" s="1404">
        <f>E395/D395</f>
        <v>12</v>
      </c>
      <c r="D395" s="1404">
        <v>625</v>
      </c>
      <c r="E395" s="1488">
        <f>'1501 Summary'!AD277</f>
        <v>7500</v>
      </c>
      <c r="F395" s="1489"/>
      <c r="G395" s="1489"/>
      <c r="H395" s="1489"/>
      <c r="I395" s="1489"/>
      <c r="J395" s="1489"/>
      <c r="K395" s="1405">
        <f t="shared" ref="K395:K400" si="14">C395+G395</f>
        <v>12</v>
      </c>
      <c r="L395" s="1422">
        <f>D395</f>
        <v>625</v>
      </c>
      <c r="M395" s="1423">
        <f>L395*K395</f>
        <v>7500</v>
      </c>
      <c r="N395" s="1489"/>
      <c r="O395" s="1424"/>
      <c r="P395" s="1484"/>
      <c r="Q395" s="1423"/>
      <c r="R395" s="1489"/>
      <c r="S395" s="1424"/>
      <c r="T395" s="1484"/>
      <c r="U395" s="1423"/>
      <c r="V395" s="1489"/>
      <c r="W395" s="1489"/>
      <c r="X395" s="1489"/>
      <c r="Y395" s="1489"/>
      <c r="Z395" s="1489"/>
      <c r="AA395" s="1425"/>
      <c r="AB395" s="1425"/>
      <c r="AC395" s="1425"/>
      <c r="AD395" s="1489"/>
      <c r="AF395" s="1489"/>
      <c r="AG395" s="1489"/>
      <c r="AH395" s="1489"/>
      <c r="AI395" s="1430"/>
      <c r="AJ395" s="1425"/>
      <c r="AK395" s="1425"/>
      <c r="AL395" s="748"/>
    </row>
    <row r="396" spans="1:38">
      <c r="A396" s="728">
        <v>391</v>
      </c>
      <c r="B396" s="727" t="s">
        <v>2736</v>
      </c>
      <c r="C396" s="1404">
        <f>E396/D396</f>
        <v>12</v>
      </c>
      <c r="D396" s="1422">
        <v>2250</v>
      </c>
      <c r="E396" s="1488">
        <f>'1501 Summary'!AD278</f>
        <v>27000</v>
      </c>
      <c r="F396" s="1489"/>
      <c r="G396" s="1489"/>
      <c r="H396" s="1489"/>
      <c r="I396" s="1489"/>
      <c r="J396" s="1489"/>
      <c r="K396" s="1405">
        <f t="shared" si="14"/>
        <v>12</v>
      </c>
      <c r="L396" s="1422">
        <f>D396</f>
        <v>2250</v>
      </c>
      <c r="M396" s="1423">
        <f>L396*K396</f>
        <v>27000</v>
      </c>
      <c r="N396" s="1489"/>
      <c r="O396" s="1424"/>
      <c r="P396" s="1484"/>
      <c r="Q396" s="1423"/>
      <c r="R396" s="1489"/>
      <c r="S396" s="1424"/>
      <c r="T396" s="1484"/>
      <c r="U396" s="1423"/>
      <c r="V396" s="1489"/>
      <c r="W396" s="1489"/>
      <c r="X396" s="1489"/>
      <c r="Y396" s="1489"/>
      <c r="Z396" s="1489"/>
      <c r="AA396" s="1425"/>
      <c r="AB396" s="1425"/>
      <c r="AC396" s="1425"/>
      <c r="AD396" s="1489"/>
      <c r="AF396" s="1489"/>
      <c r="AG396" s="1489"/>
      <c r="AH396" s="1489"/>
      <c r="AI396" s="1430"/>
      <c r="AJ396" s="1425"/>
      <c r="AK396" s="1425"/>
      <c r="AL396" s="748"/>
    </row>
    <row r="397" spans="1:38">
      <c r="A397" s="728">
        <v>392</v>
      </c>
      <c r="B397" s="727" t="s">
        <v>2714</v>
      </c>
      <c r="C397" s="1405">
        <f>E397/D397</f>
        <v>8699850.0000000019</v>
      </c>
      <c r="D397" s="1467">
        <v>4.0000000000000002E-4</v>
      </c>
      <c r="E397" s="1488">
        <f>'1501 Summary'!AD279</f>
        <v>3479.940000000001</v>
      </c>
      <c r="F397" s="1489"/>
      <c r="G397" s="1489"/>
      <c r="H397" s="1489"/>
      <c r="I397" s="1489"/>
      <c r="J397" s="1489"/>
      <c r="K397" s="1405">
        <f t="shared" si="14"/>
        <v>8699850.0000000019</v>
      </c>
      <c r="L397" s="1427">
        <f>D397</f>
        <v>4.0000000000000002E-4</v>
      </c>
      <c r="M397" s="1423">
        <f>L397*K397</f>
        <v>3479.940000000001</v>
      </c>
      <c r="N397" s="1489"/>
      <c r="O397" s="1424"/>
      <c r="P397" s="1484"/>
      <c r="Q397" s="1423"/>
      <c r="R397" s="1489"/>
      <c r="S397" s="1424"/>
      <c r="T397" s="1484"/>
      <c r="U397" s="1423"/>
      <c r="V397" s="1489"/>
      <c r="W397" s="1489"/>
      <c r="X397" s="1489"/>
      <c r="Y397" s="1489"/>
      <c r="Z397" s="1489"/>
      <c r="AA397" s="1425"/>
      <c r="AB397" s="1425"/>
      <c r="AC397" s="1425"/>
      <c r="AD397" s="1489"/>
      <c r="AF397" s="1489"/>
      <c r="AG397" s="1489"/>
      <c r="AH397" s="1489"/>
      <c r="AI397" s="1428"/>
      <c r="AJ397" s="1425"/>
      <c r="AK397" s="1425"/>
      <c r="AL397" s="748"/>
    </row>
    <row r="398" spans="1:38">
      <c r="A398" s="728">
        <v>393</v>
      </c>
      <c r="B398" s="727" t="s">
        <v>2742</v>
      </c>
      <c r="C398" s="1405">
        <f>E398/D398</f>
        <v>6453070.7846266665</v>
      </c>
      <c r="D398" s="1498">
        <v>1.1591499999999999E-2</v>
      </c>
      <c r="E398" s="1488">
        <f>SUM('1501 Summary'!G280:W280)</f>
        <v>74800.77</v>
      </c>
      <c r="F398" s="1489"/>
      <c r="G398" s="1489"/>
      <c r="H398" s="1489"/>
      <c r="I398" s="1489"/>
      <c r="J398" s="1489"/>
      <c r="K398" s="1405">
        <f t="shared" si="14"/>
        <v>6453070.7846266665</v>
      </c>
      <c r="L398" s="1427"/>
      <c r="M398" s="1423"/>
      <c r="N398" s="1489"/>
      <c r="O398" s="1424"/>
      <c r="P398" s="1484"/>
      <c r="Q398" s="1423"/>
      <c r="R398" s="1489"/>
      <c r="S398" s="1424"/>
      <c r="T398" s="1484"/>
      <c r="U398" s="1423"/>
      <c r="V398" s="1489"/>
      <c r="W398" s="1489"/>
      <c r="X398" s="1489"/>
      <c r="Y398" s="1489"/>
      <c r="Z398" s="1489"/>
      <c r="AA398" s="1425"/>
      <c r="AB398" s="1425"/>
      <c r="AC398" s="1425"/>
      <c r="AD398" s="1489"/>
      <c r="AF398" s="1489"/>
      <c r="AG398" s="1489"/>
      <c r="AH398" s="1489"/>
      <c r="AI398" s="1428"/>
      <c r="AJ398" s="1425"/>
      <c r="AK398" s="1425"/>
      <c r="AL398" s="748"/>
    </row>
    <row r="399" spans="1:38">
      <c r="A399" s="728">
        <v>394</v>
      </c>
      <c r="B399" s="727" t="s">
        <v>2743</v>
      </c>
      <c r="C399" s="1405">
        <f>E399/D399</f>
        <v>2235713.6792052309</v>
      </c>
      <c r="D399" s="1498">
        <v>1.1776999999999999E-2</v>
      </c>
      <c r="E399" s="1488">
        <f>SUM('1501 Summary'!Y280:AC280)</f>
        <v>26330</v>
      </c>
      <c r="F399" s="1489"/>
      <c r="G399" s="1489"/>
      <c r="H399" s="1489"/>
      <c r="I399" s="1489"/>
      <c r="J399" s="1489"/>
      <c r="K399" s="1405">
        <f t="shared" si="14"/>
        <v>2235713.6792052309</v>
      </c>
      <c r="L399" s="1427">
        <f>D399</f>
        <v>1.1776999999999999E-2</v>
      </c>
      <c r="M399" s="1423">
        <f>L399*SUM(K399,K398)</f>
        <v>102327.81463054825</v>
      </c>
      <c r="N399" s="1489"/>
      <c r="O399" s="1424"/>
      <c r="P399" s="1484"/>
      <c r="Q399" s="1423"/>
      <c r="R399" s="1489"/>
      <c r="S399" s="1424"/>
      <c r="T399" s="1484"/>
      <c r="U399" s="1423"/>
      <c r="V399" s="1489"/>
      <c r="W399" s="1489"/>
      <c r="X399" s="1489"/>
      <c r="Y399" s="1489"/>
      <c r="Z399" s="1489"/>
      <c r="AA399" s="1425"/>
      <c r="AB399" s="1425"/>
      <c r="AC399" s="1425"/>
      <c r="AD399" s="1489"/>
      <c r="AF399" s="1489"/>
      <c r="AG399" s="1489"/>
      <c r="AH399" s="1489"/>
      <c r="AI399" s="1428"/>
      <c r="AJ399" s="1425"/>
      <c r="AK399" s="1425"/>
      <c r="AL399" s="748"/>
    </row>
    <row r="400" spans="1:38">
      <c r="A400" s="728">
        <v>395</v>
      </c>
      <c r="B400" s="727" t="s">
        <v>2738</v>
      </c>
      <c r="C400" s="1405">
        <v>0</v>
      </c>
      <c r="D400" s="1422">
        <v>0</v>
      </c>
      <c r="E400" s="1492">
        <f>'1501 Summary'!AD281</f>
        <v>0</v>
      </c>
      <c r="F400" s="1489"/>
      <c r="G400" s="1489"/>
      <c r="H400" s="1489"/>
      <c r="I400" s="1489"/>
      <c r="J400" s="1489"/>
      <c r="K400" s="1405">
        <f t="shared" si="14"/>
        <v>0</v>
      </c>
      <c r="L400" s="1427">
        <f>D400</f>
        <v>0</v>
      </c>
      <c r="M400" s="1437">
        <f>L400*K400</f>
        <v>0</v>
      </c>
      <c r="N400" s="1489"/>
      <c r="O400" s="1424"/>
      <c r="P400" s="1484"/>
      <c r="Q400" s="1423"/>
      <c r="R400" s="1489"/>
      <c r="S400" s="1424"/>
      <c r="T400" s="1484"/>
      <c r="U400" s="1423"/>
      <c r="V400" s="1489"/>
      <c r="W400" s="1489"/>
      <c r="X400" s="1489"/>
      <c r="Y400" s="1489"/>
      <c r="Z400" s="1489"/>
      <c r="AA400" s="1425"/>
      <c r="AB400" s="1425"/>
      <c r="AC400" s="1425"/>
      <c r="AD400" s="1489"/>
      <c r="AF400" s="1489"/>
      <c r="AG400" s="1489"/>
      <c r="AH400" s="1489"/>
      <c r="AI400" s="1428"/>
      <c r="AJ400" s="1425"/>
      <c r="AK400" s="1425"/>
      <c r="AL400" s="748"/>
    </row>
    <row r="401" spans="1:38">
      <c r="A401" s="728">
        <v>396</v>
      </c>
      <c r="B401" s="727" t="s">
        <v>2648</v>
      </c>
      <c r="E401" s="1488">
        <f>SUM(E395:E400)</f>
        <v>139110.71000000002</v>
      </c>
      <c r="F401" s="1489"/>
      <c r="G401" s="1489"/>
      <c r="H401" s="1489"/>
      <c r="I401" s="1489"/>
      <c r="J401" s="1489"/>
      <c r="K401" s="1405"/>
      <c r="L401" s="1427"/>
      <c r="M401" s="1423">
        <f>SUM(M395:M400)</f>
        <v>140307.75463054824</v>
      </c>
      <c r="N401" s="1489"/>
      <c r="O401" s="1424"/>
      <c r="P401" s="1484"/>
      <c r="Q401" s="1423"/>
      <c r="R401" s="1489"/>
      <c r="S401" s="1424"/>
      <c r="T401" s="1484"/>
      <c r="U401" s="1423"/>
      <c r="V401" s="1489"/>
      <c r="W401" s="1489"/>
      <c r="X401" s="1489"/>
      <c r="Y401" s="1489"/>
      <c r="Z401" s="1489"/>
      <c r="AA401" s="1425"/>
      <c r="AB401" s="1425"/>
      <c r="AC401" s="1425"/>
      <c r="AD401" s="1489"/>
      <c r="AF401" s="1489"/>
      <c r="AG401" s="1489"/>
      <c r="AH401" s="1489"/>
      <c r="AI401" s="1430"/>
      <c r="AJ401" s="1425"/>
      <c r="AK401" s="1425"/>
      <c r="AL401" s="748"/>
    </row>
    <row r="402" spans="1:38">
      <c r="A402" s="728">
        <v>397</v>
      </c>
      <c r="B402" s="1443"/>
      <c r="E402" s="1488"/>
      <c r="K402" s="1405"/>
      <c r="L402" s="1427"/>
      <c r="M402" s="1423"/>
      <c r="O402" s="1423"/>
      <c r="P402" s="1423"/>
      <c r="Q402" s="1423"/>
      <c r="S402" s="1423"/>
      <c r="T402" s="1423"/>
      <c r="U402" s="1423"/>
      <c r="AI402" s="1430"/>
      <c r="AJ402" s="1425"/>
      <c r="AL402" s="748"/>
    </row>
    <row r="403" spans="1:38">
      <c r="A403" s="728">
        <v>398</v>
      </c>
      <c r="B403" s="727" t="s">
        <v>2651</v>
      </c>
      <c r="E403" s="1488"/>
      <c r="K403" s="1405"/>
      <c r="L403" s="1427"/>
      <c r="M403" s="1423"/>
      <c r="O403" s="1423"/>
      <c r="P403" s="1423"/>
      <c r="Q403" s="1423"/>
      <c r="S403" s="1423"/>
      <c r="T403" s="1423"/>
      <c r="U403" s="1423"/>
      <c r="AI403" s="1430"/>
      <c r="AJ403" s="1425"/>
      <c r="AL403" s="748"/>
    </row>
    <row r="404" spans="1:38">
      <c r="A404" s="728">
        <v>399</v>
      </c>
      <c r="B404" s="727" t="s">
        <v>2719</v>
      </c>
      <c r="E404" s="1488">
        <f>'1501 Summary'!AD283</f>
        <v>6164</v>
      </c>
      <c r="F404" s="1484"/>
      <c r="G404" s="1484"/>
      <c r="H404" s="1484"/>
      <c r="I404" s="1484"/>
      <c r="J404" s="1484"/>
      <c r="K404" s="1405"/>
      <c r="L404" s="1427"/>
      <c r="M404" s="1423"/>
      <c r="N404" s="1484"/>
      <c r="O404" s="1423"/>
      <c r="P404" s="1423"/>
      <c r="Q404" s="1423"/>
      <c r="R404" s="1484"/>
      <c r="S404" s="1423"/>
      <c r="T404" s="1423"/>
      <c r="U404" s="1423"/>
      <c r="V404" s="1484"/>
      <c r="W404" s="1484"/>
      <c r="X404" s="1484"/>
      <c r="Y404" s="1484"/>
      <c r="Z404" s="1484"/>
      <c r="AD404" s="1484"/>
      <c r="AF404" s="1484"/>
      <c r="AG404" s="1484"/>
      <c r="AH404" s="1484"/>
      <c r="AI404" s="1430"/>
      <c r="AJ404" s="1425"/>
      <c r="AL404" s="748"/>
    </row>
    <row r="405" spans="1:38">
      <c r="A405" s="728">
        <v>400</v>
      </c>
      <c r="B405" s="727" t="s">
        <v>0</v>
      </c>
      <c r="E405" s="1488">
        <f>'1501 Summary'!AD284</f>
        <v>0</v>
      </c>
      <c r="F405" s="1484"/>
      <c r="G405" s="1484"/>
      <c r="H405" s="1484"/>
      <c r="I405" s="1484"/>
      <c r="J405" s="1484"/>
      <c r="K405" s="1405"/>
      <c r="L405" s="1427"/>
      <c r="M405" s="1423"/>
      <c r="N405" s="1484"/>
      <c r="O405" s="1423"/>
      <c r="P405" s="1423"/>
      <c r="Q405" s="1423"/>
      <c r="R405" s="1484"/>
      <c r="S405" s="1423"/>
      <c r="T405" s="1423"/>
      <c r="U405" s="1423"/>
      <c r="V405" s="1484"/>
      <c r="W405" s="1484"/>
      <c r="X405" s="1484"/>
      <c r="Y405" s="1484"/>
      <c r="Z405" s="1484"/>
      <c r="AD405" s="1484"/>
      <c r="AF405" s="1484"/>
      <c r="AG405" s="1484"/>
      <c r="AH405" s="1484"/>
      <c r="AI405" s="1430"/>
      <c r="AJ405" s="1425"/>
      <c r="AL405" s="748"/>
    </row>
    <row r="406" spans="1:38">
      <c r="A406" s="728">
        <v>401</v>
      </c>
      <c r="B406" s="1482" t="s">
        <v>2697</v>
      </c>
      <c r="E406" s="1488">
        <f>'Revenue Reconcilliation'!Q260</f>
        <v>-145274.71</v>
      </c>
      <c r="F406" s="1484"/>
      <c r="G406" s="1484"/>
      <c r="H406" s="1484"/>
      <c r="I406" s="1484"/>
      <c r="J406" s="1484"/>
      <c r="K406" s="1405"/>
      <c r="L406" s="1427"/>
      <c r="M406" s="1423"/>
      <c r="N406" s="1484"/>
      <c r="O406" s="1423"/>
      <c r="P406" s="1423"/>
      <c r="Q406" s="1423"/>
      <c r="R406" s="1484"/>
      <c r="S406" s="1423"/>
      <c r="T406" s="1423"/>
      <c r="U406" s="1423"/>
      <c r="V406" s="1484"/>
      <c r="W406" s="1484"/>
      <c r="X406" s="1484"/>
      <c r="Y406" s="1484"/>
      <c r="Z406" s="1484"/>
      <c r="AD406" s="1484"/>
      <c r="AF406" s="1484"/>
      <c r="AG406" s="1484"/>
      <c r="AH406" s="1484"/>
      <c r="AI406" s="1430"/>
      <c r="AJ406" s="1425"/>
      <c r="AL406" s="748"/>
    </row>
    <row r="407" spans="1:38">
      <c r="A407" s="728">
        <v>402</v>
      </c>
      <c r="B407" s="1482" t="s">
        <v>2698</v>
      </c>
      <c r="E407" s="1492">
        <f>'Revenue Reconcilliation'!Q261</f>
        <v>145569.97999999998</v>
      </c>
      <c r="F407" s="1484"/>
      <c r="G407" s="1484"/>
      <c r="H407" s="1484"/>
      <c r="I407" s="1484"/>
      <c r="J407" s="1484"/>
      <c r="K407" s="1405"/>
      <c r="L407" s="1427"/>
      <c r="M407" s="1423"/>
      <c r="N407" s="1484"/>
      <c r="O407" s="1423"/>
      <c r="P407" s="1423"/>
      <c r="Q407" s="1423"/>
      <c r="R407" s="1484"/>
      <c r="S407" s="1423"/>
      <c r="T407" s="1423"/>
      <c r="U407" s="1423"/>
      <c r="V407" s="1484"/>
      <c r="W407" s="1484"/>
      <c r="X407" s="1484"/>
      <c r="Y407" s="1484"/>
      <c r="Z407" s="1484"/>
      <c r="AD407" s="1484"/>
      <c r="AF407" s="1484"/>
      <c r="AG407" s="1484"/>
      <c r="AH407" s="1484"/>
      <c r="AI407" s="1430"/>
      <c r="AJ407" s="1425"/>
      <c r="AL407" s="748"/>
    </row>
    <row r="408" spans="1:38">
      <c r="A408" s="728">
        <v>403</v>
      </c>
      <c r="B408" s="1443" t="s">
        <v>2678</v>
      </c>
      <c r="E408" s="1488">
        <f>SUM(E404:E407)</f>
        <v>6459.2699999999895</v>
      </c>
      <c r="F408" s="1422"/>
      <c r="G408" s="1422"/>
      <c r="H408" s="1422"/>
      <c r="I408" s="1422"/>
      <c r="J408" s="1422"/>
      <c r="K408" s="1405"/>
      <c r="L408" s="1427"/>
      <c r="M408" s="1423"/>
      <c r="N408" s="1422"/>
      <c r="O408" s="1423"/>
      <c r="P408" s="1423"/>
      <c r="Q408" s="1423"/>
      <c r="R408" s="1422"/>
      <c r="S408" s="1423"/>
      <c r="T408" s="1423"/>
      <c r="U408" s="1423"/>
      <c r="V408" s="1422"/>
      <c r="W408" s="1422"/>
      <c r="X408" s="1422"/>
      <c r="Y408" s="1422"/>
      <c r="Z408" s="1422"/>
      <c r="AD408" s="1422"/>
      <c r="AF408" s="1422"/>
      <c r="AG408" s="1422"/>
      <c r="AH408" s="1422"/>
      <c r="AI408" s="1430"/>
      <c r="AJ408" s="1425"/>
      <c r="AL408" s="748"/>
    </row>
    <row r="409" spans="1:38">
      <c r="A409" s="728">
        <v>404</v>
      </c>
      <c r="B409" s="1443"/>
      <c r="E409" s="1488"/>
      <c r="F409" s="1423"/>
      <c r="G409" s="1423"/>
      <c r="H409" s="1423"/>
      <c r="I409" s="1423"/>
      <c r="J409" s="1423"/>
      <c r="K409" s="1405"/>
      <c r="L409" s="1427"/>
      <c r="M409" s="1423"/>
      <c r="N409" s="1423"/>
      <c r="O409" s="1423"/>
      <c r="P409" s="1423"/>
      <c r="Q409" s="1423"/>
      <c r="R409" s="1423"/>
      <c r="S409" s="1423"/>
      <c r="T409" s="1423"/>
      <c r="U409" s="1423"/>
      <c r="V409" s="1423"/>
      <c r="W409" s="1423"/>
      <c r="X409" s="1423"/>
      <c r="Y409" s="1423"/>
      <c r="Z409" s="1423"/>
      <c r="AD409" s="1423"/>
      <c r="AF409" s="1423"/>
      <c r="AG409" s="1423"/>
      <c r="AH409" s="1423"/>
      <c r="AI409" s="1430"/>
      <c r="AJ409" s="1425"/>
      <c r="AL409" s="748"/>
    </row>
    <row r="410" spans="1:38">
      <c r="A410" s="728">
        <v>405</v>
      </c>
      <c r="B410" s="1444" t="s">
        <v>2744</v>
      </c>
      <c r="C410" s="1438">
        <f>E410-'Revenue Reconcilliation'!Q262</f>
        <v>0</v>
      </c>
      <c r="D410" s="1445" t="s">
        <v>2673</v>
      </c>
      <c r="E410" s="1492">
        <f>SUM(E401,E408)</f>
        <v>145569.98000000001</v>
      </c>
      <c r="F410" s="1438"/>
      <c r="G410" s="1438"/>
      <c r="H410" s="1438"/>
      <c r="I410" s="1438"/>
      <c r="J410" s="1438"/>
      <c r="K410" s="1447"/>
      <c r="L410" s="1446"/>
      <c r="M410" s="1437"/>
      <c r="N410" s="1438"/>
      <c r="O410" s="1437"/>
      <c r="P410" s="1437"/>
      <c r="Q410" s="1437"/>
      <c r="R410" s="1438"/>
      <c r="S410" s="1437"/>
      <c r="T410" s="1437"/>
      <c r="U410" s="1437"/>
      <c r="V410" s="1438"/>
      <c r="W410" s="1438"/>
      <c r="X410" s="1438"/>
      <c r="Y410" s="1438"/>
      <c r="Z410" s="1438"/>
      <c r="AA410" s="1437"/>
      <c r="AB410" s="1437"/>
      <c r="AC410" s="1437"/>
      <c r="AD410" s="1438"/>
      <c r="AE410" s="1447"/>
      <c r="AF410" s="1438"/>
      <c r="AG410" s="1438"/>
      <c r="AH410" s="1438"/>
      <c r="AI410" s="1490"/>
      <c r="AJ410" s="1440"/>
      <c r="AK410" s="1437"/>
      <c r="AL410" s="748"/>
    </row>
    <row r="411" spans="1:38">
      <c r="A411" s="728">
        <v>406</v>
      </c>
      <c r="K411" s="1405"/>
      <c r="L411" s="1427"/>
      <c r="M411" s="1423"/>
      <c r="O411" s="1423"/>
      <c r="P411" s="1423"/>
      <c r="Q411" s="1423"/>
      <c r="S411" s="1423"/>
      <c r="T411" s="1423"/>
      <c r="U411" s="1423"/>
      <c r="AI411" s="1430"/>
      <c r="AJ411" s="1425"/>
      <c r="AL411" s="748"/>
    </row>
    <row r="412" spans="1:38">
      <c r="A412" s="728">
        <v>407</v>
      </c>
      <c r="B412" s="1420" t="s">
        <v>2745</v>
      </c>
      <c r="E412" s="1423"/>
      <c r="F412" s="1423"/>
      <c r="G412" s="1423"/>
      <c r="H412" s="1423"/>
      <c r="I412" s="1423"/>
      <c r="J412" s="1423"/>
      <c r="K412" s="1405"/>
      <c r="L412" s="1427"/>
      <c r="M412" s="1423"/>
      <c r="N412" s="1423"/>
      <c r="O412" s="1423"/>
      <c r="P412" s="1423"/>
      <c r="Q412" s="1423"/>
      <c r="R412" s="1423"/>
      <c r="S412" s="1423"/>
      <c r="T412" s="1423"/>
      <c r="U412" s="1423"/>
      <c r="V412" s="1423"/>
      <c r="W412" s="1423"/>
      <c r="X412" s="1423"/>
      <c r="Y412" s="1423"/>
      <c r="Z412" s="1423"/>
      <c r="AA412" s="1423"/>
      <c r="AB412" s="1423"/>
      <c r="AC412" s="1423"/>
      <c r="AD412" s="1423"/>
      <c r="AF412" s="1423"/>
      <c r="AG412" s="1423"/>
      <c r="AH412" s="1423"/>
      <c r="AI412" s="1430"/>
      <c r="AJ412" s="1425"/>
      <c r="AK412" s="1423"/>
      <c r="AL412" s="748"/>
    </row>
    <row r="413" spans="1:38">
      <c r="A413" s="728">
        <v>408</v>
      </c>
      <c r="B413" s="727" t="s">
        <v>2724</v>
      </c>
      <c r="C413" s="1404">
        <f t="shared" ref="C413:C419" si="15">E413/D413</f>
        <v>12</v>
      </c>
      <c r="D413" s="1430">
        <v>625</v>
      </c>
      <c r="E413" s="1405">
        <f>'1501 Summary'!AD291</f>
        <v>7500</v>
      </c>
      <c r="F413" s="1429"/>
      <c r="G413" s="1429"/>
      <c r="H413" s="1429"/>
      <c r="I413" s="1429"/>
      <c r="J413" s="1429"/>
      <c r="K413" s="1405">
        <f t="shared" ref="K413:K419" si="16">C413+G413</f>
        <v>12</v>
      </c>
      <c r="L413" s="1422">
        <f>D413</f>
        <v>625</v>
      </c>
      <c r="M413" s="1423">
        <f>L413*K413</f>
        <v>7500</v>
      </c>
      <c r="N413" s="1429"/>
      <c r="O413" s="1424"/>
      <c r="P413" s="1484"/>
      <c r="Q413" s="1423"/>
      <c r="R413" s="1429"/>
      <c r="S413" s="1424"/>
      <c r="T413" s="1484"/>
      <c r="U413" s="1423"/>
      <c r="V413" s="1429"/>
      <c r="W413" s="1429"/>
      <c r="X413" s="1429"/>
      <c r="Y413" s="1429"/>
      <c r="Z413" s="1429"/>
      <c r="AA413" s="1425"/>
      <c r="AB413" s="1425"/>
      <c r="AC413" s="1425"/>
      <c r="AD413" s="1429"/>
      <c r="AF413" s="1429"/>
      <c r="AG413" s="1429"/>
      <c r="AH413" s="1429"/>
      <c r="AI413" s="1430"/>
      <c r="AJ413" s="1425"/>
      <c r="AK413" s="1425"/>
      <c r="AL413" s="748"/>
    </row>
    <row r="414" spans="1:38">
      <c r="A414" s="728">
        <v>409</v>
      </c>
      <c r="B414" s="727" t="s">
        <v>2736</v>
      </c>
      <c r="C414" s="1404">
        <f t="shared" si="15"/>
        <v>12</v>
      </c>
      <c r="D414" s="1430">
        <v>3950</v>
      </c>
      <c r="E414" s="1405">
        <f>'1501 Summary'!AD292</f>
        <v>47400</v>
      </c>
      <c r="F414" s="1449"/>
      <c r="G414" s="1449"/>
      <c r="H414" s="1449"/>
      <c r="I414" s="1449"/>
      <c r="J414" s="1449"/>
      <c r="K414" s="1405">
        <f t="shared" si="16"/>
        <v>12</v>
      </c>
      <c r="L414" s="1422">
        <f>D414</f>
        <v>3950</v>
      </c>
      <c r="M414" s="1423">
        <f>L414*K414</f>
        <v>47400</v>
      </c>
      <c r="N414" s="1449"/>
      <c r="O414" s="1424"/>
      <c r="P414" s="1484"/>
      <c r="Q414" s="1423"/>
      <c r="R414" s="1449"/>
      <c r="S414" s="1424"/>
      <c r="T414" s="1484"/>
      <c r="U414" s="1423"/>
      <c r="V414" s="1449"/>
      <c r="W414" s="1449"/>
      <c r="X414" s="1449"/>
      <c r="Y414" s="1449"/>
      <c r="Z414" s="1449"/>
      <c r="AA414" s="1425"/>
      <c r="AB414" s="1425"/>
      <c r="AC414" s="1425"/>
      <c r="AD414" s="1449"/>
      <c r="AF414" s="1449"/>
      <c r="AG414" s="1449"/>
      <c r="AH414" s="1449"/>
      <c r="AI414" s="1430"/>
      <c r="AJ414" s="1425"/>
      <c r="AK414" s="1425"/>
      <c r="AL414" s="748"/>
    </row>
    <row r="415" spans="1:38">
      <c r="A415" s="728">
        <v>410</v>
      </c>
      <c r="B415" s="727" t="s">
        <v>2714</v>
      </c>
      <c r="C415" s="1405">
        <f t="shared" si="15"/>
        <v>4869874.9999999991</v>
      </c>
      <c r="D415" s="1500">
        <v>4.0000000000000002E-4</v>
      </c>
      <c r="E415" s="1405">
        <f>'1501 Summary'!AD293</f>
        <v>1947.9499999999998</v>
      </c>
      <c r="F415" s="1449"/>
      <c r="G415" s="1449"/>
      <c r="H415" s="1449"/>
      <c r="I415" s="1449"/>
      <c r="J415" s="1449"/>
      <c r="K415" s="1405">
        <f t="shared" si="16"/>
        <v>4869874.9999999991</v>
      </c>
      <c r="L415" s="1427">
        <f>D415</f>
        <v>4.0000000000000002E-4</v>
      </c>
      <c r="M415" s="1423">
        <f>L415*K415</f>
        <v>1947.9499999999998</v>
      </c>
      <c r="N415" s="1449"/>
      <c r="O415" s="1424"/>
      <c r="P415" s="1484"/>
      <c r="Q415" s="1423"/>
      <c r="R415" s="1449"/>
      <c r="S415" s="1424"/>
      <c r="T415" s="1484"/>
      <c r="U415" s="1423"/>
      <c r="V415" s="1449"/>
      <c r="W415" s="1449"/>
      <c r="X415" s="1449"/>
      <c r="Y415" s="1449"/>
      <c r="Z415" s="1449"/>
      <c r="AA415" s="1425"/>
      <c r="AB415" s="1425"/>
      <c r="AC415" s="1425"/>
      <c r="AD415" s="1449"/>
      <c r="AF415" s="1449"/>
      <c r="AG415" s="1449"/>
      <c r="AH415" s="1449"/>
      <c r="AI415" s="1428"/>
      <c r="AJ415" s="1425"/>
      <c r="AK415" s="1425"/>
      <c r="AL415" s="748"/>
    </row>
    <row r="416" spans="1:38">
      <c r="A416" s="728">
        <v>411</v>
      </c>
      <c r="B416" s="727" t="s">
        <v>2713</v>
      </c>
      <c r="C416" s="1404">
        <v>0</v>
      </c>
      <c r="D416" s="1430">
        <v>0</v>
      </c>
      <c r="E416" s="1405">
        <f>'1501 Summary'!AD294</f>
        <v>0</v>
      </c>
      <c r="F416" s="1449"/>
      <c r="G416" s="1449"/>
      <c r="H416" s="1449"/>
      <c r="I416" s="1449"/>
      <c r="J416" s="1449"/>
      <c r="K416" s="1405">
        <f t="shared" si="16"/>
        <v>0</v>
      </c>
      <c r="L416" s="1427">
        <f>D416</f>
        <v>0</v>
      </c>
      <c r="M416" s="1423">
        <f>L416*K416</f>
        <v>0</v>
      </c>
      <c r="N416" s="1449"/>
      <c r="O416" s="1423"/>
      <c r="P416" s="1484"/>
      <c r="Q416" s="1423"/>
      <c r="R416" s="1449"/>
      <c r="S416" s="1423"/>
      <c r="T416" s="1484"/>
      <c r="U416" s="1423"/>
      <c r="V416" s="1449"/>
      <c r="W416" s="1449"/>
      <c r="X416" s="1449"/>
      <c r="Y416" s="1449"/>
      <c r="Z416" s="1449"/>
      <c r="AA416" s="1425"/>
      <c r="AB416" s="1425"/>
      <c r="AC416" s="1425"/>
      <c r="AD416" s="1449"/>
      <c r="AF416" s="1449"/>
      <c r="AG416" s="1449"/>
      <c r="AH416" s="1449"/>
      <c r="AI416" s="1428"/>
      <c r="AJ416" s="1425"/>
      <c r="AK416" s="1425"/>
      <c r="AL416" s="748"/>
    </row>
    <row r="417" spans="1:38">
      <c r="A417" s="728">
        <v>412</v>
      </c>
      <c r="B417" s="727" t="s">
        <v>2738</v>
      </c>
      <c r="C417" s="1404">
        <v>0</v>
      </c>
      <c r="D417" s="1430">
        <v>0</v>
      </c>
      <c r="E417" s="1405">
        <f>'1501 Summary'!AD295</f>
        <v>0</v>
      </c>
      <c r="F417" s="1449"/>
      <c r="G417" s="1449"/>
      <c r="H417" s="1449"/>
      <c r="I417" s="1449"/>
      <c r="J417" s="1449"/>
      <c r="K417" s="1405">
        <f t="shared" si="16"/>
        <v>0</v>
      </c>
      <c r="L417" s="1427">
        <f>D417</f>
        <v>0</v>
      </c>
      <c r="M417" s="1423">
        <f>L417*K417</f>
        <v>0</v>
      </c>
      <c r="N417" s="1449"/>
      <c r="O417" s="1423"/>
      <c r="P417" s="1484"/>
      <c r="Q417" s="1423"/>
      <c r="R417" s="1449"/>
      <c r="S417" s="1423"/>
      <c r="T417" s="1484"/>
      <c r="U417" s="1423"/>
      <c r="V417" s="1449"/>
      <c r="W417" s="1449"/>
      <c r="X417" s="1449"/>
      <c r="Y417" s="1449"/>
      <c r="Z417" s="1449"/>
      <c r="AA417" s="1425"/>
      <c r="AB417" s="1425"/>
      <c r="AC417" s="1425"/>
      <c r="AD417" s="1449"/>
      <c r="AF417" s="1449"/>
      <c r="AG417" s="1449"/>
      <c r="AH417" s="1449"/>
      <c r="AI417" s="1428"/>
      <c r="AJ417" s="1425"/>
      <c r="AK417" s="1425"/>
      <c r="AL417" s="748"/>
    </row>
    <row r="418" spans="1:38">
      <c r="A418" s="728">
        <v>413</v>
      </c>
      <c r="B418" s="727" t="s">
        <v>2739</v>
      </c>
      <c r="C418" s="1405">
        <f t="shared" si="15"/>
        <v>3877415.75125675</v>
      </c>
      <c r="D418" s="1501">
        <v>1.7724299999999998E-2</v>
      </c>
      <c r="E418" s="1405">
        <f>SUM('1501 Summary'!G296:W296)</f>
        <v>68724.48000000001</v>
      </c>
      <c r="F418" s="1449"/>
      <c r="G418" s="1449"/>
      <c r="H418" s="1449"/>
      <c r="I418" s="1449"/>
      <c r="J418" s="1449"/>
      <c r="K418" s="1405">
        <f t="shared" si="16"/>
        <v>3877415.75125675</v>
      </c>
      <c r="L418" s="1427"/>
      <c r="M418" s="1423"/>
      <c r="N418" s="1449"/>
      <c r="O418" s="1423"/>
      <c r="P418" s="1484"/>
      <c r="Q418" s="1423"/>
      <c r="R418" s="1449"/>
      <c r="S418" s="1423"/>
      <c r="T418" s="1484"/>
      <c r="U418" s="1423"/>
      <c r="V418" s="1449"/>
      <c r="W418" s="1449"/>
      <c r="X418" s="1449"/>
      <c r="Y418" s="1449"/>
      <c r="Z418" s="1449"/>
      <c r="AA418" s="1425"/>
      <c r="AB418" s="1425"/>
      <c r="AC418" s="1425"/>
      <c r="AD418" s="1449"/>
      <c r="AF418" s="1449"/>
      <c r="AG418" s="1449"/>
      <c r="AH418" s="1449"/>
      <c r="AI418" s="1428"/>
      <c r="AJ418" s="1425"/>
      <c r="AK418" s="1425"/>
      <c r="AL418" s="748"/>
    </row>
    <row r="419" spans="1:38">
      <c r="A419" s="728">
        <v>414</v>
      </c>
      <c r="B419" s="1453" t="s">
        <v>2740</v>
      </c>
      <c r="C419" s="1405">
        <f t="shared" si="15"/>
        <v>987421.0763053993</v>
      </c>
      <c r="D419" s="1501">
        <v>1.80079E-2</v>
      </c>
      <c r="E419" s="1447">
        <f>SUM('1501 Summary'!Y296:AC296)</f>
        <v>17781.38</v>
      </c>
      <c r="F419" s="1449"/>
      <c r="G419" s="1449"/>
      <c r="H419" s="1449"/>
      <c r="I419" s="1449"/>
      <c r="J419" s="1449"/>
      <c r="K419" s="1405">
        <f t="shared" si="16"/>
        <v>987421.0763053993</v>
      </c>
      <c r="L419" s="1427">
        <f>D419</f>
        <v>1.80079E-2</v>
      </c>
      <c r="M419" s="1437">
        <f>L419*SUM(K419,K418)</f>
        <v>87605.495107056442</v>
      </c>
      <c r="N419" s="1449"/>
      <c r="O419" s="1424"/>
      <c r="P419" s="1484"/>
      <c r="Q419" s="1423"/>
      <c r="R419" s="1449"/>
      <c r="S419" s="1424"/>
      <c r="T419" s="1484"/>
      <c r="U419" s="1423"/>
      <c r="V419" s="1449"/>
      <c r="W419" s="1449"/>
      <c r="X419" s="1449"/>
      <c r="Y419" s="1449"/>
      <c r="Z419" s="1449"/>
      <c r="AA419" s="1425"/>
      <c r="AB419" s="1425"/>
      <c r="AC419" s="1425"/>
      <c r="AD419" s="1449"/>
      <c r="AF419" s="1449"/>
      <c r="AG419" s="1449"/>
      <c r="AH419" s="1449"/>
      <c r="AI419" s="1428"/>
      <c r="AJ419" s="1425"/>
      <c r="AK419" s="1425"/>
      <c r="AL419" s="748"/>
    </row>
    <row r="420" spans="1:38">
      <c r="A420" s="728">
        <v>415</v>
      </c>
      <c r="B420" s="727" t="s">
        <v>2648</v>
      </c>
      <c r="E420" s="1434">
        <f>SUM(E413:E419)</f>
        <v>143353.81</v>
      </c>
      <c r="F420" s="1449"/>
      <c r="G420" s="1449"/>
      <c r="H420" s="1449"/>
      <c r="I420" s="1449"/>
      <c r="J420" s="1449"/>
      <c r="K420" s="1405"/>
      <c r="L420" s="1427"/>
      <c r="M420" s="1423">
        <f>SUM(M413:M419)</f>
        <v>144453.44510705644</v>
      </c>
      <c r="N420" s="1449"/>
      <c r="O420" s="1423"/>
      <c r="P420" s="1423"/>
      <c r="Q420" s="1423"/>
      <c r="R420" s="1449"/>
      <c r="S420" s="1423"/>
      <c r="T420" s="1423"/>
      <c r="U420" s="1423"/>
      <c r="V420" s="1449"/>
      <c r="W420" s="1449"/>
      <c r="X420" s="1449"/>
      <c r="Y420" s="1449"/>
      <c r="Z420" s="1449"/>
      <c r="AA420" s="1425"/>
      <c r="AB420" s="1425"/>
      <c r="AC420" s="1425"/>
      <c r="AD420" s="1449"/>
      <c r="AF420" s="1449"/>
      <c r="AG420" s="1449"/>
      <c r="AH420" s="1449"/>
      <c r="AI420" s="1430"/>
      <c r="AJ420" s="1425"/>
      <c r="AK420" s="1425"/>
      <c r="AL420" s="748"/>
    </row>
    <row r="421" spans="1:38">
      <c r="A421" s="728">
        <v>416</v>
      </c>
      <c r="B421" s="1443"/>
      <c r="E421" s="1434"/>
      <c r="F421" s="1449"/>
      <c r="G421" s="1449"/>
      <c r="H421" s="1449"/>
      <c r="I421" s="1449"/>
      <c r="J421" s="1449"/>
      <c r="K421" s="1405"/>
      <c r="L421" s="1427"/>
      <c r="M421" s="1423"/>
      <c r="N421" s="1449"/>
      <c r="O421" s="1423"/>
      <c r="P421" s="1423"/>
      <c r="Q421" s="1423"/>
      <c r="R421" s="1449"/>
      <c r="S421" s="1423"/>
      <c r="T421" s="1423"/>
      <c r="U421" s="1423"/>
      <c r="V421" s="1449"/>
      <c r="W421" s="1449"/>
      <c r="X421" s="1449"/>
      <c r="Y421" s="1449"/>
      <c r="Z421" s="1449"/>
      <c r="AD421" s="1449"/>
      <c r="AF421" s="1449"/>
      <c r="AG421" s="1449"/>
      <c r="AH421" s="1449"/>
      <c r="AI421" s="1430"/>
      <c r="AJ421" s="1425"/>
      <c r="AL421" s="748"/>
    </row>
    <row r="422" spans="1:38">
      <c r="A422" s="728">
        <v>417</v>
      </c>
      <c r="B422" s="727" t="s">
        <v>2651</v>
      </c>
      <c r="E422" s="1434"/>
      <c r="F422" s="1449"/>
      <c r="G422" s="1449"/>
      <c r="H422" s="1449"/>
      <c r="I422" s="1449"/>
      <c r="J422" s="1449"/>
      <c r="K422" s="1405"/>
      <c r="L422" s="1427"/>
      <c r="M422" s="1423"/>
      <c r="N422" s="1449"/>
      <c r="O422" s="1423"/>
      <c r="P422" s="1423"/>
      <c r="Q422" s="1423"/>
      <c r="R422" s="1449"/>
      <c r="S422" s="1423"/>
      <c r="T422" s="1423"/>
      <c r="U422" s="1423"/>
      <c r="V422" s="1449"/>
      <c r="W422" s="1449"/>
      <c r="X422" s="1449"/>
      <c r="Y422" s="1449"/>
      <c r="Z422" s="1449"/>
      <c r="AD422" s="1449"/>
      <c r="AF422" s="1449"/>
      <c r="AG422" s="1449"/>
      <c r="AH422" s="1449"/>
      <c r="AI422" s="1430"/>
      <c r="AJ422" s="1425"/>
      <c r="AL422" s="748"/>
    </row>
    <row r="423" spans="1:38">
      <c r="A423" s="728">
        <v>418</v>
      </c>
      <c r="B423" s="727" t="s">
        <v>2719</v>
      </c>
      <c r="E423" s="1434">
        <f>'1501 Summary'!AD298</f>
        <v>6352.0100000000011</v>
      </c>
      <c r="F423" s="1449"/>
      <c r="G423" s="1449"/>
      <c r="H423" s="1449"/>
      <c r="I423" s="1449"/>
      <c r="J423" s="1449"/>
      <c r="K423" s="1405"/>
      <c r="L423" s="1427"/>
      <c r="M423" s="1423"/>
      <c r="N423" s="1449"/>
      <c r="O423" s="1423"/>
      <c r="P423" s="1423"/>
      <c r="Q423" s="1423"/>
      <c r="R423" s="1449"/>
      <c r="S423" s="1423"/>
      <c r="T423" s="1423"/>
      <c r="U423" s="1423"/>
      <c r="V423" s="1449"/>
      <c r="W423" s="1449"/>
      <c r="X423" s="1449"/>
      <c r="Y423" s="1449"/>
      <c r="Z423" s="1449"/>
      <c r="AD423" s="1449"/>
      <c r="AF423" s="1449"/>
      <c r="AG423" s="1449"/>
      <c r="AH423" s="1449"/>
      <c r="AI423" s="1430"/>
      <c r="AJ423" s="1425"/>
      <c r="AL423" s="748"/>
    </row>
    <row r="424" spans="1:38">
      <c r="A424" s="728">
        <v>419</v>
      </c>
      <c r="B424" s="727" t="s">
        <v>0</v>
      </c>
      <c r="E424" s="1503"/>
      <c r="F424" s="1449"/>
      <c r="G424" s="1449"/>
      <c r="H424" s="1449"/>
      <c r="I424" s="1449"/>
      <c r="J424" s="1449"/>
      <c r="K424" s="1405"/>
      <c r="L424" s="1427"/>
      <c r="M424" s="1423"/>
      <c r="N424" s="1449"/>
      <c r="O424" s="1423"/>
      <c r="P424" s="1423"/>
      <c r="Q424" s="1423"/>
      <c r="R424" s="1449"/>
      <c r="S424" s="1423"/>
      <c r="T424" s="1423"/>
      <c r="U424" s="1423"/>
      <c r="V424" s="1449"/>
      <c r="W424" s="1449"/>
      <c r="X424" s="1449"/>
      <c r="Y424" s="1449"/>
      <c r="Z424" s="1449"/>
      <c r="AD424" s="1449"/>
      <c r="AF424" s="1449"/>
      <c r="AG424" s="1449"/>
      <c r="AH424" s="1449"/>
      <c r="AI424" s="1430"/>
      <c r="AJ424" s="1425"/>
      <c r="AL424" s="748"/>
    </row>
    <row r="425" spans="1:38">
      <c r="A425" s="728">
        <v>420</v>
      </c>
      <c r="B425" s="1482" t="s">
        <v>2697</v>
      </c>
      <c r="E425" s="1434">
        <f>'Revenue Reconcilliation'!Q280</f>
        <v>-149705.82</v>
      </c>
      <c r="F425" s="1449"/>
      <c r="G425" s="1449"/>
      <c r="H425" s="1449"/>
      <c r="I425" s="1449"/>
      <c r="J425" s="1449"/>
      <c r="K425" s="1405"/>
      <c r="L425" s="1427"/>
      <c r="M425" s="1423"/>
      <c r="N425" s="1449"/>
      <c r="O425" s="1423"/>
      <c r="P425" s="1423"/>
      <c r="Q425" s="1423"/>
      <c r="R425" s="1449"/>
      <c r="S425" s="1423"/>
      <c r="T425" s="1423"/>
      <c r="U425" s="1423"/>
      <c r="V425" s="1449"/>
      <c r="W425" s="1449"/>
      <c r="X425" s="1449"/>
      <c r="Y425" s="1449"/>
      <c r="Z425" s="1449"/>
      <c r="AD425" s="1449"/>
      <c r="AF425" s="1449"/>
      <c r="AG425" s="1449"/>
      <c r="AH425" s="1449"/>
      <c r="AI425" s="1430"/>
      <c r="AJ425" s="1425"/>
      <c r="AL425" s="748"/>
    </row>
    <row r="426" spans="1:38">
      <c r="A426" s="728">
        <v>421</v>
      </c>
      <c r="B426" s="1482" t="s">
        <v>2698</v>
      </c>
      <c r="E426" s="1504">
        <f>'Revenue Reconcilliation'!Q281</f>
        <v>149660.71</v>
      </c>
      <c r="F426" s="1449"/>
      <c r="G426" s="1449"/>
      <c r="H426" s="1449"/>
      <c r="I426" s="1449"/>
      <c r="J426" s="1449"/>
      <c r="K426" s="1405"/>
      <c r="L426" s="1427"/>
      <c r="M426" s="1423"/>
      <c r="N426" s="1449"/>
      <c r="O426" s="1423"/>
      <c r="P426" s="1423"/>
      <c r="Q426" s="1423"/>
      <c r="R426" s="1449"/>
      <c r="S426" s="1423"/>
      <c r="T426" s="1423"/>
      <c r="U426" s="1423"/>
      <c r="V426" s="1449"/>
      <c r="W426" s="1449"/>
      <c r="X426" s="1449"/>
      <c r="Y426" s="1449"/>
      <c r="Z426" s="1449"/>
      <c r="AD426" s="1449"/>
      <c r="AF426" s="1449"/>
      <c r="AG426" s="1449"/>
      <c r="AH426" s="1449"/>
      <c r="AI426" s="1430"/>
      <c r="AJ426" s="1425"/>
      <c r="AL426" s="748"/>
    </row>
    <row r="427" spans="1:38">
      <c r="A427" s="728">
        <v>422</v>
      </c>
      <c r="B427" s="1443" t="s">
        <v>2678</v>
      </c>
      <c r="E427" s="1434">
        <f>SUM(E423:E426)</f>
        <v>6306.8999999999942</v>
      </c>
      <c r="F427" s="1449"/>
      <c r="G427" s="1449"/>
      <c r="H427" s="1449"/>
      <c r="I427" s="1449"/>
      <c r="J427" s="1449"/>
      <c r="K427" s="1405"/>
      <c r="L427" s="1427"/>
      <c r="M427" s="1423"/>
      <c r="N427" s="1449"/>
      <c r="O427" s="1423"/>
      <c r="P427" s="1423"/>
      <c r="Q427" s="1423"/>
      <c r="R427" s="1449"/>
      <c r="S427" s="1423"/>
      <c r="T427" s="1423"/>
      <c r="U427" s="1423"/>
      <c r="V427" s="1449"/>
      <c r="W427" s="1449"/>
      <c r="X427" s="1449"/>
      <c r="Y427" s="1449"/>
      <c r="Z427" s="1449"/>
      <c r="AD427" s="1449"/>
      <c r="AF427" s="1449"/>
      <c r="AG427" s="1449"/>
      <c r="AH427" s="1449"/>
      <c r="AI427" s="1430"/>
      <c r="AJ427" s="1425"/>
      <c r="AL427" s="748"/>
    </row>
    <row r="428" spans="1:38">
      <c r="A428" s="728">
        <v>423</v>
      </c>
      <c r="B428" s="1482"/>
      <c r="E428" s="1434"/>
      <c r="F428" s="1449"/>
      <c r="G428" s="1449"/>
      <c r="H428" s="1449"/>
      <c r="I428" s="1449"/>
      <c r="J428" s="1449"/>
      <c r="K428" s="1405"/>
      <c r="L428" s="1427"/>
      <c r="M428" s="1423"/>
      <c r="N428" s="1449"/>
      <c r="O428" s="1423"/>
      <c r="P428" s="1423"/>
      <c r="Q428" s="1423"/>
      <c r="R428" s="1449"/>
      <c r="S428" s="1423"/>
      <c r="T428" s="1423"/>
      <c r="U428" s="1423"/>
      <c r="V428" s="1449"/>
      <c r="W428" s="1449"/>
      <c r="X428" s="1449"/>
      <c r="Y428" s="1449"/>
      <c r="Z428" s="1449"/>
      <c r="AD428" s="1449"/>
      <c r="AF428" s="1449"/>
      <c r="AG428" s="1449"/>
      <c r="AH428" s="1449"/>
      <c r="AI428" s="1430"/>
      <c r="AJ428" s="1425"/>
      <c r="AL428" s="748"/>
    </row>
    <row r="429" spans="1:38">
      <c r="A429" s="728">
        <v>424</v>
      </c>
      <c r="B429" s="1444" t="s">
        <v>2746</v>
      </c>
      <c r="C429" s="1505">
        <f>E429-'Revenue Reconcilliation'!Q282</f>
        <v>0</v>
      </c>
      <c r="D429" s="1445" t="s">
        <v>2673</v>
      </c>
      <c r="E429" s="1506">
        <f>SUM(E420,E427)</f>
        <v>149660.71</v>
      </c>
      <c r="F429" s="1490"/>
      <c r="G429" s="1490"/>
      <c r="H429" s="1490"/>
      <c r="I429" s="1490"/>
      <c r="J429" s="1490"/>
      <c r="K429" s="1447"/>
      <c r="L429" s="1446"/>
      <c r="M429" s="1437"/>
      <c r="N429" s="1490"/>
      <c r="O429" s="1423"/>
      <c r="P429" s="1423"/>
      <c r="Q429" s="1423"/>
      <c r="R429" s="1490"/>
      <c r="S429" s="1423"/>
      <c r="T429" s="1423"/>
      <c r="U429" s="1423"/>
      <c r="V429" s="1490"/>
      <c r="W429" s="1490"/>
      <c r="X429" s="1490"/>
      <c r="Y429" s="1490"/>
      <c r="Z429" s="1490"/>
      <c r="AA429" s="1445"/>
      <c r="AB429" s="1445"/>
      <c r="AC429" s="1445"/>
      <c r="AD429" s="1490"/>
      <c r="AF429" s="1430"/>
      <c r="AG429" s="1430"/>
      <c r="AH429" s="1430"/>
      <c r="AI429" s="1430"/>
      <c r="AJ429" s="1425"/>
      <c r="AL429" s="748"/>
    </row>
    <row r="430" spans="1:38">
      <c r="A430" s="728">
        <v>425</v>
      </c>
      <c r="E430" s="1426"/>
      <c r="F430" s="1426"/>
      <c r="G430" s="1426"/>
      <c r="H430" s="1426"/>
      <c r="I430" s="1426"/>
      <c r="J430" s="1426"/>
      <c r="K430" s="1405"/>
      <c r="L430" s="1427"/>
      <c r="M430" s="1423"/>
      <c r="N430" s="1426"/>
      <c r="O430" s="1423"/>
      <c r="P430" s="1423"/>
      <c r="Q430" s="1423"/>
      <c r="R430" s="1426"/>
      <c r="S430" s="1423"/>
      <c r="T430" s="1423"/>
      <c r="U430" s="1423"/>
      <c r="V430" s="1426"/>
      <c r="W430" s="1426"/>
      <c r="X430" s="1426"/>
      <c r="Y430" s="1426"/>
      <c r="Z430" s="1426"/>
      <c r="AD430" s="1426"/>
      <c r="AF430" s="1426"/>
      <c r="AG430" s="1426"/>
      <c r="AH430" s="1426"/>
      <c r="AI430" s="1430"/>
      <c r="AJ430" s="1425"/>
      <c r="AL430" s="748"/>
    </row>
    <row r="431" spans="1:38">
      <c r="A431" s="728">
        <v>426</v>
      </c>
      <c r="B431" s="1420" t="s">
        <v>2747</v>
      </c>
      <c r="D431" s="1450"/>
      <c r="E431" s="1426"/>
      <c r="F431" s="1426"/>
      <c r="G431" s="1426"/>
      <c r="H431" s="1426"/>
      <c r="I431" s="1426"/>
      <c r="J431" s="1426"/>
      <c r="K431" s="1405"/>
      <c r="L431" s="1427"/>
      <c r="M431" s="1423"/>
      <c r="N431" s="1426"/>
      <c r="O431" s="1423"/>
      <c r="P431" s="1423"/>
      <c r="Q431" s="1423"/>
      <c r="R431" s="1426"/>
      <c r="S431" s="1423"/>
      <c r="T431" s="1423"/>
      <c r="U431" s="1423"/>
      <c r="V431" s="1426"/>
      <c r="W431" s="1426"/>
      <c r="X431" s="1426"/>
      <c r="Y431" s="1426"/>
      <c r="Z431" s="1426"/>
      <c r="AD431" s="1426"/>
      <c r="AF431" s="1426"/>
      <c r="AG431" s="1426"/>
      <c r="AH431" s="1426"/>
      <c r="AI431" s="1430"/>
      <c r="AJ431" s="1425"/>
      <c r="AL431" s="748"/>
    </row>
    <row r="432" spans="1:38">
      <c r="A432" s="728">
        <v>427</v>
      </c>
      <c r="B432" s="727" t="s">
        <v>2724</v>
      </c>
      <c r="C432" s="1507">
        <f t="shared" ref="C432:C438" si="17">E432/D432</f>
        <v>12</v>
      </c>
      <c r="D432" s="1430">
        <v>625</v>
      </c>
      <c r="E432" s="1488">
        <f>'1501 Summary'!AD305</f>
        <v>7500</v>
      </c>
      <c r="F432" s="1489"/>
      <c r="G432" s="1489"/>
      <c r="H432" s="1489"/>
      <c r="I432" s="1489"/>
      <c r="J432" s="1489"/>
      <c r="K432" s="1405">
        <f>C432+G432</f>
        <v>12</v>
      </c>
      <c r="L432" s="1422">
        <f>D432</f>
        <v>625</v>
      </c>
      <c r="M432" s="1423">
        <f>L432*K432</f>
        <v>7500</v>
      </c>
      <c r="N432" s="1489"/>
      <c r="O432" s="1424"/>
      <c r="P432" s="1484"/>
      <c r="Q432" s="1423"/>
      <c r="R432" s="1489"/>
      <c r="S432" s="1424"/>
      <c r="T432" s="1484"/>
      <c r="U432" s="1423"/>
      <c r="V432" s="1489"/>
      <c r="W432" s="1489"/>
      <c r="X432" s="1489"/>
      <c r="Y432" s="1489"/>
      <c r="Z432" s="1489"/>
      <c r="AA432" s="1425"/>
      <c r="AB432" s="1425"/>
      <c r="AC432" s="1425"/>
      <c r="AD432" s="1489"/>
      <c r="AF432" s="1489"/>
      <c r="AG432" s="1489"/>
      <c r="AH432" s="1489"/>
      <c r="AI432" s="1430"/>
      <c r="AJ432" s="1425"/>
      <c r="AK432" s="1425"/>
      <c r="AL432" s="748"/>
    </row>
    <row r="433" spans="1:38">
      <c r="A433" s="728">
        <v>428</v>
      </c>
      <c r="B433" s="727" t="s">
        <v>2736</v>
      </c>
      <c r="C433" s="1507">
        <f t="shared" si="17"/>
        <v>12</v>
      </c>
      <c r="D433" s="1430">
        <v>6725</v>
      </c>
      <c r="E433" s="1488">
        <f>'1501 Summary'!AD306</f>
        <v>80700</v>
      </c>
      <c r="F433" s="1489"/>
      <c r="G433" s="1489"/>
      <c r="H433" s="1489"/>
      <c r="I433" s="1489"/>
      <c r="J433" s="1489"/>
      <c r="K433" s="1405">
        <f>C433+G433</f>
        <v>12</v>
      </c>
      <c r="L433" s="1422">
        <f>D433</f>
        <v>6725</v>
      </c>
      <c r="M433" s="1423">
        <f>L433*K433</f>
        <v>80700</v>
      </c>
      <c r="N433" s="1489"/>
      <c r="O433" s="1424"/>
      <c r="P433" s="1484"/>
      <c r="Q433" s="1423"/>
      <c r="R433" s="1489"/>
      <c r="S433" s="1424"/>
      <c r="T433" s="1484"/>
      <c r="U433" s="1423"/>
      <c r="V433" s="1489"/>
      <c r="W433" s="1489"/>
      <c r="X433" s="1489"/>
      <c r="Y433" s="1489"/>
      <c r="Z433" s="1489"/>
      <c r="AA433" s="1425"/>
      <c r="AB433" s="1425"/>
      <c r="AC433" s="1425"/>
      <c r="AD433" s="1489"/>
      <c r="AF433" s="1489"/>
      <c r="AG433" s="1489"/>
      <c r="AH433" s="1489"/>
      <c r="AI433" s="1430"/>
      <c r="AJ433" s="1425"/>
      <c r="AK433" s="1425"/>
      <c r="AL433" s="748"/>
    </row>
    <row r="434" spans="1:38">
      <c r="A434" s="728">
        <v>429</v>
      </c>
      <c r="B434" s="727" t="s">
        <v>2714</v>
      </c>
      <c r="C434" s="1507">
        <f t="shared" si="17"/>
        <v>12468999.999999998</v>
      </c>
      <c r="D434" s="1500">
        <v>4.0000000000000002E-4</v>
      </c>
      <c r="E434" s="1488">
        <f>'1501 Summary'!AD307</f>
        <v>4987.5999999999995</v>
      </c>
      <c r="F434" s="1489"/>
      <c r="G434" s="1489"/>
      <c r="H434" s="1489"/>
      <c r="I434" s="1489"/>
      <c r="J434" s="1489"/>
      <c r="K434" s="1405">
        <f>C434+G434</f>
        <v>12468999.999999998</v>
      </c>
      <c r="L434" s="1427">
        <f>D434</f>
        <v>4.0000000000000002E-4</v>
      </c>
      <c r="M434" s="1423">
        <f>L434*K434</f>
        <v>4987.5999999999995</v>
      </c>
      <c r="N434" s="1489"/>
      <c r="O434" s="1424"/>
      <c r="P434" s="1484"/>
      <c r="Q434" s="1423"/>
      <c r="R434" s="1489"/>
      <c r="S434" s="1424"/>
      <c r="T434" s="1484"/>
      <c r="U434" s="1423"/>
      <c r="V434" s="1489"/>
      <c r="W434" s="1489"/>
      <c r="X434" s="1489"/>
      <c r="Y434" s="1489"/>
      <c r="Z434" s="1489"/>
      <c r="AA434" s="1425"/>
      <c r="AB434" s="1425"/>
      <c r="AC434" s="1425"/>
      <c r="AD434" s="1489"/>
      <c r="AF434" s="1489"/>
      <c r="AG434" s="1489"/>
      <c r="AH434" s="1489"/>
      <c r="AI434" s="1428"/>
      <c r="AJ434" s="1425"/>
      <c r="AK434" s="1425"/>
      <c r="AL434" s="748"/>
    </row>
    <row r="435" spans="1:38">
      <c r="A435" s="728">
        <v>430</v>
      </c>
      <c r="B435" s="727" t="s">
        <v>2713</v>
      </c>
      <c r="C435" s="1507">
        <v>0</v>
      </c>
      <c r="D435" s="1404">
        <v>0</v>
      </c>
      <c r="E435" s="1488">
        <f>'1501 Summary'!AD308</f>
        <v>0</v>
      </c>
      <c r="F435" s="1489"/>
      <c r="G435" s="1489"/>
      <c r="H435" s="1489"/>
      <c r="I435" s="1489"/>
      <c r="J435" s="1489"/>
      <c r="K435" s="1405"/>
      <c r="L435" s="1427"/>
      <c r="M435" s="1423">
        <f>L435*K435</f>
        <v>0</v>
      </c>
      <c r="N435" s="1489"/>
      <c r="O435" s="1423"/>
      <c r="P435" s="1484"/>
      <c r="Q435" s="1423"/>
      <c r="R435" s="1489"/>
      <c r="S435" s="1423"/>
      <c r="T435" s="1484"/>
      <c r="U435" s="1423"/>
      <c r="V435" s="1489"/>
      <c r="W435" s="1489"/>
      <c r="X435" s="1489"/>
      <c r="Y435" s="1489"/>
      <c r="Z435" s="1489"/>
      <c r="AA435" s="1425"/>
      <c r="AB435" s="1425"/>
      <c r="AC435" s="1425"/>
      <c r="AD435" s="1489"/>
      <c r="AF435" s="1489"/>
      <c r="AG435" s="1489"/>
      <c r="AH435" s="1489"/>
      <c r="AI435" s="1428"/>
      <c r="AJ435" s="1425"/>
      <c r="AK435" s="1425"/>
      <c r="AL435" s="748"/>
    </row>
    <row r="436" spans="1:38">
      <c r="A436" s="728">
        <v>431</v>
      </c>
      <c r="B436" s="727" t="s">
        <v>2738</v>
      </c>
      <c r="C436" s="1507">
        <v>0</v>
      </c>
      <c r="D436" s="1404">
        <v>0</v>
      </c>
      <c r="E436" s="1488">
        <f>'1501 Summary'!AD309</f>
        <v>0</v>
      </c>
      <c r="F436" s="1489"/>
      <c r="G436" s="1489"/>
      <c r="H436" s="1489"/>
      <c r="I436" s="1489"/>
      <c r="J436" s="1489"/>
      <c r="K436" s="1405"/>
      <c r="L436" s="1427"/>
      <c r="M436" s="1423">
        <f>L436*K436</f>
        <v>0</v>
      </c>
      <c r="N436" s="1489"/>
      <c r="O436" s="1423"/>
      <c r="P436" s="1484"/>
      <c r="Q436" s="1423"/>
      <c r="R436" s="1489"/>
      <c r="S436" s="1423"/>
      <c r="T436" s="1484"/>
      <c r="U436" s="1423"/>
      <c r="V436" s="1489"/>
      <c r="W436" s="1489"/>
      <c r="X436" s="1489"/>
      <c r="Y436" s="1489"/>
      <c r="Z436" s="1489"/>
      <c r="AA436" s="1425"/>
      <c r="AB436" s="1425"/>
      <c r="AC436" s="1425"/>
      <c r="AD436" s="1489"/>
      <c r="AF436" s="1489"/>
      <c r="AG436" s="1489"/>
      <c r="AH436" s="1489"/>
      <c r="AI436" s="1428"/>
      <c r="AJ436" s="1425"/>
      <c r="AK436" s="1425"/>
      <c r="AL436" s="748"/>
    </row>
    <row r="437" spans="1:38">
      <c r="A437" s="728">
        <v>432</v>
      </c>
      <c r="B437" s="727" t="s">
        <v>2739</v>
      </c>
      <c r="C437" s="1507">
        <f t="shared" si="17"/>
        <v>9608534.1893350314</v>
      </c>
      <c r="D437" s="1501">
        <v>1.0841099999999999E-2</v>
      </c>
      <c r="E437" s="1488">
        <f>SUM('1501 Summary'!G310:W310)</f>
        <v>104167.08</v>
      </c>
      <c r="F437" s="1489"/>
      <c r="G437" s="1489"/>
      <c r="H437" s="1489"/>
      <c r="I437" s="1489"/>
      <c r="J437" s="1489"/>
      <c r="K437" s="1405">
        <f>C437+G437</f>
        <v>9608534.1893350314</v>
      </c>
      <c r="L437" s="1427"/>
      <c r="M437" s="1423"/>
      <c r="N437" s="1489"/>
      <c r="O437" s="1423"/>
      <c r="P437" s="1484"/>
      <c r="Q437" s="1423"/>
      <c r="R437" s="1489"/>
      <c r="S437" s="1423"/>
      <c r="T437" s="1484"/>
      <c r="U437" s="1423"/>
      <c r="V437" s="1489"/>
      <c r="W437" s="1489"/>
      <c r="X437" s="1489"/>
      <c r="Y437" s="1489"/>
      <c r="Z437" s="1489"/>
      <c r="AA437" s="1425"/>
      <c r="AB437" s="1425"/>
      <c r="AC437" s="1425"/>
      <c r="AD437" s="1489"/>
      <c r="AF437" s="1489"/>
      <c r="AG437" s="1489"/>
      <c r="AH437" s="1489"/>
      <c r="AI437" s="1428"/>
      <c r="AJ437" s="1425"/>
      <c r="AK437" s="1425"/>
      <c r="AL437" s="748"/>
    </row>
    <row r="438" spans="1:38">
      <c r="A438" s="728">
        <v>433</v>
      </c>
      <c r="B438" s="1453" t="s">
        <v>2740</v>
      </c>
      <c r="C438" s="1507">
        <f t="shared" si="17"/>
        <v>2846610.861946871</v>
      </c>
      <c r="D438" s="1501">
        <v>1.1014599999999999E-2</v>
      </c>
      <c r="E438" s="1492">
        <f>SUM('1501 Summary'!Y310:AC310)</f>
        <v>31354.280000000002</v>
      </c>
      <c r="F438" s="1489"/>
      <c r="G438" s="1489"/>
      <c r="H438" s="1489"/>
      <c r="I438" s="1489"/>
      <c r="J438" s="1489"/>
      <c r="K438" s="1405">
        <f>C438+G438</f>
        <v>2846610.861946871</v>
      </c>
      <c r="L438" s="1427">
        <f>D438</f>
        <v>1.1014599999999999E-2</v>
      </c>
      <c r="M438" s="1437">
        <f>L438*SUM(K438,K437)</f>
        <v>137188.44068184964</v>
      </c>
      <c r="N438" s="1489"/>
      <c r="O438" s="1424"/>
      <c r="P438" s="1484"/>
      <c r="Q438" s="1423"/>
      <c r="R438" s="1489"/>
      <c r="S438" s="1424"/>
      <c r="T438" s="1484"/>
      <c r="U438" s="1423"/>
      <c r="V438" s="1489"/>
      <c r="W438" s="1489"/>
      <c r="X438" s="1489"/>
      <c r="Y438" s="1489"/>
      <c r="Z438" s="1489"/>
      <c r="AA438" s="1425"/>
      <c r="AB438" s="1425"/>
      <c r="AC438" s="1425"/>
      <c r="AD438" s="1489"/>
      <c r="AF438" s="1489"/>
      <c r="AG438" s="1489"/>
      <c r="AH438" s="1489"/>
      <c r="AI438" s="1428"/>
      <c r="AJ438" s="1425"/>
      <c r="AK438" s="1425"/>
      <c r="AL438" s="748"/>
    </row>
    <row r="439" spans="1:38">
      <c r="A439" s="728">
        <v>434</v>
      </c>
      <c r="B439" s="727" t="s">
        <v>2648</v>
      </c>
      <c r="E439" s="1488">
        <f>SUM(E432:E438)</f>
        <v>228708.96</v>
      </c>
      <c r="F439" s="1489"/>
      <c r="G439" s="1489"/>
      <c r="H439" s="1489"/>
      <c r="I439" s="1489"/>
      <c r="J439" s="1489"/>
      <c r="K439" s="1405"/>
      <c r="L439" s="1427"/>
      <c r="M439" s="1423">
        <f>SUM(M432:M438)</f>
        <v>230376.04068184964</v>
      </c>
      <c r="N439" s="1489"/>
      <c r="O439" s="1423"/>
      <c r="P439" s="1423"/>
      <c r="Q439" s="1423"/>
      <c r="R439" s="1489"/>
      <c r="S439" s="1423"/>
      <c r="T439" s="1423"/>
      <c r="U439" s="1423"/>
      <c r="V439" s="1489"/>
      <c r="W439" s="1489"/>
      <c r="X439" s="1489"/>
      <c r="Y439" s="1489"/>
      <c r="Z439" s="1489"/>
      <c r="AA439" s="1441"/>
      <c r="AB439" s="1441"/>
      <c r="AC439" s="1441"/>
      <c r="AD439" s="1489"/>
      <c r="AF439" s="1489"/>
      <c r="AG439" s="1489"/>
      <c r="AH439" s="1489"/>
      <c r="AI439" s="1430"/>
      <c r="AJ439" s="1425"/>
      <c r="AK439" s="1425"/>
      <c r="AL439" s="748"/>
    </row>
    <row r="440" spans="1:38">
      <c r="A440" s="728">
        <v>435</v>
      </c>
      <c r="B440" s="1443"/>
      <c r="E440" s="1488"/>
      <c r="F440" s="1489"/>
      <c r="G440" s="1489"/>
      <c r="H440" s="1489"/>
      <c r="I440" s="1489"/>
      <c r="J440" s="1489"/>
      <c r="K440" s="1405"/>
      <c r="L440" s="1427"/>
      <c r="M440" s="1423"/>
      <c r="N440" s="1489"/>
      <c r="O440" s="1423"/>
      <c r="P440" s="1423"/>
      <c r="Q440" s="1423"/>
      <c r="R440" s="1489"/>
      <c r="S440" s="1423"/>
      <c r="T440" s="1423"/>
      <c r="U440" s="1423"/>
      <c r="V440" s="1489"/>
      <c r="W440" s="1489"/>
      <c r="X440" s="1489"/>
      <c r="Y440" s="1489"/>
      <c r="Z440" s="1489"/>
      <c r="AD440" s="1489"/>
      <c r="AF440" s="1489"/>
      <c r="AG440" s="1489"/>
      <c r="AH440" s="1489"/>
      <c r="AI440" s="1430"/>
      <c r="AJ440" s="1425"/>
      <c r="AL440" s="748"/>
    </row>
    <row r="441" spans="1:38">
      <c r="A441" s="728">
        <v>436</v>
      </c>
      <c r="B441" s="727" t="s">
        <v>2651</v>
      </c>
      <c r="E441" s="1488"/>
      <c r="F441" s="1489"/>
      <c r="G441" s="1489"/>
      <c r="H441" s="1489"/>
      <c r="I441" s="1489"/>
      <c r="J441" s="1489"/>
      <c r="K441" s="1405"/>
      <c r="L441" s="1427"/>
      <c r="M441" s="1423"/>
      <c r="N441" s="1489"/>
      <c r="O441" s="1423"/>
      <c r="P441" s="1423"/>
      <c r="Q441" s="1423"/>
      <c r="R441" s="1489"/>
      <c r="S441" s="1423"/>
      <c r="T441" s="1423"/>
      <c r="U441" s="1423"/>
      <c r="V441" s="1489"/>
      <c r="W441" s="1489"/>
      <c r="X441" s="1489"/>
      <c r="Y441" s="1489"/>
      <c r="Z441" s="1489"/>
      <c r="AD441" s="1489"/>
      <c r="AF441" s="1489"/>
      <c r="AG441" s="1489"/>
      <c r="AH441" s="1489"/>
      <c r="AI441" s="1430"/>
      <c r="AJ441" s="1425"/>
      <c r="AL441" s="748"/>
    </row>
    <row r="442" spans="1:38">
      <c r="A442" s="728">
        <v>437</v>
      </c>
      <c r="B442" s="727" t="s">
        <v>2719</v>
      </c>
      <c r="E442" s="1488">
        <f>'1501 Summary'!AD311</f>
        <v>10134.079999999998</v>
      </c>
      <c r="F442" s="1489"/>
      <c r="G442" s="1489"/>
      <c r="H442" s="1489"/>
      <c r="I442" s="1489"/>
      <c r="J442" s="1489"/>
      <c r="K442" s="1405"/>
      <c r="L442" s="1427"/>
      <c r="M442" s="1423"/>
      <c r="N442" s="1489"/>
      <c r="O442" s="1423"/>
      <c r="P442" s="1423"/>
      <c r="Q442" s="1423"/>
      <c r="R442" s="1489"/>
      <c r="S442" s="1423"/>
      <c r="T442" s="1423"/>
      <c r="U442" s="1423"/>
      <c r="V442" s="1489"/>
      <c r="W442" s="1489"/>
      <c r="X442" s="1489"/>
      <c r="Y442" s="1489"/>
      <c r="Z442" s="1489"/>
      <c r="AD442" s="1489"/>
      <c r="AF442" s="1489"/>
      <c r="AG442" s="1489"/>
      <c r="AH442" s="1489"/>
      <c r="AI442" s="1430"/>
      <c r="AJ442" s="1425"/>
      <c r="AL442" s="748"/>
    </row>
    <row r="443" spans="1:38">
      <c r="A443" s="728">
        <v>438</v>
      </c>
      <c r="B443" s="727" t="s">
        <v>0</v>
      </c>
      <c r="E443" s="1488">
        <f>'1501 Summary'!AD312</f>
        <v>0</v>
      </c>
      <c r="F443" s="1489"/>
      <c r="G443" s="1489"/>
      <c r="H443" s="1489"/>
      <c r="I443" s="1489"/>
      <c r="J443" s="1489"/>
      <c r="K443" s="1405"/>
      <c r="L443" s="1427"/>
      <c r="M443" s="1423"/>
      <c r="N443" s="1489"/>
      <c r="O443" s="1423"/>
      <c r="P443" s="1423"/>
      <c r="Q443" s="1423"/>
      <c r="R443" s="1489"/>
      <c r="S443" s="1423"/>
      <c r="T443" s="1423"/>
      <c r="U443" s="1423"/>
      <c r="V443" s="1489"/>
      <c r="W443" s="1489"/>
      <c r="X443" s="1489"/>
      <c r="Y443" s="1489"/>
      <c r="Z443" s="1489"/>
      <c r="AD443" s="1489"/>
      <c r="AF443" s="1489"/>
      <c r="AG443" s="1489"/>
      <c r="AH443" s="1489"/>
      <c r="AI443" s="1430"/>
      <c r="AJ443" s="1425"/>
      <c r="AL443" s="748"/>
    </row>
    <row r="444" spans="1:38">
      <c r="A444" s="728">
        <v>439</v>
      </c>
      <c r="B444" s="1482" t="s">
        <v>2697</v>
      </c>
      <c r="E444" s="1488">
        <f>'Revenue Reconcilliation'!Q300</f>
        <v>-238843.04</v>
      </c>
      <c r="F444" s="1489"/>
      <c r="G444" s="1489"/>
      <c r="H444" s="1489"/>
      <c r="I444" s="1489"/>
      <c r="J444" s="1489"/>
      <c r="K444" s="1405"/>
      <c r="L444" s="1427"/>
      <c r="M444" s="1423"/>
      <c r="N444" s="1489"/>
      <c r="O444" s="1423"/>
      <c r="P444" s="1423"/>
      <c r="Q444" s="1423"/>
      <c r="R444" s="1489"/>
      <c r="S444" s="1423"/>
      <c r="T444" s="1423"/>
      <c r="U444" s="1423"/>
      <c r="V444" s="1489"/>
      <c r="W444" s="1489"/>
      <c r="X444" s="1489"/>
      <c r="Y444" s="1489"/>
      <c r="Z444" s="1489"/>
      <c r="AD444" s="1489"/>
      <c r="AF444" s="1489"/>
      <c r="AG444" s="1489"/>
      <c r="AH444" s="1489"/>
      <c r="AI444" s="1430"/>
      <c r="AJ444" s="1425"/>
      <c r="AL444" s="748"/>
    </row>
    <row r="445" spans="1:38">
      <c r="A445" s="728">
        <v>440</v>
      </c>
      <c r="B445" s="1482" t="s">
        <v>2698</v>
      </c>
      <c r="E445" s="1488">
        <f>'Revenue Reconcilliation'!Q301</f>
        <v>238194.59</v>
      </c>
      <c r="F445" s="1489"/>
      <c r="G445" s="1489"/>
      <c r="H445" s="1489"/>
      <c r="I445" s="1489"/>
      <c r="J445" s="1489"/>
      <c r="K445" s="1405"/>
      <c r="L445" s="1427"/>
      <c r="M445" s="1423"/>
      <c r="N445" s="1489"/>
      <c r="O445" s="1423"/>
      <c r="P445" s="1423"/>
      <c r="Q445" s="1423"/>
      <c r="R445" s="1489"/>
      <c r="S445" s="1423"/>
      <c r="T445" s="1423"/>
      <c r="U445" s="1423"/>
      <c r="V445" s="1489"/>
      <c r="W445" s="1489"/>
      <c r="X445" s="1489"/>
      <c r="Y445" s="1489"/>
      <c r="Z445" s="1489"/>
      <c r="AD445" s="1489"/>
      <c r="AF445" s="1489"/>
      <c r="AG445" s="1489"/>
      <c r="AH445" s="1489"/>
      <c r="AI445" s="1430"/>
      <c r="AJ445" s="1425"/>
      <c r="AL445" s="748"/>
    </row>
    <row r="446" spans="1:38">
      <c r="A446" s="728">
        <v>441</v>
      </c>
      <c r="B446" s="1443" t="s">
        <v>2678</v>
      </c>
      <c r="E446" s="1488">
        <f>SUM(E442:E445)</f>
        <v>9485.6299999999756</v>
      </c>
      <c r="F446" s="1489"/>
      <c r="G446" s="1489"/>
      <c r="H446" s="1489"/>
      <c r="I446" s="1489"/>
      <c r="J446" s="1489"/>
      <c r="K446" s="1405"/>
      <c r="L446" s="1427"/>
      <c r="M446" s="1423"/>
      <c r="N446" s="1489"/>
      <c r="O446" s="1423"/>
      <c r="P446" s="1423"/>
      <c r="Q446" s="1423"/>
      <c r="R446" s="1489"/>
      <c r="S446" s="1423"/>
      <c r="T446" s="1423"/>
      <c r="U446" s="1423"/>
      <c r="V446" s="1489"/>
      <c r="W446" s="1489"/>
      <c r="X446" s="1489"/>
      <c r="Y446" s="1489"/>
      <c r="Z446" s="1489"/>
      <c r="AD446" s="1489"/>
      <c r="AF446" s="1489"/>
      <c r="AG446" s="1489"/>
      <c r="AH446" s="1489"/>
      <c r="AI446" s="1430"/>
      <c r="AJ446" s="1425"/>
      <c r="AL446" s="748"/>
    </row>
    <row r="447" spans="1:38">
      <c r="A447" s="728">
        <v>442</v>
      </c>
      <c r="B447" s="1482"/>
      <c r="E447" s="1488"/>
      <c r="F447" s="1423"/>
      <c r="G447" s="1423"/>
      <c r="H447" s="1423"/>
      <c r="I447" s="1423"/>
      <c r="J447" s="1423"/>
      <c r="K447" s="1405"/>
      <c r="L447" s="1427"/>
      <c r="M447" s="1423"/>
      <c r="N447" s="1423"/>
      <c r="O447" s="1423"/>
      <c r="P447" s="1423"/>
      <c r="Q447" s="1423"/>
      <c r="R447" s="1423"/>
      <c r="S447" s="1423"/>
      <c r="T447" s="1423"/>
      <c r="U447" s="1423"/>
      <c r="V447" s="1423"/>
      <c r="W447" s="1423"/>
      <c r="X447" s="1423"/>
      <c r="Y447" s="1423"/>
      <c r="Z447" s="1423"/>
      <c r="AD447" s="1423"/>
      <c r="AF447" s="1423"/>
      <c r="AG447" s="1423"/>
      <c r="AH447" s="1423"/>
      <c r="AI447" s="1430"/>
      <c r="AJ447" s="1425"/>
      <c r="AL447" s="748"/>
    </row>
    <row r="448" spans="1:38">
      <c r="A448" s="728">
        <v>443</v>
      </c>
      <c r="B448" s="1444" t="s">
        <v>2748</v>
      </c>
      <c r="C448" s="1438">
        <f>E448-'Revenue Reconcilliation'!Q302</f>
        <v>0</v>
      </c>
      <c r="D448" s="1445" t="s">
        <v>2673</v>
      </c>
      <c r="E448" s="1492">
        <f>SUM(E439,E446)</f>
        <v>238194.58999999997</v>
      </c>
      <c r="F448" s="1437"/>
      <c r="G448" s="1437"/>
      <c r="H448" s="1437"/>
      <c r="I448" s="1437"/>
      <c r="J448" s="1437"/>
      <c r="K448" s="1447"/>
      <c r="L448" s="1446"/>
      <c r="M448" s="1437"/>
      <c r="N448" s="1437"/>
      <c r="O448" s="1437"/>
      <c r="P448" s="1437"/>
      <c r="Q448" s="1437"/>
      <c r="R448" s="1437"/>
      <c r="S448" s="1437"/>
      <c r="T448" s="1437"/>
      <c r="U448" s="1437"/>
      <c r="V448" s="1437"/>
      <c r="W448" s="1437"/>
      <c r="X448" s="1437"/>
      <c r="Y448" s="1437"/>
      <c r="Z448" s="1437"/>
      <c r="AA448" s="1445"/>
      <c r="AB448" s="1445"/>
      <c r="AC448" s="1445"/>
      <c r="AD448" s="1437"/>
      <c r="AE448" s="1447"/>
      <c r="AF448" s="1437"/>
      <c r="AG448" s="1437"/>
      <c r="AH448" s="1437"/>
      <c r="AI448" s="1490"/>
      <c r="AJ448" s="1440"/>
      <c r="AK448" s="1445"/>
      <c r="AL448" s="748"/>
    </row>
    <row r="449" spans="1:38">
      <c r="A449" s="728">
        <v>444</v>
      </c>
      <c r="E449" s="1423"/>
      <c r="F449" s="1423"/>
      <c r="G449" s="1423"/>
      <c r="H449" s="1423"/>
      <c r="I449" s="1423"/>
      <c r="J449" s="1423"/>
      <c r="K449" s="1405"/>
      <c r="L449" s="1427"/>
      <c r="M449" s="1423"/>
      <c r="N449" s="1423"/>
      <c r="O449" s="1423"/>
      <c r="P449" s="1423"/>
      <c r="Q449" s="1423"/>
      <c r="R449" s="1423"/>
      <c r="S449" s="1423"/>
      <c r="T449" s="1423"/>
      <c r="U449" s="1423"/>
      <c r="V449" s="1423"/>
      <c r="W449" s="1423"/>
      <c r="X449" s="1423"/>
      <c r="Y449" s="1423"/>
      <c r="Z449" s="1423"/>
      <c r="AD449" s="1423"/>
      <c r="AF449" s="1423"/>
      <c r="AG449" s="1423"/>
      <c r="AH449" s="1423"/>
      <c r="AI449" s="1430"/>
      <c r="AJ449" s="1425"/>
      <c r="AL449" s="748"/>
    </row>
    <row r="450" spans="1:38">
      <c r="A450" s="728">
        <v>445</v>
      </c>
      <c r="B450" s="1420" t="s">
        <v>2749</v>
      </c>
      <c r="E450" s="1423"/>
      <c r="F450" s="1423"/>
      <c r="G450" s="1404" t="s">
        <v>2723</v>
      </c>
      <c r="H450" s="1423"/>
      <c r="I450" s="1423"/>
      <c r="J450" s="1423"/>
      <c r="K450" s="1405"/>
      <c r="L450" s="1427"/>
      <c r="M450" s="1423"/>
      <c r="N450" s="1423"/>
      <c r="O450" s="1423"/>
      <c r="P450" s="1423"/>
      <c r="Q450" s="1423"/>
      <c r="R450" s="1423"/>
      <c r="S450" s="1423"/>
      <c r="T450" s="1423"/>
      <c r="U450" s="1423"/>
      <c r="V450" s="1423"/>
      <c r="W450" s="1423"/>
      <c r="X450" s="1423"/>
      <c r="Y450" s="1423"/>
      <c r="Z450" s="1423"/>
      <c r="AD450" s="1423"/>
      <c r="AF450" s="1423"/>
      <c r="AG450" s="1423"/>
      <c r="AH450" s="1423"/>
      <c r="AI450" s="1430"/>
      <c r="AJ450" s="1425"/>
      <c r="AL450" s="748"/>
    </row>
    <row r="451" spans="1:38">
      <c r="A451" s="728">
        <v>446</v>
      </c>
      <c r="B451" s="1463" t="s">
        <v>2462</v>
      </c>
      <c r="C451" s="1477">
        <f t="shared" ref="C451:C457" si="18">E451/D451</f>
        <v>24</v>
      </c>
      <c r="D451" s="1430">
        <v>625</v>
      </c>
      <c r="E451" s="1423">
        <f>'1501 Summary'!AD319</f>
        <v>15000</v>
      </c>
      <c r="F451" s="1422"/>
      <c r="G451" s="1508">
        <f>-C451</f>
        <v>-24</v>
      </c>
      <c r="H451" s="1423">
        <f>D451</f>
        <v>625</v>
      </c>
      <c r="I451" s="1423">
        <f>H451*G451</f>
        <v>-15000</v>
      </c>
      <c r="J451" s="1422"/>
      <c r="K451" s="1405">
        <f t="shared" ref="K451:K457" si="19">C451+G451</f>
        <v>0</v>
      </c>
      <c r="L451" s="1422">
        <f>D451</f>
        <v>625</v>
      </c>
      <c r="M451" s="1423">
        <f t="shared" ref="M451:M457" si="20">L451*K451</f>
        <v>0</v>
      </c>
      <c r="N451" s="1422"/>
      <c r="O451" s="1423"/>
      <c r="P451" s="1423"/>
      <c r="Q451" s="1423"/>
      <c r="R451" s="1422"/>
      <c r="S451" s="1423"/>
      <c r="T451" s="1423"/>
      <c r="U451" s="1423"/>
      <c r="V451" s="1422"/>
      <c r="W451" s="1422"/>
      <c r="X451" s="1422"/>
      <c r="Y451" s="1422"/>
      <c r="Z451" s="1422"/>
      <c r="AA451" s="1425"/>
      <c r="AB451" s="1425"/>
      <c r="AC451" s="1425"/>
      <c r="AD451" s="1422"/>
      <c r="AF451" s="1422"/>
      <c r="AG451" s="1422"/>
      <c r="AH451" s="1422"/>
      <c r="AI451" s="1430"/>
      <c r="AJ451" s="1425"/>
      <c r="AK451" s="1425"/>
      <c r="AL451" s="748"/>
    </row>
    <row r="452" spans="1:38">
      <c r="A452" s="728">
        <v>447</v>
      </c>
      <c r="B452" s="1509" t="s">
        <v>2713</v>
      </c>
      <c r="C452" s="1405">
        <f>E452/D452</f>
        <v>6240000</v>
      </c>
      <c r="D452" s="1439">
        <v>0.2</v>
      </c>
      <c r="E452" s="1423">
        <f>'1501 Summary'!AD320</f>
        <v>1248000</v>
      </c>
      <c r="F452" s="1422"/>
      <c r="G452" s="1508">
        <f t="shared" ref="G452:G457" si="21">-C452</f>
        <v>-6240000</v>
      </c>
      <c r="H452" s="1423">
        <f t="shared" ref="H452:H457" si="22">D452</f>
        <v>0.2</v>
      </c>
      <c r="I452" s="1423">
        <f t="shared" ref="I452:I457" si="23">H452*G452</f>
        <v>-1248000</v>
      </c>
      <c r="J452" s="1422"/>
      <c r="K452" s="1405">
        <f t="shared" si="19"/>
        <v>0</v>
      </c>
      <c r="L452" s="1427">
        <f>D452</f>
        <v>0.2</v>
      </c>
      <c r="M452" s="1423">
        <f t="shared" si="20"/>
        <v>0</v>
      </c>
      <c r="N452" s="1422"/>
      <c r="O452" s="1423"/>
      <c r="P452" s="1423"/>
      <c r="Q452" s="1423"/>
      <c r="R452" s="1422"/>
      <c r="S452" s="1423"/>
      <c r="T452" s="1423"/>
      <c r="U452" s="1423"/>
      <c r="V452" s="1422"/>
      <c r="W452" s="1422"/>
      <c r="X452" s="1422"/>
      <c r="Y452" s="1422"/>
      <c r="Z452" s="1422"/>
      <c r="AA452" s="1425"/>
      <c r="AB452" s="1425"/>
      <c r="AC452" s="1425"/>
      <c r="AD452" s="1422"/>
      <c r="AF452" s="1422"/>
      <c r="AG452" s="1422"/>
      <c r="AH452" s="1422"/>
      <c r="AI452" s="1430"/>
      <c r="AJ452" s="1425"/>
      <c r="AK452" s="1425"/>
      <c r="AL452" s="748"/>
    </row>
    <row r="453" spans="1:38">
      <c r="A453" s="728">
        <v>448</v>
      </c>
      <c r="B453" s="1509" t="s">
        <v>2714</v>
      </c>
      <c r="C453" s="1405">
        <f t="shared" si="18"/>
        <v>137398200</v>
      </c>
      <c r="D453" s="1361">
        <v>4.0000000000000002E-4</v>
      </c>
      <c r="E453" s="1423">
        <f>'1501 Summary'!AD321</f>
        <v>54959.280000000006</v>
      </c>
      <c r="F453" s="1422"/>
      <c r="G453" s="1508">
        <f t="shared" si="21"/>
        <v>-137398200</v>
      </c>
      <c r="H453" s="1423">
        <f t="shared" si="22"/>
        <v>4.0000000000000002E-4</v>
      </c>
      <c r="I453" s="1423">
        <f t="shared" si="23"/>
        <v>-54959.280000000006</v>
      </c>
      <c r="J453" s="1422"/>
      <c r="K453" s="1405">
        <f t="shared" si="19"/>
        <v>0</v>
      </c>
      <c r="L453" s="1427">
        <f>D453</f>
        <v>4.0000000000000002E-4</v>
      </c>
      <c r="M453" s="1423">
        <f t="shared" si="20"/>
        <v>0</v>
      </c>
      <c r="N453" s="1422"/>
      <c r="O453" s="1423"/>
      <c r="P453" s="1423"/>
      <c r="Q453" s="1423"/>
      <c r="R453" s="1422"/>
      <c r="S453" s="1423"/>
      <c r="T453" s="1423"/>
      <c r="U453" s="1423"/>
      <c r="V453" s="1422"/>
      <c r="W453" s="1422"/>
      <c r="X453" s="1422"/>
      <c r="Y453" s="1422"/>
      <c r="Z453" s="1422"/>
      <c r="AA453" s="1425"/>
      <c r="AB453" s="1425"/>
      <c r="AC453" s="1425"/>
      <c r="AD453" s="1422"/>
      <c r="AF453" s="1422"/>
      <c r="AG453" s="1422"/>
      <c r="AH453" s="1422"/>
      <c r="AI453" s="1430"/>
      <c r="AJ453" s="1425"/>
      <c r="AK453" s="1425"/>
      <c r="AL453" s="748"/>
    </row>
    <row r="454" spans="1:38">
      <c r="A454" s="728">
        <v>449</v>
      </c>
      <c r="B454" s="1509" t="s">
        <v>2716</v>
      </c>
      <c r="C454" s="1405">
        <f t="shared" si="18"/>
        <v>1200000</v>
      </c>
      <c r="D454" s="1361">
        <v>5.3310000000000003E-2</v>
      </c>
      <c r="E454" s="1423">
        <f>'1501 Summary'!AD322</f>
        <v>63972</v>
      </c>
      <c r="F454" s="1422"/>
      <c r="G454" s="1508">
        <f t="shared" si="21"/>
        <v>-1200000</v>
      </c>
      <c r="H454" s="1423">
        <f t="shared" si="22"/>
        <v>5.3310000000000003E-2</v>
      </c>
      <c r="I454" s="1423">
        <f t="shared" si="23"/>
        <v>-63972.000000000007</v>
      </c>
      <c r="J454" s="1422"/>
      <c r="K454" s="1405">
        <f t="shared" si="19"/>
        <v>0</v>
      </c>
      <c r="L454" s="1427">
        <v>5.9889999999999999E-2</v>
      </c>
      <c r="M454" s="1423">
        <f t="shared" si="20"/>
        <v>0</v>
      </c>
      <c r="N454" s="1422"/>
      <c r="O454" s="1423"/>
      <c r="P454" s="1423"/>
      <c r="Q454" s="1423"/>
      <c r="R454" s="1422"/>
      <c r="S454" s="1423"/>
      <c r="T454" s="1423"/>
      <c r="U454" s="1423"/>
      <c r="V454" s="1422"/>
      <c r="W454" s="1422"/>
      <c r="X454" s="1422"/>
      <c r="Y454" s="1422"/>
      <c r="Z454" s="1422"/>
      <c r="AA454" s="1425"/>
      <c r="AB454" s="1425"/>
      <c r="AC454" s="1425"/>
      <c r="AD454" s="1422"/>
      <c r="AF454" s="1422"/>
      <c r="AG454" s="1422"/>
      <c r="AH454" s="1422"/>
      <c r="AI454" s="1430"/>
      <c r="AJ454" s="1425"/>
      <c r="AK454" s="1425"/>
      <c r="AL454" s="748"/>
    </row>
    <row r="455" spans="1:38">
      <c r="A455" s="728">
        <v>450</v>
      </c>
      <c r="B455" s="1509" t="s">
        <v>2494</v>
      </c>
      <c r="C455" s="1405">
        <f t="shared" si="18"/>
        <v>2521542.4164524423</v>
      </c>
      <c r="D455" s="1361">
        <v>1.9449999999999999E-2</v>
      </c>
      <c r="E455" s="1423">
        <f>'1501 Summary'!AD323</f>
        <v>49044</v>
      </c>
      <c r="F455" s="1422"/>
      <c r="G455" s="1508">
        <f t="shared" si="21"/>
        <v>-2521542.4164524423</v>
      </c>
      <c r="H455" s="1423">
        <f t="shared" si="22"/>
        <v>1.9449999999999999E-2</v>
      </c>
      <c r="I455" s="1423">
        <f t="shared" si="23"/>
        <v>-49044</v>
      </c>
      <c r="J455" s="1422"/>
      <c r="K455" s="1405">
        <f t="shared" si="19"/>
        <v>0</v>
      </c>
      <c r="L455" s="1427">
        <v>2.3029999999999998E-2</v>
      </c>
      <c r="M455" s="1423">
        <f t="shared" si="20"/>
        <v>0</v>
      </c>
      <c r="N455" s="1422"/>
      <c r="O455" s="1423"/>
      <c r="P455" s="1423"/>
      <c r="Q455" s="1423"/>
      <c r="R455" s="1422"/>
      <c r="S455" s="1423"/>
      <c r="T455" s="1423"/>
      <c r="U455" s="1423"/>
      <c r="V455" s="1422"/>
      <c r="W455" s="1422"/>
      <c r="X455" s="1422"/>
      <c r="Y455" s="1422"/>
      <c r="Z455" s="1422"/>
      <c r="AA455" s="1425"/>
      <c r="AB455" s="1425"/>
      <c r="AC455" s="1425"/>
      <c r="AD455" s="1422"/>
      <c r="AF455" s="1422"/>
      <c r="AG455" s="1422"/>
      <c r="AH455" s="1422"/>
      <c r="AI455" s="1430"/>
      <c r="AJ455" s="1425"/>
      <c r="AK455" s="1425"/>
      <c r="AL455" s="748"/>
    </row>
    <row r="456" spans="1:38">
      <c r="A456" s="728">
        <v>451</v>
      </c>
      <c r="B456" s="1509" t="s">
        <v>2494</v>
      </c>
      <c r="C456" s="1405">
        <f t="shared" si="18"/>
        <v>2200000</v>
      </c>
      <c r="D456" s="1361">
        <v>1.1820000000000001E-2</v>
      </c>
      <c r="E456" s="1423">
        <f>'1501 Summary'!AD324</f>
        <v>26004</v>
      </c>
      <c r="F456" s="1422"/>
      <c r="G456" s="1508">
        <f t="shared" si="21"/>
        <v>-2200000</v>
      </c>
      <c r="H456" s="1423">
        <f t="shared" si="22"/>
        <v>1.1820000000000001E-2</v>
      </c>
      <c r="I456" s="1423">
        <f t="shared" si="23"/>
        <v>-26004</v>
      </c>
      <c r="J456" s="1422"/>
      <c r="K456" s="1405">
        <f t="shared" si="19"/>
        <v>0</v>
      </c>
      <c r="L456" s="1427">
        <v>1.473E-2</v>
      </c>
      <c r="M456" s="1423">
        <f t="shared" si="20"/>
        <v>0</v>
      </c>
      <c r="N456" s="1422"/>
      <c r="O456" s="1423"/>
      <c r="P456" s="1423"/>
      <c r="Q456" s="1423"/>
      <c r="R456" s="1422"/>
      <c r="S456" s="1423"/>
      <c r="T456" s="1423"/>
      <c r="U456" s="1423"/>
      <c r="V456" s="1422"/>
      <c r="W456" s="1422"/>
      <c r="X456" s="1422"/>
      <c r="Y456" s="1422"/>
      <c r="Z456" s="1422"/>
      <c r="AA456" s="1425"/>
      <c r="AB456" s="1425"/>
      <c r="AC456" s="1425"/>
      <c r="AD456" s="1422"/>
      <c r="AF456" s="1422"/>
      <c r="AG456" s="1422"/>
      <c r="AH456" s="1422"/>
      <c r="AI456" s="1430"/>
      <c r="AJ456" s="1425"/>
      <c r="AK456" s="1425"/>
      <c r="AL456" s="748"/>
    </row>
    <row r="457" spans="1:38">
      <c r="A457" s="728">
        <v>452</v>
      </c>
      <c r="B457" s="1510" t="s">
        <v>2717</v>
      </c>
      <c r="C457" s="1405">
        <f t="shared" si="18"/>
        <v>131398231.31672597</v>
      </c>
      <c r="D457" s="1361">
        <v>5.62E-3</v>
      </c>
      <c r="E457" s="1437">
        <f>'1501 Summary'!AD325</f>
        <v>738458.05999999994</v>
      </c>
      <c r="F457" s="1422"/>
      <c r="G457" s="1508">
        <f t="shared" si="21"/>
        <v>-131398231.31672597</v>
      </c>
      <c r="H457" s="1423">
        <f t="shared" si="22"/>
        <v>5.62E-3</v>
      </c>
      <c r="I457" s="1437">
        <f t="shared" si="23"/>
        <v>-738458.05999999994</v>
      </c>
      <c r="J457" s="1422"/>
      <c r="K457" s="1405">
        <f t="shared" si="19"/>
        <v>0</v>
      </c>
      <c r="L457" s="1427">
        <v>7.9799999999999992E-3</v>
      </c>
      <c r="M457" s="1437">
        <f t="shared" si="20"/>
        <v>0</v>
      </c>
      <c r="N457" s="1422"/>
      <c r="O457" s="1423"/>
      <c r="P457" s="1423"/>
      <c r="Q457" s="1423"/>
      <c r="R457" s="1422"/>
      <c r="S457" s="1423"/>
      <c r="T457" s="1423"/>
      <c r="U457" s="1423"/>
      <c r="V457" s="1422"/>
      <c r="W457" s="1422"/>
      <c r="X457" s="1422"/>
      <c r="Y457" s="1422"/>
      <c r="Z457" s="1422"/>
      <c r="AA457" s="1425"/>
      <c r="AB457" s="1425"/>
      <c r="AC457" s="1425"/>
      <c r="AD457" s="1422"/>
      <c r="AF457" s="1422"/>
      <c r="AG457" s="1422"/>
      <c r="AH457" s="1422"/>
      <c r="AI457" s="1430"/>
      <c r="AJ457" s="1425"/>
      <c r="AK457" s="1425"/>
      <c r="AL457" s="748"/>
    </row>
    <row r="458" spans="1:38">
      <c r="A458" s="728">
        <v>453</v>
      </c>
      <c r="B458" s="727" t="s">
        <v>2648</v>
      </c>
      <c r="E458" s="1423">
        <f>SUM(E451:E457)</f>
        <v>2195437.34</v>
      </c>
      <c r="F458" s="1422"/>
      <c r="G458" s="1422"/>
      <c r="H458" s="1422"/>
      <c r="I458" s="1422">
        <f>SUM(I451:I457)</f>
        <v>-2195437.34</v>
      </c>
      <c r="J458" s="1422"/>
      <c r="K458" s="1405"/>
      <c r="L458" s="1427"/>
      <c r="M458" s="1423">
        <f>SUM(M451:M457)</f>
        <v>0</v>
      </c>
      <c r="N458" s="1422"/>
      <c r="O458" s="1423"/>
      <c r="P458" s="1423"/>
      <c r="Q458" s="1423"/>
      <c r="R458" s="1422"/>
      <c r="S458" s="1423"/>
      <c r="T458" s="1423"/>
      <c r="U458" s="1423"/>
      <c r="V458" s="1422"/>
      <c r="W458" s="1422"/>
      <c r="X458" s="1422"/>
      <c r="Y458" s="1422"/>
      <c r="Z458" s="1422"/>
      <c r="AA458" s="1425"/>
      <c r="AB458" s="1425"/>
      <c r="AC458" s="1425"/>
      <c r="AD458" s="1422"/>
      <c r="AF458" s="1422"/>
      <c r="AG458" s="1422"/>
      <c r="AH458" s="1422"/>
      <c r="AI458" s="1430"/>
      <c r="AJ458" s="1425"/>
      <c r="AK458" s="1425"/>
      <c r="AL458" s="748"/>
    </row>
    <row r="459" spans="1:38">
      <c r="A459" s="728">
        <v>454</v>
      </c>
      <c r="B459" s="1509"/>
      <c r="E459" s="1423"/>
      <c r="F459" s="1423"/>
      <c r="G459" s="1423"/>
      <c r="H459" s="1423"/>
      <c r="I459" s="1423"/>
      <c r="J459" s="1423"/>
      <c r="K459" s="1405"/>
      <c r="L459" s="1427"/>
      <c r="M459" s="1422"/>
      <c r="N459" s="1423"/>
      <c r="O459" s="1423"/>
      <c r="P459" s="1423"/>
      <c r="Q459" s="1423"/>
      <c r="R459" s="1423"/>
      <c r="S459" s="1423"/>
      <c r="T459" s="1423"/>
      <c r="U459" s="1423"/>
      <c r="V459" s="1423"/>
      <c r="W459" s="1423"/>
      <c r="X459" s="1423"/>
      <c r="Y459" s="1423"/>
      <c r="Z459" s="1423"/>
      <c r="AD459" s="1423"/>
      <c r="AF459" s="1423"/>
      <c r="AG459" s="1423"/>
      <c r="AH459" s="1423"/>
      <c r="AI459" s="1430"/>
      <c r="AJ459" s="1425"/>
      <c r="AL459" s="748"/>
    </row>
    <row r="460" spans="1:38">
      <c r="A460" s="728">
        <v>455</v>
      </c>
      <c r="B460" s="727" t="s">
        <v>2651</v>
      </c>
      <c r="E460" s="1423"/>
      <c r="F460" s="1423"/>
      <c r="G460" s="1423"/>
      <c r="H460" s="1423"/>
      <c r="I460" s="1423"/>
      <c r="J460" s="1423"/>
      <c r="K460" s="1405"/>
      <c r="L460" s="1427"/>
      <c r="M460" s="1422"/>
      <c r="N460" s="1423"/>
      <c r="O460" s="1423"/>
      <c r="P460" s="1423"/>
      <c r="Q460" s="1423"/>
      <c r="R460" s="1423"/>
      <c r="S460" s="1423"/>
      <c r="T460" s="1423"/>
      <c r="U460" s="1423"/>
      <c r="V460" s="1423"/>
      <c r="W460" s="1423"/>
      <c r="X460" s="1423"/>
      <c r="Y460" s="1423"/>
      <c r="Z460" s="1423"/>
      <c r="AD460" s="1423"/>
      <c r="AF460" s="1423"/>
      <c r="AG460" s="1423"/>
      <c r="AH460" s="1423"/>
      <c r="AI460" s="1430"/>
      <c r="AJ460" s="1425"/>
      <c r="AL460" s="748"/>
    </row>
    <row r="461" spans="1:38">
      <c r="A461" s="728">
        <v>456</v>
      </c>
      <c r="B461" s="1509" t="s">
        <v>2658</v>
      </c>
      <c r="E461" s="1423">
        <f>'1501 Summary'!AD326</f>
        <v>-87576.800000000017</v>
      </c>
      <c r="F461" s="1422"/>
      <c r="G461" s="1422"/>
      <c r="H461" s="1422"/>
      <c r="I461" s="1422"/>
      <c r="J461" s="1422"/>
      <c r="K461" s="1405"/>
      <c r="L461" s="1427"/>
      <c r="M461" s="1422"/>
      <c r="N461" s="1422"/>
      <c r="O461" s="1423"/>
      <c r="P461" s="1423"/>
      <c r="Q461" s="1423"/>
      <c r="R461" s="1422"/>
      <c r="S461" s="1423"/>
      <c r="T461" s="1423"/>
      <c r="U461" s="1423"/>
      <c r="V461" s="1422"/>
      <c r="W461" s="1422"/>
      <c r="X461" s="1422"/>
      <c r="Y461" s="1422"/>
      <c r="Z461" s="1422"/>
      <c r="AD461" s="1422"/>
      <c r="AF461" s="1422"/>
      <c r="AG461" s="1422"/>
      <c r="AH461" s="1422"/>
      <c r="AI461" s="1430"/>
      <c r="AJ461" s="1425"/>
      <c r="AL461" s="748"/>
    </row>
    <row r="462" spans="1:38">
      <c r="A462" s="728">
        <v>457</v>
      </c>
      <c r="B462" s="1509" t="s">
        <v>2659</v>
      </c>
      <c r="E462" s="1423">
        <f>'1501 Summary'!AD327</f>
        <v>-39477.209999999992</v>
      </c>
      <c r="F462" s="1422"/>
      <c r="G462" s="1422"/>
      <c r="H462" s="1422"/>
      <c r="I462" s="1422"/>
      <c r="J462" s="1422"/>
      <c r="K462" s="1405"/>
      <c r="L462" s="1427"/>
      <c r="M462" s="1422"/>
      <c r="N462" s="1422"/>
      <c r="O462" s="1423"/>
      <c r="P462" s="1423"/>
      <c r="Q462" s="1423"/>
      <c r="R462" s="1422"/>
      <c r="S462" s="1423"/>
      <c r="T462" s="1423"/>
      <c r="U462" s="1423"/>
      <c r="V462" s="1422"/>
      <c r="W462" s="1422"/>
      <c r="X462" s="1422"/>
      <c r="Y462" s="1422"/>
      <c r="Z462" s="1422"/>
      <c r="AD462" s="1422"/>
      <c r="AF462" s="1422"/>
      <c r="AG462" s="1422"/>
      <c r="AH462" s="1422"/>
      <c r="AI462" s="1430"/>
      <c r="AJ462" s="1425"/>
      <c r="AL462" s="748"/>
    </row>
    <row r="463" spans="1:38">
      <c r="A463" s="728">
        <v>458</v>
      </c>
      <c r="B463" s="1509" t="s">
        <v>2660</v>
      </c>
      <c r="E463" s="1423">
        <f>'1501 Summary'!AD328</f>
        <v>-67337.549999999988</v>
      </c>
      <c r="F463" s="1422"/>
      <c r="G463" s="1422"/>
      <c r="H463" s="1422"/>
      <c r="I463" s="1422"/>
      <c r="J463" s="1422"/>
      <c r="K463" s="1405"/>
      <c r="L463" s="1427"/>
      <c r="M463" s="1422"/>
      <c r="N463" s="1422"/>
      <c r="O463" s="1423"/>
      <c r="P463" s="1423"/>
      <c r="Q463" s="1423"/>
      <c r="R463" s="1422"/>
      <c r="S463" s="1423"/>
      <c r="T463" s="1423"/>
      <c r="U463" s="1423"/>
      <c r="V463" s="1422"/>
      <c r="W463" s="1422"/>
      <c r="X463" s="1422"/>
      <c r="Y463" s="1422"/>
      <c r="Z463" s="1422"/>
      <c r="AD463" s="1422"/>
      <c r="AF463" s="1422"/>
      <c r="AG463" s="1422"/>
      <c r="AH463" s="1422"/>
      <c r="AI463" s="1430"/>
      <c r="AJ463" s="1425"/>
      <c r="AL463" s="748"/>
    </row>
    <row r="464" spans="1:38">
      <c r="A464" s="728">
        <v>459</v>
      </c>
      <c r="B464" s="1509" t="s">
        <v>2653</v>
      </c>
      <c r="E464" s="1423">
        <f>'1501 Summary'!AD329</f>
        <v>42466.44999999999</v>
      </c>
      <c r="F464" s="1422"/>
      <c r="G464" s="1422"/>
      <c r="H464" s="1422"/>
      <c r="I464" s="1422"/>
      <c r="J464" s="1422"/>
      <c r="K464" s="1405"/>
      <c r="L464" s="1427"/>
      <c r="M464" s="1422"/>
      <c r="N464" s="1422"/>
      <c r="O464" s="1423"/>
      <c r="P464" s="1423"/>
      <c r="Q464" s="1423"/>
      <c r="R464" s="1422"/>
      <c r="S464" s="1423"/>
      <c r="T464" s="1423"/>
      <c r="U464" s="1423"/>
      <c r="V464" s="1422"/>
      <c r="W464" s="1422"/>
      <c r="X464" s="1422"/>
      <c r="Y464" s="1422"/>
      <c r="Z464" s="1422"/>
      <c r="AD464" s="1422"/>
      <c r="AF464" s="1422"/>
      <c r="AG464" s="1422"/>
      <c r="AH464" s="1422"/>
      <c r="AI464" s="1430"/>
      <c r="AJ464" s="1425"/>
      <c r="AL464" s="748"/>
    </row>
    <row r="465" spans="1:38">
      <c r="A465" s="728">
        <v>460</v>
      </c>
      <c r="B465" s="1509" t="s">
        <v>2654</v>
      </c>
      <c r="E465" s="1423">
        <f>'1501 Summary'!AD330</f>
        <v>235331.93</v>
      </c>
      <c r="F465" s="1422"/>
      <c r="G465" s="1422"/>
      <c r="H465" s="1422"/>
      <c r="I465" s="1422"/>
      <c r="J465" s="1422"/>
      <c r="K465" s="1405"/>
      <c r="L465" s="1427"/>
      <c r="M465" s="1422"/>
      <c r="N465" s="1422"/>
      <c r="O465" s="1423"/>
      <c r="P465" s="1423"/>
      <c r="Q465" s="1423"/>
      <c r="R465" s="1422"/>
      <c r="S465" s="1423"/>
      <c r="T465" s="1423"/>
      <c r="U465" s="1423"/>
      <c r="V465" s="1422"/>
      <c r="W465" s="1422"/>
      <c r="X465" s="1422"/>
      <c r="Y465" s="1422"/>
      <c r="Z465" s="1422"/>
      <c r="AD465" s="1422"/>
      <c r="AF465" s="1422"/>
      <c r="AG465" s="1422"/>
      <c r="AH465" s="1422"/>
      <c r="AI465" s="1430"/>
      <c r="AJ465" s="1425"/>
      <c r="AL465" s="748"/>
    </row>
    <row r="466" spans="1:38">
      <c r="A466" s="728">
        <v>461</v>
      </c>
      <c r="B466" s="1463" t="s">
        <v>2719</v>
      </c>
      <c r="E466" s="1423">
        <f>'1501 Summary'!AD331</f>
        <v>97279.780000000013</v>
      </c>
      <c r="F466" s="1422"/>
      <c r="G466" s="1422"/>
      <c r="H466" s="1422"/>
      <c r="I466" s="1422"/>
      <c r="J466" s="1422"/>
      <c r="K466" s="1405"/>
      <c r="L466" s="1427"/>
      <c r="M466" s="1422"/>
      <c r="N466" s="1422"/>
      <c r="O466" s="1423"/>
      <c r="P466" s="1423"/>
      <c r="Q466" s="1423"/>
      <c r="R466" s="1422"/>
      <c r="S466" s="1423"/>
      <c r="T466" s="1423"/>
      <c r="U466" s="1423"/>
      <c r="V466" s="1422"/>
      <c r="W466" s="1422"/>
      <c r="X466" s="1422"/>
      <c r="Y466" s="1422"/>
      <c r="Z466" s="1422"/>
      <c r="AD466" s="1422"/>
      <c r="AF466" s="1422"/>
      <c r="AG466" s="1422"/>
      <c r="AH466" s="1422"/>
      <c r="AI466" s="1430"/>
      <c r="AJ466" s="1425"/>
      <c r="AL466" s="748"/>
    </row>
    <row r="467" spans="1:38">
      <c r="A467" s="728">
        <v>462</v>
      </c>
      <c r="B467" s="1463" t="s">
        <v>2684</v>
      </c>
      <c r="E467" s="1423">
        <f>'1501 Summary'!AD332</f>
        <v>720</v>
      </c>
      <c r="F467" s="1422"/>
      <c r="G467" s="1422"/>
      <c r="H467" s="1422"/>
      <c r="I467" s="1422"/>
      <c r="J467" s="1422"/>
      <c r="K467" s="1405"/>
      <c r="L467" s="1427"/>
      <c r="M467" s="1422"/>
      <c r="N467" s="1422"/>
      <c r="O467" s="1423"/>
      <c r="P467" s="1423"/>
      <c r="Q467" s="1423"/>
      <c r="R467" s="1422"/>
      <c r="S467" s="1423"/>
      <c r="T467" s="1423"/>
      <c r="U467" s="1423"/>
      <c r="V467" s="1422"/>
      <c r="W467" s="1422"/>
      <c r="X467" s="1422"/>
      <c r="Y467" s="1422"/>
      <c r="Z467" s="1422"/>
      <c r="AD467" s="1422"/>
      <c r="AF467" s="1422"/>
      <c r="AG467" s="1422"/>
      <c r="AH467" s="1422"/>
      <c r="AI467" s="1430"/>
      <c r="AJ467" s="1425"/>
      <c r="AL467" s="748"/>
    </row>
    <row r="468" spans="1:38">
      <c r="A468" s="728">
        <v>463</v>
      </c>
      <c r="B468" s="1511" t="s">
        <v>2750</v>
      </c>
      <c r="E468" s="1423">
        <f>'Revenue Reconcilliation'!Q317</f>
        <v>-71127.929999999993</v>
      </c>
      <c r="F468" s="1422"/>
      <c r="G468" s="1422"/>
      <c r="H468" s="1422"/>
      <c r="I468" s="1422"/>
      <c r="J468" s="1422"/>
      <c r="K468" s="1405"/>
      <c r="L468" s="1427"/>
      <c r="M468" s="1422"/>
      <c r="N468" s="1422"/>
      <c r="O468" s="1423"/>
      <c r="P468" s="1423"/>
      <c r="Q468" s="1423"/>
      <c r="R468" s="1422"/>
      <c r="S468" s="1423"/>
      <c r="T468" s="1423"/>
      <c r="U468" s="1423"/>
      <c r="V468" s="1422"/>
      <c r="W468" s="1422"/>
      <c r="X468" s="1422"/>
      <c r="Y468" s="1422"/>
      <c r="Z468" s="1422"/>
      <c r="AD468" s="1422"/>
      <c r="AF468" s="1422"/>
      <c r="AG468" s="1422"/>
      <c r="AH468" s="1422"/>
      <c r="AI468" s="1430"/>
      <c r="AJ468" s="1425"/>
      <c r="AL468" s="748"/>
    </row>
    <row r="469" spans="1:38">
      <c r="A469" s="728">
        <v>464</v>
      </c>
      <c r="B469" s="1482" t="s">
        <v>2751</v>
      </c>
      <c r="E469" s="1423">
        <f>'Revenue Reconcilliation'!Q318</f>
        <v>0</v>
      </c>
      <c r="F469" s="1422"/>
      <c r="G469" s="1422"/>
      <c r="H469" s="1422"/>
      <c r="I469" s="1422"/>
      <c r="J469" s="1422"/>
      <c r="K469" s="1405"/>
      <c r="L469" s="1427"/>
      <c r="M469" s="1422"/>
      <c r="N469" s="1422"/>
      <c r="O469" s="1423"/>
      <c r="P469" s="1423"/>
      <c r="Q469" s="1423"/>
      <c r="R469" s="1422"/>
      <c r="S469" s="1423"/>
      <c r="T469" s="1423"/>
      <c r="U469" s="1423"/>
      <c r="V469" s="1422"/>
      <c r="W469" s="1422"/>
      <c r="X469" s="1422"/>
      <c r="Y469" s="1422"/>
      <c r="Z469" s="1422"/>
      <c r="AD469" s="1422"/>
      <c r="AF469" s="1422"/>
      <c r="AG469" s="1422"/>
      <c r="AH469" s="1422"/>
      <c r="AI469" s="1430"/>
      <c r="AJ469" s="1425"/>
      <c r="AL469" s="748"/>
    </row>
    <row r="470" spans="1:38">
      <c r="A470" s="728">
        <v>465</v>
      </c>
      <c r="B470" s="1482" t="s">
        <v>2451</v>
      </c>
      <c r="E470" s="1423">
        <f>'Revenue Reconcilliation'!Q319</f>
        <v>0</v>
      </c>
      <c r="F470" s="1422"/>
      <c r="G470" s="1422"/>
      <c r="H470" s="1422"/>
      <c r="I470" s="1422"/>
      <c r="J470" s="1422"/>
      <c r="K470" s="1405"/>
      <c r="L470" s="1427"/>
      <c r="M470" s="1422"/>
      <c r="N470" s="1422"/>
      <c r="O470" s="1423"/>
      <c r="P470" s="1423"/>
      <c r="Q470" s="1423"/>
      <c r="R470" s="1422"/>
      <c r="S470" s="1423"/>
      <c r="T470" s="1423"/>
      <c r="U470" s="1423"/>
      <c r="V470" s="1422"/>
      <c r="W470" s="1422"/>
      <c r="X470" s="1422"/>
      <c r="Y470" s="1422"/>
      <c r="Z470" s="1422"/>
      <c r="AD470" s="1422"/>
      <c r="AF470" s="1422"/>
      <c r="AG470" s="1422"/>
      <c r="AH470" s="1422"/>
      <c r="AI470" s="1430"/>
      <c r="AJ470" s="1425"/>
      <c r="AL470" s="748"/>
    </row>
    <row r="471" spans="1:38">
      <c r="A471" s="728">
        <v>466</v>
      </c>
      <c r="B471" s="1482" t="s">
        <v>2697</v>
      </c>
      <c r="E471" s="1423">
        <f>'Revenue Reconcilliation'!Q320</f>
        <v>-2334400.6399999997</v>
      </c>
      <c r="F471" s="1422"/>
      <c r="G471" s="1422"/>
      <c r="H471" s="1422"/>
      <c r="I471" s="1422"/>
      <c r="J471" s="1422"/>
      <c r="K471" s="1405"/>
      <c r="L471" s="1427"/>
      <c r="M471" s="1422"/>
      <c r="N471" s="1422"/>
      <c r="O471" s="1423"/>
      <c r="P471" s="1423"/>
      <c r="Q471" s="1423"/>
      <c r="R471" s="1422"/>
      <c r="S471" s="1423"/>
      <c r="T471" s="1423"/>
      <c r="U471" s="1423"/>
      <c r="V471" s="1422"/>
      <c r="W471" s="1422"/>
      <c r="X471" s="1422"/>
      <c r="Y471" s="1422"/>
      <c r="Z471" s="1422"/>
      <c r="AD471" s="1422"/>
      <c r="AF471" s="1422"/>
      <c r="AG471" s="1422"/>
      <c r="AH471" s="1422"/>
      <c r="AI471" s="1430"/>
      <c r="AJ471" s="1425"/>
      <c r="AL471" s="748"/>
    </row>
    <row r="472" spans="1:38">
      <c r="A472" s="728">
        <v>467</v>
      </c>
      <c r="B472" s="1482" t="s">
        <v>2698</v>
      </c>
      <c r="E472" s="1423">
        <f>'Revenue Reconcilliation'!Q321</f>
        <v>2340393.15</v>
      </c>
      <c r="F472" s="1422"/>
      <c r="G472" s="1422"/>
      <c r="H472" s="1422"/>
      <c r="I472" s="1422"/>
      <c r="J472" s="1422"/>
      <c r="K472" s="1405"/>
      <c r="L472" s="1427"/>
      <c r="M472" s="1422"/>
      <c r="N472" s="1422"/>
      <c r="O472" s="1423"/>
      <c r="P472" s="1423"/>
      <c r="Q472" s="1423"/>
      <c r="R472" s="1422"/>
      <c r="S472" s="1423"/>
      <c r="T472" s="1423"/>
      <c r="U472" s="1423"/>
      <c r="V472" s="1422"/>
      <c r="W472" s="1422"/>
      <c r="X472" s="1422"/>
      <c r="Y472" s="1422"/>
      <c r="Z472" s="1422"/>
      <c r="AD472" s="1422"/>
      <c r="AF472" s="1422"/>
      <c r="AG472" s="1422"/>
      <c r="AH472" s="1422"/>
      <c r="AI472" s="1430"/>
      <c r="AJ472" s="1425"/>
      <c r="AL472" s="748"/>
    </row>
    <row r="473" spans="1:38">
      <c r="A473" s="728">
        <v>468</v>
      </c>
      <c r="B473" s="1443" t="s">
        <v>2678</v>
      </c>
      <c r="E473" s="1423">
        <f>SUM(E461:E472)</f>
        <v>116271.18000000017</v>
      </c>
      <c r="F473" s="1423"/>
      <c r="G473" s="1423"/>
      <c r="H473" s="1423"/>
      <c r="I473" s="1423"/>
      <c r="J473" s="1423"/>
      <c r="K473" s="1405"/>
      <c r="L473" s="1427"/>
      <c r="M473" s="1422"/>
      <c r="N473" s="1423"/>
      <c r="O473" s="1423"/>
      <c r="P473" s="1423"/>
      <c r="Q473" s="1423"/>
      <c r="R473" s="1423"/>
      <c r="S473" s="1423"/>
      <c r="T473" s="1423"/>
      <c r="U473" s="1423"/>
      <c r="V473" s="1423"/>
      <c r="W473" s="1423"/>
      <c r="X473" s="1423"/>
      <c r="Y473" s="1423"/>
      <c r="Z473" s="1423"/>
      <c r="AD473" s="1423"/>
      <c r="AF473" s="1423"/>
      <c r="AG473" s="1423"/>
      <c r="AH473" s="1423"/>
      <c r="AI473" s="1430"/>
      <c r="AJ473" s="1425"/>
      <c r="AL473" s="748"/>
    </row>
    <row r="474" spans="1:38">
      <c r="A474" s="728">
        <v>469</v>
      </c>
      <c r="E474" s="1423"/>
      <c r="F474" s="1423"/>
      <c r="G474" s="1423"/>
      <c r="H474" s="1423"/>
      <c r="I474" s="1423"/>
      <c r="J474" s="1423"/>
      <c r="K474" s="1405"/>
      <c r="L474" s="1427"/>
      <c r="M474" s="1422"/>
      <c r="N474" s="1423"/>
      <c r="O474" s="1423"/>
      <c r="P474" s="1423"/>
      <c r="Q474" s="1423"/>
      <c r="R474" s="1423"/>
      <c r="S474" s="1423"/>
      <c r="T474" s="1423"/>
      <c r="U474" s="1423"/>
      <c r="V474" s="1423"/>
      <c r="W474" s="1423"/>
      <c r="X474" s="1423"/>
      <c r="Y474" s="1423"/>
      <c r="Z474" s="1423"/>
      <c r="AD474" s="1423"/>
      <c r="AF474" s="1423"/>
      <c r="AG474" s="1423"/>
      <c r="AH474" s="1423"/>
      <c r="AI474" s="1430"/>
      <c r="AJ474" s="1425"/>
      <c r="AL474" s="748"/>
    </row>
    <row r="475" spans="1:38">
      <c r="A475" s="728">
        <v>470</v>
      </c>
      <c r="B475" s="1512" t="s">
        <v>2752</v>
      </c>
      <c r="C475" s="1438">
        <f>E475-'Revenue Reconcilliation'!Q322</f>
        <v>0</v>
      </c>
      <c r="D475" s="1445" t="s">
        <v>2673</v>
      </c>
      <c r="E475" s="1437">
        <f>SUM(E458,E473)</f>
        <v>2311708.52</v>
      </c>
      <c r="F475" s="1437"/>
      <c r="G475" s="1437"/>
      <c r="H475" s="1437"/>
      <c r="I475" s="1437"/>
      <c r="J475" s="1437"/>
      <c r="K475" s="1447"/>
      <c r="L475" s="1446"/>
      <c r="M475" s="1438"/>
      <c r="N475" s="1437"/>
      <c r="O475" s="1437"/>
      <c r="P475" s="1437"/>
      <c r="Q475" s="1437"/>
      <c r="R475" s="1437"/>
      <c r="S475" s="1437"/>
      <c r="T475" s="1437"/>
      <c r="U475" s="1437"/>
      <c r="V475" s="1437"/>
      <c r="W475" s="1437"/>
      <c r="X475" s="1437"/>
      <c r="Y475" s="1437"/>
      <c r="Z475" s="1437"/>
      <c r="AA475" s="1445"/>
      <c r="AB475" s="1445"/>
      <c r="AC475" s="1445"/>
      <c r="AD475" s="1437"/>
      <c r="AE475" s="1447"/>
      <c r="AF475" s="1437"/>
      <c r="AG475" s="1437"/>
      <c r="AH475" s="1437"/>
      <c r="AI475" s="1490"/>
      <c r="AJ475" s="1440"/>
      <c r="AK475" s="1445"/>
      <c r="AL475" s="748"/>
    </row>
    <row r="476" spans="1:38">
      <c r="A476" s="728">
        <v>471</v>
      </c>
      <c r="B476" s="1443"/>
      <c r="E476" s="1423"/>
      <c r="F476" s="1423"/>
      <c r="G476" s="1423"/>
      <c r="H476" s="1423"/>
      <c r="I476" s="1423"/>
      <c r="J476" s="1423"/>
      <c r="K476" s="1405"/>
      <c r="L476" s="1427"/>
      <c r="M476" s="1422"/>
      <c r="N476" s="1423"/>
      <c r="O476" s="1423"/>
      <c r="P476" s="1423"/>
      <c r="Q476" s="1423"/>
      <c r="R476" s="1423"/>
      <c r="S476" s="1423"/>
      <c r="T476" s="1423"/>
      <c r="U476" s="1423"/>
      <c r="V476" s="1423"/>
      <c r="W476" s="1423"/>
      <c r="X476" s="1423"/>
      <c r="Y476" s="1423"/>
      <c r="Z476" s="1423"/>
      <c r="AA476" s="1423"/>
      <c r="AB476" s="1423"/>
      <c r="AC476" s="1423"/>
      <c r="AD476" s="1423"/>
      <c r="AF476" s="1423"/>
      <c r="AG476" s="1423"/>
      <c r="AH476" s="1423"/>
      <c r="AI476" s="1430"/>
      <c r="AJ476" s="1425"/>
      <c r="AK476" s="1423"/>
      <c r="AL476" s="748"/>
    </row>
    <row r="477" spans="1:38">
      <c r="A477" s="728">
        <v>472</v>
      </c>
      <c r="B477" s="1420" t="s">
        <v>2753</v>
      </c>
      <c r="E477" s="1423"/>
      <c r="F477" s="1423"/>
      <c r="G477" s="1404" t="s">
        <v>2723</v>
      </c>
      <c r="H477" s="1423"/>
      <c r="I477" s="1423"/>
      <c r="J477" s="1423"/>
      <c r="K477" s="1405"/>
      <c r="L477" s="1427"/>
      <c r="M477" s="1422"/>
      <c r="N477" s="1423"/>
      <c r="O477" s="1423"/>
      <c r="P477" s="1423"/>
      <c r="Q477" s="1423"/>
      <c r="R477" s="1423"/>
      <c r="S477" s="1423"/>
      <c r="T477" s="1423"/>
      <c r="U477" s="1423"/>
      <c r="V477" s="1423"/>
      <c r="W477" s="1423"/>
      <c r="X477" s="1423"/>
      <c r="Y477" s="1423"/>
      <c r="Z477" s="1423"/>
      <c r="AA477" s="1423"/>
      <c r="AB477" s="1423"/>
      <c r="AC477" s="1423"/>
      <c r="AD477" s="1423"/>
      <c r="AF477" s="1423"/>
      <c r="AG477" s="1423"/>
      <c r="AH477" s="1423"/>
      <c r="AI477" s="1430"/>
      <c r="AJ477" s="1425"/>
      <c r="AK477" s="1423"/>
      <c r="AL477" s="748"/>
    </row>
    <row r="478" spans="1:38">
      <c r="A478" s="728">
        <v>473</v>
      </c>
      <c r="B478" s="727" t="s">
        <v>2462</v>
      </c>
      <c r="C478" s="1477">
        <f t="shared" ref="C478:C484" si="24">E478/D478</f>
        <v>12</v>
      </c>
      <c r="D478" s="1430">
        <v>625</v>
      </c>
      <c r="E478" s="1423">
        <f>'1501 Summary'!AD339</f>
        <v>7500</v>
      </c>
      <c r="F478" s="1423"/>
      <c r="G478" s="1508">
        <f>-C478</f>
        <v>-12</v>
      </c>
      <c r="H478" s="1423">
        <f>D478</f>
        <v>625</v>
      </c>
      <c r="I478" s="1423">
        <f>H478*G478</f>
        <v>-7500</v>
      </c>
      <c r="J478" s="1423"/>
      <c r="K478" s="1405">
        <f t="shared" ref="K478:K484" si="25">C478+G478</f>
        <v>0</v>
      </c>
      <c r="L478" s="1422">
        <f>D478</f>
        <v>625</v>
      </c>
      <c r="M478" s="1435">
        <f t="shared" ref="M478:M484" si="26">L478*K478</f>
        <v>0</v>
      </c>
      <c r="N478" s="1423"/>
      <c r="O478" s="1423"/>
      <c r="P478" s="1423"/>
      <c r="Q478" s="1423"/>
      <c r="R478" s="1423"/>
      <c r="S478" s="1423"/>
      <c r="T478" s="1423"/>
      <c r="U478" s="1423"/>
      <c r="V478" s="1423"/>
      <c r="W478" s="1423"/>
      <c r="X478" s="1423"/>
      <c r="Y478" s="1423"/>
      <c r="Z478" s="1423"/>
      <c r="AA478" s="1425"/>
      <c r="AB478" s="1425"/>
      <c r="AC478" s="1425"/>
      <c r="AD478" s="1423"/>
      <c r="AF478" s="1423"/>
      <c r="AG478" s="1423"/>
      <c r="AH478" s="1423"/>
      <c r="AI478" s="1430"/>
      <c r="AJ478" s="1425"/>
      <c r="AK478" s="1425"/>
      <c r="AL478" s="748"/>
    </row>
    <row r="479" spans="1:38">
      <c r="A479" s="728">
        <v>474</v>
      </c>
      <c r="B479" s="727" t="s">
        <v>2713</v>
      </c>
      <c r="C479" s="1405">
        <f t="shared" si="24"/>
        <v>6240000</v>
      </c>
      <c r="D479" s="1500">
        <v>0.2</v>
      </c>
      <c r="E479" s="1423">
        <f>'1501 Summary'!AD340</f>
        <v>1248000</v>
      </c>
      <c r="F479" s="1423"/>
      <c r="G479" s="1508">
        <f t="shared" ref="G479:G484" si="27">-C479</f>
        <v>-6240000</v>
      </c>
      <c r="H479" s="1423">
        <f t="shared" ref="H479:H484" si="28">D479</f>
        <v>0.2</v>
      </c>
      <c r="I479" s="1423">
        <f t="shared" ref="I479:I484" si="29">H479*G479</f>
        <v>-1248000</v>
      </c>
      <c r="J479" s="1423"/>
      <c r="K479" s="1405">
        <f t="shared" si="25"/>
        <v>0</v>
      </c>
      <c r="L479" s="1427">
        <f>D479</f>
        <v>0.2</v>
      </c>
      <c r="M479" s="1435">
        <f t="shared" si="26"/>
        <v>0</v>
      </c>
      <c r="N479" s="1423"/>
      <c r="O479" s="1423"/>
      <c r="P479" s="1423"/>
      <c r="Q479" s="1423"/>
      <c r="R479" s="1423"/>
      <c r="S479" s="1423"/>
      <c r="T479" s="1423"/>
      <c r="U479" s="1423"/>
      <c r="V479" s="1423"/>
      <c r="W479" s="1423"/>
      <c r="X479" s="1423"/>
      <c r="Y479" s="1423"/>
      <c r="Z479" s="1423"/>
      <c r="AA479" s="1425"/>
      <c r="AB479" s="1425"/>
      <c r="AC479" s="1425"/>
      <c r="AD479" s="1423"/>
      <c r="AF479" s="1423"/>
      <c r="AG479" s="1423"/>
      <c r="AH479" s="1423"/>
      <c r="AI479" s="1430"/>
      <c r="AJ479" s="1425"/>
      <c r="AK479" s="1425"/>
      <c r="AL479" s="748"/>
    </row>
    <row r="480" spans="1:38">
      <c r="A480" s="728">
        <v>475</v>
      </c>
      <c r="B480" s="727" t="s">
        <v>2714</v>
      </c>
      <c r="C480" s="1405">
        <f t="shared" si="24"/>
        <v>78047625</v>
      </c>
      <c r="D480" s="1500">
        <v>4.0000000000000002E-4</v>
      </c>
      <c r="E480" s="1423">
        <f>'1501 Summary'!AD341</f>
        <v>31219.050000000003</v>
      </c>
      <c r="F480" s="1423"/>
      <c r="G480" s="1508">
        <f t="shared" si="27"/>
        <v>-78047625</v>
      </c>
      <c r="H480" s="1423">
        <f t="shared" si="28"/>
        <v>4.0000000000000002E-4</v>
      </c>
      <c r="I480" s="1423">
        <f t="shared" si="29"/>
        <v>-31219.050000000003</v>
      </c>
      <c r="J480" s="1423"/>
      <c r="K480" s="1405">
        <f t="shared" si="25"/>
        <v>0</v>
      </c>
      <c r="L480" s="1427">
        <f>D480</f>
        <v>4.0000000000000002E-4</v>
      </c>
      <c r="M480" s="1435">
        <f t="shared" si="26"/>
        <v>0</v>
      </c>
      <c r="N480" s="1423"/>
      <c r="O480" s="1423"/>
      <c r="P480" s="1423"/>
      <c r="Q480" s="1423"/>
      <c r="R480" s="1423"/>
      <c r="S480" s="1423"/>
      <c r="T480" s="1423"/>
      <c r="U480" s="1423"/>
      <c r="V480" s="1423"/>
      <c r="W480" s="1423"/>
      <c r="X480" s="1423"/>
      <c r="Y480" s="1423"/>
      <c r="Z480" s="1423"/>
      <c r="AA480" s="1425"/>
      <c r="AB480" s="1425"/>
      <c r="AC480" s="1425"/>
      <c r="AD480" s="1423"/>
      <c r="AF480" s="1423"/>
      <c r="AG480" s="1423"/>
      <c r="AH480" s="1423"/>
      <c r="AI480" s="1430"/>
      <c r="AJ480" s="1425"/>
      <c r="AK480" s="1425"/>
      <c r="AL480" s="748"/>
    </row>
    <row r="481" spans="1:38">
      <c r="A481" s="728">
        <v>476</v>
      </c>
      <c r="B481" s="1443" t="s">
        <v>2716</v>
      </c>
      <c r="C481" s="1405">
        <f t="shared" si="24"/>
        <v>1200000</v>
      </c>
      <c r="D481" s="1361">
        <v>5.3310000000000003E-2</v>
      </c>
      <c r="E481" s="1423">
        <f>'1501 Summary'!AD342</f>
        <v>63972</v>
      </c>
      <c r="F481" s="1486"/>
      <c r="G481" s="1508">
        <f t="shared" si="27"/>
        <v>-1200000</v>
      </c>
      <c r="H481" s="1423">
        <f t="shared" si="28"/>
        <v>5.3310000000000003E-2</v>
      </c>
      <c r="I481" s="1423">
        <f t="shared" si="29"/>
        <v>-63972.000000000007</v>
      </c>
      <c r="J481" s="1486"/>
      <c r="K481" s="1405">
        <f t="shared" si="25"/>
        <v>0</v>
      </c>
      <c r="L481" s="1427">
        <v>5.9889999999999999E-2</v>
      </c>
      <c r="M481" s="1435">
        <f t="shared" si="26"/>
        <v>0</v>
      </c>
      <c r="N481" s="1486"/>
      <c r="O481" s="1423"/>
      <c r="P481" s="1423"/>
      <c r="Q481" s="1423"/>
      <c r="R481" s="1486"/>
      <c r="S481" s="1423"/>
      <c r="T481" s="1423"/>
      <c r="U481" s="1423"/>
      <c r="V481" s="1486"/>
      <c r="W481" s="1486"/>
      <c r="X481" s="1486"/>
      <c r="Y481" s="1486"/>
      <c r="Z481" s="1486"/>
      <c r="AA481" s="1425"/>
      <c r="AB481" s="1425"/>
      <c r="AC481" s="1425"/>
      <c r="AD481" s="1486"/>
      <c r="AF481" s="1486"/>
      <c r="AG481" s="1486"/>
      <c r="AH481" s="1486"/>
      <c r="AI481" s="1430"/>
      <c r="AJ481" s="1425"/>
      <c r="AK481" s="1425"/>
      <c r="AL481" s="748"/>
    </row>
    <row r="482" spans="1:38">
      <c r="A482" s="728">
        <v>477</v>
      </c>
      <c r="B482" s="1443" t="s">
        <v>2494</v>
      </c>
      <c r="C482" s="1405">
        <f t="shared" si="24"/>
        <v>2400000</v>
      </c>
      <c r="D482" s="1361">
        <v>1.9449999999999999E-2</v>
      </c>
      <c r="E482" s="1423">
        <f>'1501 Summary'!AD343</f>
        <v>46680</v>
      </c>
      <c r="F482" s="1486"/>
      <c r="G482" s="1508">
        <f t="shared" si="27"/>
        <v>-2400000</v>
      </c>
      <c r="H482" s="1423">
        <f t="shared" si="28"/>
        <v>1.9449999999999999E-2</v>
      </c>
      <c r="I482" s="1423">
        <f t="shared" si="29"/>
        <v>-46680</v>
      </c>
      <c r="J482" s="1486"/>
      <c r="K482" s="1405">
        <f t="shared" si="25"/>
        <v>0</v>
      </c>
      <c r="L482" s="1427">
        <v>2.3029999999999998E-2</v>
      </c>
      <c r="M482" s="1435">
        <f t="shared" si="26"/>
        <v>0</v>
      </c>
      <c r="N482" s="1486"/>
      <c r="O482" s="1423"/>
      <c r="P482" s="1423"/>
      <c r="Q482" s="1423"/>
      <c r="R482" s="1486"/>
      <c r="S482" s="1423"/>
      <c r="T482" s="1423"/>
      <c r="U482" s="1423"/>
      <c r="V482" s="1486"/>
      <c r="W482" s="1486"/>
      <c r="X482" s="1486"/>
      <c r="Y482" s="1486"/>
      <c r="Z482" s="1486"/>
      <c r="AA482" s="1425"/>
      <c r="AB482" s="1425"/>
      <c r="AC482" s="1425"/>
      <c r="AD482" s="1486"/>
      <c r="AF482" s="1486"/>
      <c r="AG482" s="1486"/>
      <c r="AH482" s="1486"/>
      <c r="AI482" s="1430"/>
      <c r="AJ482" s="1425"/>
      <c r="AK482" s="1425"/>
      <c r="AL482" s="748"/>
    </row>
    <row r="483" spans="1:38">
      <c r="A483" s="728">
        <v>478</v>
      </c>
      <c r="B483" s="1443" t="s">
        <v>2494</v>
      </c>
      <c r="C483" s="1405">
        <f t="shared" si="24"/>
        <v>2281981.3874788494</v>
      </c>
      <c r="D483" s="1361">
        <v>1.1820000000000001E-2</v>
      </c>
      <c r="E483" s="1423">
        <f>'1501 Summary'!AD344</f>
        <v>26973.02</v>
      </c>
      <c r="F483" s="1486"/>
      <c r="G483" s="1508">
        <f t="shared" si="27"/>
        <v>-2281981.3874788494</v>
      </c>
      <c r="H483" s="1423">
        <f t="shared" si="28"/>
        <v>1.1820000000000001E-2</v>
      </c>
      <c r="I483" s="1423">
        <f t="shared" si="29"/>
        <v>-26973.02</v>
      </c>
      <c r="J483" s="1486"/>
      <c r="K483" s="1405">
        <f t="shared" si="25"/>
        <v>0</v>
      </c>
      <c r="L483" s="1427">
        <v>1.473E-2</v>
      </c>
      <c r="M483" s="1435">
        <f t="shared" si="26"/>
        <v>0</v>
      </c>
      <c r="N483" s="1486"/>
      <c r="O483" s="1423"/>
      <c r="P483" s="1423"/>
      <c r="Q483" s="1423"/>
      <c r="R483" s="1486"/>
      <c r="S483" s="1423"/>
      <c r="T483" s="1423"/>
      <c r="U483" s="1423"/>
      <c r="V483" s="1486"/>
      <c r="W483" s="1486"/>
      <c r="X483" s="1486"/>
      <c r="Y483" s="1486"/>
      <c r="Z483" s="1486"/>
      <c r="AA483" s="1425"/>
      <c r="AB483" s="1425"/>
      <c r="AC483" s="1425"/>
      <c r="AD483" s="1486"/>
      <c r="AF483" s="1486"/>
      <c r="AG483" s="1486"/>
      <c r="AH483" s="1486"/>
      <c r="AI483" s="1430"/>
      <c r="AJ483" s="1425"/>
      <c r="AK483" s="1425"/>
      <c r="AL483" s="748"/>
    </row>
    <row r="484" spans="1:38">
      <c r="A484" s="728">
        <v>479</v>
      </c>
      <c r="B484" s="1458" t="s">
        <v>2717</v>
      </c>
      <c r="C484" s="1405">
        <f t="shared" si="24"/>
        <v>72165599.644128114</v>
      </c>
      <c r="D484" s="1361">
        <v>5.62E-3</v>
      </c>
      <c r="E484" s="1437">
        <f>'1501 Summary'!AD345</f>
        <v>405570.67000000004</v>
      </c>
      <c r="F484" s="1486"/>
      <c r="G484" s="1508">
        <f t="shared" si="27"/>
        <v>-72165599.644128114</v>
      </c>
      <c r="H484" s="1423">
        <f t="shared" si="28"/>
        <v>5.62E-3</v>
      </c>
      <c r="I484" s="1437">
        <f t="shared" si="29"/>
        <v>-405570.67</v>
      </c>
      <c r="J484" s="1486"/>
      <c r="K484" s="1405">
        <f t="shared" si="25"/>
        <v>0</v>
      </c>
      <c r="L484" s="1427">
        <v>7.9799999999999992E-3</v>
      </c>
      <c r="M484" s="1436">
        <f t="shared" si="26"/>
        <v>0</v>
      </c>
      <c r="N484" s="1486"/>
      <c r="O484" s="1423"/>
      <c r="P484" s="1423"/>
      <c r="Q484" s="1423"/>
      <c r="R484" s="1486"/>
      <c r="S484" s="1423"/>
      <c r="T484" s="1423"/>
      <c r="U484" s="1423"/>
      <c r="V484" s="1486"/>
      <c r="W484" s="1486"/>
      <c r="X484" s="1486"/>
      <c r="Y484" s="1486"/>
      <c r="Z484" s="1486"/>
      <c r="AA484" s="1425"/>
      <c r="AB484" s="1425"/>
      <c r="AC484" s="1425"/>
      <c r="AD484" s="1486"/>
      <c r="AF484" s="1486"/>
      <c r="AG484" s="1486"/>
      <c r="AH484" s="1486"/>
      <c r="AI484" s="1430"/>
      <c r="AJ484" s="1425"/>
      <c r="AK484" s="1425"/>
      <c r="AL484" s="748"/>
    </row>
    <row r="485" spans="1:38">
      <c r="A485" s="728">
        <v>480</v>
      </c>
      <c r="B485" s="727" t="s">
        <v>2648</v>
      </c>
      <c r="E485" s="1423">
        <f>SUM(E478:E484)</f>
        <v>1829914.7400000002</v>
      </c>
      <c r="F485" s="1486"/>
      <c r="G485" s="1486"/>
      <c r="H485" s="1486"/>
      <c r="I485" s="1424">
        <f>SUM(I478:I484)</f>
        <v>-1829914.74</v>
      </c>
      <c r="J485" s="1486"/>
      <c r="K485" s="1405"/>
      <c r="L485" s="1427"/>
      <c r="M485" s="1435">
        <f>SUM(M478:M484)</f>
        <v>0</v>
      </c>
      <c r="N485" s="1486"/>
      <c r="O485" s="1423"/>
      <c r="P485" s="1423"/>
      <c r="Q485" s="1423"/>
      <c r="R485" s="1486"/>
      <c r="S485" s="1423"/>
      <c r="T485" s="1423"/>
      <c r="U485" s="1423"/>
      <c r="V485" s="1486"/>
      <c r="W485" s="1486"/>
      <c r="X485" s="1486"/>
      <c r="Y485" s="1486"/>
      <c r="Z485" s="1486"/>
      <c r="AA485" s="1425"/>
      <c r="AB485" s="1425"/>
      <c r="AC485" s="1425"/>
      <c r="AD485" s="1486"/>
      <c r="AF485" s="1486"/>
      <c r="AG485" s="1486"/>
      <c r="AH485" s="1486"/>
      <c r="AI485" s="1430"/>
      <c r="AJ485" s="1425"/>
      <c r="AK485" s="1425"/>
      <c r="AL485" s="748"/>
    </row>
    <row r="486" spans="1:38">
      <c r="A486" s="728">
        <v>481</v>
      </c>
      <c r="K486" s="1405"/>
      <c r="L486" s="1427"/>
      <c r="M486" s="1435"/>
      <c r="O486" s="1423"/>
      <c r="P486" s="1423"/>
      <c r="Q486" s="1423"/>
      <c r="S486" s="1423"/>
      <c r="T486" s="1423"/>
      <c r="U486" s="1423"/>
      <c r="AI486" s="1430"/>
      <c r="AJ486" s="1425"/>
      <c r="AL486" s="748"/>
    </row>
    <row r="487" spans="1:38">
      <c r="A487" s="728">
        <v>482</v>
      </c>
      <c r="B487" s="727" t="s">
        <v>2651</v>
      </c>
      <c r="K487" s="1405"/>
      <c r="L487" s="1427"/>
      <c r="M487" s="1435"/>
      <c r="O487" s="1423"/>
      <c r="P487" s="1423"/>
      <c r="Q487" s="1423"/>
      <c r="S487" s="1423"/>
      <c r="T487" s="1423"/>
      <c r="U487" s="1423"/>
      <c r="AI487" s="1430"/>
      <c r="AJ487" s="1425"/>
      <c r="AL487" s="748"/>
    </row>
    <row r="488" spans="1:38">
      <c r="A488" s="728">
        <v>483</v>
      </c>
      <c r="B488" s="1479" t="s">
        <v>2658</v>
      </c>
      <c r="E488" s="1454">
        <f>'1501 Summary'!AD346</f>
        <v>-49646.470000000008</v>
      </c>
      <c r="F488" s="1484"/>
      <c r="G488" s="1484"/>
      <c r="H488" s="1484"/>
      <c r="I488" s="1484"/>
      <c r="J488" s="1484"/>
      <c r="K488" s="1405"/>
      <c r="L488" s="1427"/>
      <c r="M488" s="1435"/>
      <c r="N488" s="1484"/>
      <c r="O488" s="1423"/>
      <c r="P488" s="1423"/>
      <c r="Q488" s="1423"/>
      <c r="R488" s="1484"/>
      <c r="S488" s="1423"/>
      <c r="T488" s="1423"/>
      <c r="U488" s="1423"/>
      <c r="V488" s="1484"/>
      <c r="W488" s="1484"/>
      <c r="X488" s="1484"/>
      <c r="Y488" s="1484"/>
      <c r="Z488" s="1484"/>
      <c r="AD488" s="1484"/>
      <c r="AF488" s="1484"/>
      <c r="AG488" s="1484"/>
      <c r="AH488" s="1484"/>
      <c r="AI488" s="1430"/>
      <c r="AJ488" s="1425"/>
      <c r="AL488" s="748"/>
    </row>
    <row r="489" spans="1:38">
      <c r="A489" s="728">
        <v>484</v>
      </c>
      <c r="B489" s="1479" t="s">
        <v>2659</v>
      </c>
      <c r="E489" s="1454">
        <f>'1501 Summary'!AD347</f>
        <v>-22461.08</v>
      </c>
      <c r="F489" s="1484"/>
      <c r="G489" s="1484"/>
      <c r="H489" s="1484"/>
      <c r="I489" s="1484"/>
      <c r="J489" s="1484"/>
      <c r="K489" s="1405"/>
      <c r="L489" s="1427"/>
      <c r="M489" s="1435"/>
      <c r="N489" s="1484"/>
      <c r="O489" s="1423"/>
      <c r="P489" s="1423"/>
      <c r="Q489" s="1423"/>
      <c r="R489" s="1484"/>
      <c r="S489" s="1423"/>
      <c r="T489" s="1423"/>
      <c r="U489" s="1423"/>
      <c r="V489" s="1484"/>
      <c r="W489" s="1484"/>
      <c r="X489" s="1484"/>
      <c r="Y489" s="1484"/>
      <c r="Z489" s="1484"/>
      <c r="AD489" s="1484"/>
      <c r="AF489" s="1484"/>
      <c r="AG489" s="1484"/>
      <c r="AH489" s="1484"/>
      <c r="AI489" s="1430"/>
      <c r="AJ489" s="1425"/>
      <c r="AL489" s="748"/>
    </row>
    <row r="490" spans="1:38">
      <c r="A490" s="728">
        <v>485</v>
      </c>
      <c r="B490" s="1479" t="s">
        <v>2660</v>
      </c>
      <c r="E490" s="1454">
        <f>'1501 Summary'!AD348</f>
        <v>-38929.449999999997</v>
      </c>
      <c r="F490" s="1484"/>
      <c r="G490" s="1484"/>
      <c r="H490" s="1484"/>
      <c r="I490" s="1484"/>
      <c r="J490" s="1484"/>
      <c r="K490" s="1405"/>
      <c r="L490" s="1427"/>
      <c r="M490" s="1435"/>
      <c r="N490" s="1484"/>
      <c r="O490" s="1423"/>
      <c r="P490" s="1423"/>
      <c r="Q490" s="1423"/>
      <c r="R490" s="1484"/>
      <c r="S490" s="1423"/>
      <c r="T490" s="1423"/>
      <c r="U490" s="1423"/>
      <c r="V490" s="1484"/>
      <c r="W490" s="1484"/>
      <c r="X490" s="1484"/>
      <c r="Y490" s="1484"/>
      <c r="Z490" s="1484"/>
      <c r="AD490" s="1484"/>
      <c r="AF490" s="1484"/>
      <c r="AG490" s="1484"/>
      <c r="AH490" s="1484"/>
      <c r="AI490" s="1430"/>
      <c r="AJ490" s="1425"/>
      <c r="AL490" s="748"/>
    </row>
    <row r="491" spans="1:38">
      <c r="A491" s="728">
        <v>486</v>
      </c>
      <c r="B491" s="727" t="s">
        <v>2653</v>
      </c>
      <c r="E491" s="1454">
        <f>'1501 Summary'!AD349</f>
        <v>24135.17</v>
      </c>
      <c r="F491" s="1484"/>
      <c r="G491" s="1484"/>
      <c r="H491" s="1484"/>
      <c r="I491" s="1484"/>
      <c r="J491" s="1484"/>
      <c r="K491" s="1405"/>
      <c r="L491" s="1427"/>
      <c r="M491" s="1435"/>
      <c r="N491" s="1484"/>
      <c r="O491" s="1423"/>
      <c r="P491" s="1423"/>
      <c r="Q491" s="1423"/>
      <c r="R491" s="1484"/>
      <c r="S491" s="1423"/>
      <c r="T491" s="1423"/>
      <c r="U491" s="1423"/>
      <c r="V491" s="1484"/>
      <c r="W491" s="1484"/>
      <c r="X491" s="1484"/>
      <c r="Y491" s="1484"/>
      <c r="Z491" s="1484"/>
      <c r="AD491" s="1484"/>
      <c r="AF491" s="1484"/>
      <c r="AG491" s="1484"/>
      <c r="AH491" s="1484"/>
      <c r="AI491" s="1430"/>
      <c r="AJ491" s="1425"/>
      <c r="AL491" s="748"/>
    </row>
    <row r="492" spans="1:38">
      <c r="A492" s="728">
        <v>487</v>
      </c>
      <c r="B492" s="727" t="s">
        <v>2654</v>
      </c>
      <c r="E492" s="1454">
        <f>'1501 Summary'!AD350</f>
        <v>133640.04</v>
      </c>
      <c r="F492" s="1484"/>
      <c r="G492" s="1484"/>
      <c r="H492" s="1484"/>
      <c r="I492" s="1484"/>
      <c r="J492" s="1484"/>
      <c r="K492" s="1405"/>
      <c r="L492" s="1427"/>
      <c r="M492" s="1435"/>
      <c r="N492" s="1484"/>
      <c r="O492" s="1423"/>
      <c r="P492" s="1423"/>
      <c r="Q492" s="1423"/>
      <c r="R492" s="1484"/>
      <c r="S492" s="1423"/>
      <c r="T492" s="1423"/>
      <c r="U492" s="1423"/>
      <c r="V492" s="1484"/>
      <c r="W492" s="1484"/>
      <c r="X492" s="1484"/>
      <c r="Y492" s="1484"/>
      <c r="Z492" s="1484"/>
      <c r="AD492" s="1484"/>
      <c r="AF492" s="1484"/>
      <c r="AG492" s="1484"/>
      <c r="AH492" s="1484"/>
      <c r="AI492" s="1430"/>
      <c r="AJ492" s="1425"/>
      <c r="AL492" s="748"/>
    </row>
    <row r="493" spans="1:38">
      <c r="A493" s="728">
        <v>488</v>
      </c>
      <c r="B493" s="727" t="s">
        <v>2719</v>
      </c>
      <c r="E493" s="1454">
        <f>'1501 Summary'!AD351</f>
        <v>81083.53</v>
      </c>
      <c r="F493" s="1484"/>
      <c r="G493" s="1484"/>
      <c r="H493" s="1484"/>
      <c r="I493" s="1484"/>
      <c r="J493" s="1484"/>
      <c r="K493" s="1405"/>
      <c r="L493" s="1427"/>
      <c r="M493" s="1435"/>
      <c r="N493" s="1484"/>
      <c r="O493" s="1423"/>
      <c r="P493" s="1423"/>
      <c r="Q493" s="1423"/>
      <c r="R493" s="1484"/>
      <c r="S493" s="1423"/>
      <c r="T493" s="1423"/>
      <c r="U493" s="1423"/>
      <c r="V493" s="1484"/>
      <c r="W493" s="1484"/>
      <c r="X493" s="1484"/>
      <c r="Y493" s="1484"/>
      <c r="Z493" s="1484"/>
      <c r="AD493" s="1484"/>
      <c r="AF493" s="1484"/>
      <c r="AG493" s="1484"/>
      <c r="AH493" s="1484"/>
      <c r="AI493" s="1430"/>
      <c r="AJ493" s="1425"/>
      <c r="AL493" s="748"/>
    </row>
    <row r="494" spans="1:38">
      <c r="A494" s="728">
        <v>489</v>
      </c>
      <c r="B494" s="1482" t="s">
        <v>2697</v>
      </c>
      <c r="E494" s="1435">
        <f>'Revenue Reconcilliation'!Q340</f>
        <v>-1933601.3099999998</v>
      </c>
      <c r="F494" s="1449"/>
      <c r="G494" s="1449"/>
      <c r="H494" s="1449"/>
      <c r="I494" s="1449"/>
      <c r="J494" s="1449"/>
      <c r="K494" s="1405"/>
      <c r="L494" s="1427"/>
      <c r="M494" s="1435"/>
      <c r="N494" s="1449"/>
      <c r="O494" s="1423"/>
      <c r="P494" s="1423"/>
      <c r="Q494" s="1423"/>
      <c r="R494" s="1449"/>
      <c r="S494" s="1423"/>
      <c r="T494" s="1423"/>
      <c r="U494" s="1423"/>
      <c r="V494" s="1449"/>
      <c r="W494" s="1449"/>
      <c r="X494" s="1449"/>
      <c r="Y494" s="1449"/>
      <c r="Z494" s="1449"/>
      <c r="AD494" s="1449"/>
      <c r="AF494" s="1449"/>
      <c r="AG494" s="1449"/>
      <c r="AH494" s="1449"/>
      <c r="AI494" s="1430"/>
      <c r="AJ494" s="1425"/>
      <c r="AL494" s="748"/>
    </row>
    <row r="495" spans="1:38">
      <c r="A495" s="728">
        <v>490</v>
      </c>
      <c r="B495" s="1513" t="s">
        <v>2698</v>
      </c>
      <c r="E495" s="1435">
        <f>'Revenue Reconcilliation'!Q341</f>
        <v>2002491.73</v>
      </c>
      <c r="F495" s="1449"/>
      <c r="G495" s="1449"/>
      <c r="H495" s="1449"/>
      <c r="I495" s="1449"/>
      <c r="J495" s="1449"/>
      <c r="K495" s="1405"/>
      <c r="L495" s="1427"/>
      <c r="M495" s="1435"/>
      <c r="N495" s="1449"/>
      <c r="O495" s="1423"/>
      <c r="P495" s="1423"/>
      <c r="Q495" s="1423"/>
      <c r="R495" s="1449"/>
      <c r="S495" s="1423"/>
      <c r="T495" s="1423"/>
      <c r="U495" s="1423"/>
      <c r="V495" s="1449"/>
      <c r="W495" s="1449"/>
      <c r="X495" s="1449"/>
      <c r="Y495" s="1449"/>
      <c r="Z495" s="1449"/>
      <c r="AD495" s="1449"/>
      <c r="AF495" s="1449"/>
      <c r="AG495" s="1449"/>
      <c r="AH495" s="1449"/>
      <c r="AI495" s="1430"/>
      <c r="AJ495" s="1425"/>
      <c r="AL495" s="748"/>
    </row>
    <row r="496" spans="1:38">
      <c r="A496" s="728">
        <v>491</v>
      </c>
      <c r="B496" s="1443" t="s">
        <v>2678</v>
      </c>
      <c r="E496" s="1454">
        <f>SUM(E488:E495)</f>
        <v>196712.16000000015</v>
      </c>
      <c r="F496" s="1484"/>
      <c r="G496" s="1484"/>
      <c r="H496" s="1484"/>
      <c r="I496" s="1484"/>
      <c r="J496" s="1484"/>
      <c r="K496" s="1405"/>
      <c r="L496" s="1427"/>
      <c r="M496" s="1435"/>
      <c r="N496" s="1484"/>
      <c r="O496" s="1423"/>
      <c r="P496" s="1423"/>
      <c r="Q496" s="1423"/>
      <c r="R496" s="1484"/>
      <c r="S496" s="1423"/>
      <c r="T496" s="1423"/>
      <c r="U496" s="1423"/>
      <c r="V496" s="1484"/>
      <c r="W496" s="1484"/>
      <c r="X496" s="1484"/>
      <c r="Y496" s="1484"/>
      <c r="Z496" s="1484"/>
      <c r="AD496" s="1484"/>
      <c r="AF496" s="1484"/>
      <c r="AG496" s="1484"/>
      <c r="AH496" s="1484"/>
      <c r="AI496" s="1430"/>
      <c r="AJ496" s="1425"/>
      <c r="AL496" s="748"/>
    </row>
    <row r="497" spans="1:38">
      <c r="A497" s="728">
        <v>492</v>
      </c>
      <c r="E497" s="1435"/>
      <c r="F497" s="1484"/>
      <c r="G497" s="1484"/>
      <c r="H497" s="1484"/>
      <c r="I497" s="1484"/>
      <c r="J497" s="1484"/>
      <c r="K497" s="1405"/>
      <c r="L497" s="1427"/>
      <c r="M497" s="1435"/>
      <c r="N497" s="1484"/>
      <c r="O497" s="1423"/>
      <c r="P497" s="1423"/>
      <c r="Q497" s="1423"/>
      <c r="R497" s="1484"/>
      <c r="S497" s="1423"/>
      <c r="T497" s="1423"/>
      <c r="U497" s="1423"/>
      <c r="V497" s="1484"/>
      <c r="W497" s="1484"/>
      <c r="X497" s="1484"/>
      <c r="Y497" s="1484"/>
      <c r="Z497" s="1484"/>
      <c r="AD497" s="1484"/>
      <c r="AF497" s="1484"/>
      <c r="AG497" s="1484"/>
      <c r="AH497" s="1484"/>
      <c r="AI497" s="1430"/>
      <c r="AJ497" s="1425"/>
      <c r="AL497" s="748"/>
    </row>
    <row r="498" spans="1:38">
      <c r="A498" s="728">
        <v>493</v>
      </c>
      <c r="B498" s="1512" t="s">
        <v>2754</v>
      </c>
      <c r="C498" s="1483">
        <f>E498-'Revenue Reconcilliation'!Q342</f>
        <v>0</v>
      </c>
      <c r="D498" s="1445" t="s">
        <v>2673</v>
      </c>
      <c r="E498" s="1436">
        <f>SUM(E485,E496)</f>
        <v>2026626.9000000004</v>
      </c>
      <c r="F498" s="1483"/>
      <c r="G498" s="1483"/>
      <c r="H498" s="1483"/>
      <c r="I498" s="1483"/>
      <c r="J498" s="1483"/>
      <c r="K498" s="1447"/>
      <c r="L498" s="1446"/>
      <c r="M498" s="1436"/>
      <c r="N498" s="1483"/>
      <c r="O498" s="1437"/>
      <c r="P498" s="1437"/>
      <c r="Q498" s="1437"/>
      <c r="R498" s="1483"/>
      <c r="S498" s="1437"/>
      <c r="T498" s="1437"/>
      <c r="U498" s="1437"/>
      <c r="V498" s="1483"/>
      <c r="W498" s="1483"/>
      <c r="X498" s="1483"/>
      <c r="Y498" s="1483"/>
      <c r="Z498" s="1483"/>
      <c r="AA498" s="1445"/>
      <c r="AB498" s="1445"/>
      <c r="AC498" s="1445"/>
      <c r="AD498" s="1483"/>
      <c r="AE498" s="1447"/>
      <c r="AF498" s="1483"/>
      <c r="AG498" s="1483"/>
      <c r="AH498" s="1483"/>
      <c r="AI498" s="1490"/>
      <c r="AJ498" s="1440"/>
      <c r="AK498" s="1445"/>
      <c r="AL498" s="748"/>
    </row>
    <row r="499" spans="1:38">
      <c r="A499" s="728">
        <v>494</v>
      </c>
      <c r="E499" s="1484"/>
      <c r="F499" s="1484"/>
      <c r="G499" s="1484"/>
      <c r="H499" s="1484"/>
      <c r="I499" s="1484"/>
      <c r="J499" s="1484"/>
      <c r="K499" s="1405"/>
      <c r="L499" s="1427"/>
      <c r="M499" s="1435"/>
      <c r="N499" s="1484"/>
      <c r="O499" s="1423"/>
      <c r="P499" s="1423"/>
      <c r="Q499" s="1423"/>
      <c r="R499" s="1484"/>
      <c r="S499" s="1423"/>
      <c r="T499" s="1423"/>
      <c r="U499" s="1423"/>
      <c r="V499" s="1484"/>
      <c r="W499" s="1484"/>
      <c r="X499" s="1484"/>
      <c r="Y499" s="1484"/>
      <c r="Z499" s="1484"/>
      <c r="AD499" s="1484"/>
      <c r="AF499" s="1484"/>
      <c r="AG499" s="1484"/>
      <c r="AH499" s="1484"/>
      <c r="AI499" s="1430"/>
      <c r="AJ499" s="1425"/>
      <c r="AL499" s="748"/>
    </row>
    <row r="500" spans="1:38">
      <c r="A500" s="728">
        <v>495</v>
      </c>
      <c r="B500" s="1448"/>
      <c r="K500" s="1405"/>
      <c r="L500" s="1427"/>
      <c r="M500" s="1435"/>
      <c r="O500" s="1423"/>
      <c r="P500" s="1423"/>
      <c r="Q500" s="1423"/>
      <c r="S500" s="1423"/>
      <c r="T500" s="1423"/>
      <c r="U500" s="1423"/>
      <c r="AI500" s="1430"/>
      <c r="AJ500" s="1425"/>
      <c r="AL500" s="748"/>
    </row>
    <row r="501" spans="1:38">
      <c r="A501" s="728">
        <v>496</v>
      </c>
      <c r="B501" s="1443"/>
      <c r="K501" s="1405"/>
      <c r="L501" s="1427"/>
      <c r="M501" s="1435"/>
      <c r="O501" s="1423"/>
      <c r="P501" s="1423"/>
      <c r="Q501" s="1423"/>
      <c r="S501" s="1423"/>
      <c r="T501" s="1423"/>
      <c r="U501" s="1423"/>
      <c r="AI501" s="1430"/>
      <c r="AJ501" s="1425"/>
      <c r="AL501" s="748"/>
    </row>
    <row r="502" spans="1:38">
      <c r="A502" s="728">
        <v>497</v>
      </c>
      <c r="B502" s="1420" t="s">
        <v>2755</v>
      </c>
      <c r="G502" s="1404" t="s">
        <v>2723</v>
      </c>
      <c r="K502" s="1405"/>
      <c r="L502" s="1427"/>
      <c r="M502" s="1435"/>
      <c r="O502" s="1423"/>
      <c r="P502" s="1423"/>
      <c r="Q502" s="1423"/>
      <c r="S502" s="1423"/>
      <c r="T502" s="1423"/>
      <c r="U502" s="1423"/>
      <c r="AI502" s="1430"/>
      <c r="AJ502" s="1425"/>
      <c r="AL502" s="748"/>
    </row>
    <row r="503" spans="1:38">
      <c r="A503" s="728">
        <v>498</v>
      </c>
      <c r="B503" s="727" t="s">
        <v>2462</v>
      </c>
      <c r="C503" s="1488">
        <f t="shared" ref="C503:C508" si="30">E503/D503</f>
        <v>12</v>
      </c>
      <c r="D503" s="1430">
        <v>625</v>
      </c>
      <c r="E503" s="1488">
        <f>'1501 Summary'!AD358</f>
        <v>7500</v>
      </c>
      <c r="F503" s="1489"/>
      <c r="G503" s="1508">
        <f t="shared" ref="G503:G508" si="31">-C503</f>
        <v>-12</v>
      </c>
      <c r="H503" s="1423">
        <f t="shared" ref="H503:H508" si="32">D503</f>
        <v>625</v>
      </c>
      <c r="I503" s="1423">
        <f t="shared" ref="I503:I508" si="33">H503*G503</f>
        <v>-7500</v>
      </c>
      <c r="J503" s="1489"/>
      <c r="K503" s="1405">
        <f t="shared" ref="K503:K508" si="34">C503+G503</f>
        <v>0</v>
      </c>
      <c r="L503" s="1422">
        <f>D503</f>
        <v>625</v>
      </c>
      <c r="M503" s="1435">
        <f t="shared" ref="M503:M508" si="35">L503*K503</f>
        <v>0</v>
      </c>
      <c r="N503" s="1489"/>
      <c r="O503" s="1423"/>
      <c r="P503" s="1423"/>
      <c r="Q503" s="1423"/>
      <c r="R503" s="1489"/>
      <c r="S503" s="1423"/>
      <c r="T503" s="1423"/>
      <c r="U503" s="1423"/>
      <c r="V503" s="1489"/>
      <c r="W503" s="1489"/>
      <c r="X503" s="1489"/>
      <c r="Y503" s="1489"/>
      <c r="Z503" s="1489"/>
      <c r="AA503" s="1454"/>
      <c r="AB503" s="1454"/>
      <c r="AC503" s="1454"/>
      <c r="AD503" s="1489"/>
      <c r="AF503" s="1489"/>
      <c r="AG503" s="1489"/>
      <c r="AH503" s="1489"/>
      <c r="AI503" s="1430"/>
      <c r="AJ503" s="1425"/>
      <c r="AK503" s="1454"/>
      <c r="AL503" s="748"/>
    </row>
    <row r="504" spans="1:38">
      <c r="A504" s="728">
        <v>499</v>
      </c>
      <c r="B504" s="727" t="s">
        <v>2714</v>
      </c>
      <c r="C504" s="1488">
        <f t="shared" si="30"/>
        <v>22276174.999999996</v>
      </c>
      <c r="D504" s="1500">
        <v>4.0000000000000002E-4</v>
      </c>
      <c r="E504" s="1488">
        <f>'1501 Summary'!AD359</f>
        <v>8910.4699999999993</v>
      </c>
      <c r="F504" s="1489"/>
      <c r="G504" s="1508">
        <f t="shared" si="31"/>
        <v>-22276174.999999996</v>
      </c>
      <c r="H504" s="1423">
        <f t="shared" si="32"/>
        <v>4.0000000000000002E-4</v>
      </c>
      <c r="I504" s="1423">
        <f t="shared" si="33"/>
        <v>-8910.4699999999993</v>
      </c>
      <c r="J504" s="1489"/>
      <c r="K504" s="1405">
        <f t="shared" si="34"/>
        <v>0</v>
      </c>
      <c r="L504" s="1427">
        <f>D504</f>
        <v>4.0000000000000002E-4</v>
      </c>
      <c r="M504" s="1435">
        <f t="shared" si="35"/>
        <v>0</v>
      </c>
      <c r="N504" s="1489"/>
      <c r="O504" s="1423"/>
      <c r="P504" s="1423"/>
      <c r="Q504" s="1423"/>
      <c r="R504" s="1489"/>
      <c r="S504" s="1423"/>
      <c r="T504" s="1423"/>
      <c r="U504" s="1423"/>
      <c r="V504" s="1489"/>
      <c r="W504" s="1489"/>
      <c r="X504" s="1489"/>
      <c r="Y504" s="1489"/>
      <c r="Z504" s="1489"/>
      <c r="AA504" s="1454"/>
      <c r="AB504" s="1454"/>
      <c r="AC504" s="1454"/>
      <c r="AD504" s="1489"/>
      <c r="AF504" s="1489"/>
      <c r="AG504" s="1489"/>
      <c r="AH504" s="1489"/>
      <c r="AI504" s="1430"/>
      <c r="AJ504" s="1425"/>
      <c r="AK504" s="1454"/>
      <c r="AL504" s="748"/>
    </row>
    <row r="505" spans="1:38">
      <c r="A505" s="728">
        <v>500</v>
      </c>
      <c r="B505" s="727" t="s">
        <v>2716</v>
      </c>
      <c r="C505" s="1488">
        <f t="shared" si="30"/>
        <v>981752.95441755757</v>
      </c>
      <c r="D505" s="1361">
        <v>5.3310000000000003E-2</v>
      </c>
      <c r="E505" s="1488">
        <f>'1501 Summary'!AD360</f>
        <v>52337.25</v>
      </c>
      <c r="F505" s="1489"/>
      <c r="G505" s="1508">
        <f t="shared" si="31"/>
        <v>-981752.95441755757</v>
      </c>
      <c r="H505" s="1423">
        <f t="shared" si="32"/>
        <v>5.3310000000000003E-2</v>
      </c>
      <c r="I505" s="1423">
        <f t="shared" si="33"/>
        <v>-52337.25</v>
      </c>
      <c r="J505" s="1489"/>
      <c r="K505" s="1405">
        <f t="shared" si="34"/>
        <v>0</v>
      </c>
      <c r="L505" s="1427">
        <v>5.9889999999999999E-2</v>
      </c>
      <c r="M505" s="1435">
        <f t="shared" si="35"/>
        <v>0</v>
      </c>
      <c r="N505" s="1489"/>
      <c r="O505" s="1423"/>
      <c r="P505" s="1423"/>
      <c r="Q505" s="1423"/>
      <c r="R505" s="1489"/>
      <c r="S505" s="1423"/>
      <c r="T505" s="1423"/>
      <c r="U505" s="1423"/>
      <c r="V505" s="1489"/>
      <c r="W505" s="1489"/>
      <c r="X505" s="1489"/>
      <c r="Y505" s="1489"/>
      <c r="Z505" s="1489"/>
      <c r="AA505" s="1454"/>
      <c r="AB505" s="1454"/>
      <c r="AC505" s="1454"/>
      <c r="AD505" s="1489"/>
      <c r="AF505" s="1489"/>
      <c r="AG505" s="1489"/>
      <c r="AH505" s="1489"/>
      <c r="AI505" s="1430"/>
      <c r="AJ505" s="1425"/>
      <c r="AK505" s="1454"/>
      <c r="AL505" s="748"/>
    </row>
    <row r="506" spans="1:38">
      <c r="A506" s="728">
        <v>501</v>
      </c>
      <c r="B506" s="727" t="s">
        <v>2494</v>
      </c>
      <c r="C506" s="1488">
        <f t="shared" si="30"/>
        <v>1380094.0874035992</v>
      </c>
      <c r="D506" s="1361">
        <v>1.9449999999999999E-2</v>
      </c>
      <c r="E506" s="1488">
        <f>'1501 Summary'!AD361</f>
        <v>26842.83</v>
      </c>
      <c r="F506" s="1489"/>
      <c r="G506" s="1508">
        <f t="shared" si="31"/>
        <v>-1380094.0874035992</v>
      </c>
      <c r="H506" s="1423">
        <f t="shared" si="32"/>
        <v>1.9449999999999999E-2</v>
      </c>
      <c r="I506" s="1423">
        <f t="shared" si="33"/>
        <v>-26842.83</v>
      </c>
      <c r="J506" s="1489"/>
      <c r="K506" s="1405">
        <f t="shared" si="34"/>
        <v>0</v>
      </c>
      <c r="L506" s="1427">
        <v>2.3029999999999998E-2</v>
      </c>
      <c r="M506" s="1435">
        <f t="shared" si="35"/>
        <v>0</v>
      </c>
      <c r="N506" s="1489"/>
      <c r="O506" s="1423"/>
      <c r="P506" s="1423"/>
      <c r="Q506" s="1423"/>
      <c r="R506" s="1489"/>
      <c r="S506" s="1423"/>
      <c r="T506" s="1423"/>
      <c r="U506" s="1423"/>
      <c r="V506" s="1489"/>
      <c r="W506" s="1489"/>
      <c r="X506" s="1489"/>
      <c r="Y506" s="1489"/>
      <c r="Z506" s="1489"/>
      <c r="AA506" s="1454"/>
      <c r="AB506" s="1454"/>
      <c r="AC506" s="1454"/>
      <c r="AD506" s="1489"/>
      <c r="AF506" s="1489"/>
      <c r="AG506" s="1489"/>
      <c r="AH506" s="1489"/>
      <c r="AI506" s="1430"/>
      <c r="AJ506" s="1425"/>
      <c r="AK506" s="1454"/>
      <c r="AL506" s="748"/>
    </row>
    <row r="507" spans="1:38">
      <c r="A507" s="728">
        <v>502</v>
      </c>
      <c r="B507" s="727" t="s">
        <v>2494</v>
      </c>
      <c r="C507" s="1488">
        <f t="shared" si="30"/>
        <v>1000000</v>
      </c>
      <c r="D507" s="1361">
        <v>1.1820000000000001E-2</v>
      </c>
      <c r="E507" s="1488">
        <f>'1501 Summary'!AD362</f>
        <v>11820</v>
      </c>
      <c r="F507" s="1489"/>
      <c r="G507" s="1508">
        <f t="shared" si="31"/>
        <v>-1000000</v>
      </c>
      <c r="H507" s="1423">
        <f t="shared" si="32"/>
        <v>1.1820000000000001E-2</v>
      </c>
      <c r="I507" s="1423">
        <f t="shared" si="33"/>
        <v>-11820</v>
      </c>
      <c r="J507" s="1489"/>
      <c r="K507" s="1405">
        <f t="shared" si="34"/>
        <v>0</v>
      </c>
      <c r="L507" s="1427">
        <v>1.473E-2</v>
      </c>
      <c r="M507" s="1435">
        <f t="shared" si="35"/>
        <v>0</v>
      </c>
      <c r="N507" s="1489"/>
      <c r="O507" s="1423"/>
      <c r="P507" s="1423"/>
      <c r="Q507" s="1423"/>
      <c r="R507" s="1489"/>
      <c r="S507" s="1423"/>
      <c r="T507" s="1423"/>
      <c r="U507" s="1423"/>
      <c r="V507" s="1489"/>
      <c r="W507" s="1489"/>
      <c r="X507" s="1489"/>
      <c r="Y507" s="1489"/>
      <c r="Z507" s="1489"/>
      <c r="AA507" s="1454"/>
      <c r="AB507" s="1454"/>
      <c r="AC507" s="1454"/>
      <c r="AD507" s="1489"/>
      <c r="AF507" s="1489"/>
      <c r="AG507" s="1489"/>
      <c r="AH507" s="1489"/>
      <c r="AI507" s="1430"/>
      <c r="AJ507" s="1425"/>
      <c r="AK507" s="1454"/>
      <c r="AL507" s="748"/>
    </row>
    <row r="508" spans="1:38">
      <c r="A508" s="728">
        <v>503</v>
      </c>
      <c r="B508" s="1514" t="s">
        <v>2756</v>
      </c>
      <c r="C508" s="1488">
        <f t="shared" si="30"/>
        <v>18914325.622775801</v>
      </c>
      <c r="D508" s="1361">
        <v>5.62E-3</v>
      </c>
      <c r="E508" s="1492">
        <f>'1501 Summary'!AD363</f>
        <v>106298.51000000001</v>
      </c>
      <c r="F508" s="1489"/>
      <c r="G508" s="1508">
        <f t="shared" si="31"/>
        <v>-18914325.622775801</v>
      </c>
      <c r="H508" s="1423">
        <f t="shared" si="32"/>
        <v>5.62E-3</v>
      </c>
      <c r="I508" s="1437">
        <f t="shared" si="33"/>
        <v>-106298.51</v>
      </c>
      <c r="J508" s="1489"/>
      <c r="K508" s="1405">
        <f t="shared" si="34"/>
        <v>0</v>
      </c>
      <c r="L508" s="1427">
        <v>7.9799999999999992E-3</v>
      </c>
      <c r="M508" s="1436">
        <f t="shared" si="35"/>
        <v>0</v>
      </c>
      <c r="N508" s="1489"/>
      <c r="O508" s="1423"/>
      <c r="P508" s="1423"/>
      <c r="Q508" s="1423"/>
      <c r="R508" s="1489"/>
      <c r="S508" s="1423"/>
      <c r="T508" s="1423"/>
      <c r="U508" s="1423"/>
      <c r="V508" s="1489"/>
      <c r="W508" s="1489"/>
      <c r="X508" s="1489"/>
      <c r="Y508" s="1489"/>
      <c r="Z508" s="1489"/>
      <c r="AA508" s="1454"/>
      <c r="AB508" s="1454"/>
      <c r="AC508" s="1454"/>
      <c r="AD508" s="1489"/>
      <c r="AF508" s="1489"/>
      <c r="AG508" s="1489"/>
      <c r="AH508" s="1489"/>
      <c r="AI508" s="1430"/>
      <c r="AJ508" s="1425"/>
      <c r="AK508" s="1454"/>
      <c r="AL508" s="748"/>
    </row>
    <row r="509" spans="1:38">
      <c r="A509" s="728">
        <v>504</v>
      </c>
      <c r="B509" s="727" t="s">
        <v>2648</v>
      </c>
      <c r="E509" s="1488">
        <f>SUM(E503:E508)</f>
        <v>213709.06</v>
      </c>
      <c r="F509" s="1489"/>
      <c r="G509" s="1489"/>
      <c r="H509" s="1489"/>
      <c r="I509" s="1488">
        <f>SUM(I503:I508)</f>
        <v>-213709.06</v>
      </c>
      <c r="J509" s="1489"/>
      <c r="K509" s="1405"/>
      <c r="L509" s="1427"/>
      <c r="M509" s="1435">
        <f>SUM(M503:M508)</f>
        <v>0</v>
      </c>
      <c r="N509" s="1489"/>
      <c r="O509" s="1423"/>
      <c r="P509" s="1423"/>
      <c r="Q509" s="1423"/>
      <c r="R509" s="1489"/>
      <c r="S509" s="1423"/>
      <c r="T509" s="1423"/>
      <c r="U509" s="1423"/>
      <c r="V509" s="1489"/>
      <c r="W509" s="1489"/>
      <c r="X509" s="1489"/>
      <c r="Y509" s="1489"/>
      <c r="Z509" s="1489"/>
      <c r="AA509" s="1454"/>
      <c r="AB509" s="1454"/>
      <c r="AC509" s="1454"/>
      <c r="AD509" s="1489"/>
      <c r="AF509" s="1489"/>
      <c r="AG509" s="1489"/>
      <c r="AH509" s="1489"/>
      <c r="AI509" s="1430"/>
      <c r="AJ509" s="1425"/>
      <c r="AK509" s="1454"/>
      <c r="AL509" s="748"/>
    </row>
    <row r="510" spans="1:38">
      <c r="A510" s="728">
        <v>505</v>
      </c>
      <c r="B510" s="1443"/>
      <c r="K510" s="1405"/>
      <c r="L510" s="1427"/>
      <c r="M510" s="1435"/>
      <c r="O510" s="1423"/>
      <c r="P510" s="1423"/>
      <c r="Q510" s="1423"/>
      <c r="S510" s="1423"/>
      <c r="T510" s="1423"/>
      <c r="U510" s="1423"/>
      <c r="AI510" s="1430"/>
      <c r="AJ510" s="1425"/>
      <c r="AL510" s="748"/>
    </row>
    <row r="511" spans="1:38">
      <c r="A511" s="728">
        <v>506</v>
      </c>
      <c r="B511" s="727" t="s">
        <v>2651</v>
      </c>
      <c r="K511" s="1405"/>
      <c r="L511" s="1427"/>
      <c r="M511" s="1435"/>
      <c r="O511" s="1423"/>
      <c r="P511" s="1423"/>
      <c r="Q511" s="1423"/>
      <c r="S511" s="1423"/>
      <c r="T511" s="1423"/>
      <c r="U511" s="1423"/>
      <c r="AA511" s="727"/>
      <c r="AB511" s="727"/>
      <c r="AC511" s="727"/>
      <c r="AI511" s="1430"/>
      <c r="AJ511" s="1425"/>
      <c r="AK511" s="727"/>
      <c r="AL511" s="748"/>
    </row>
    <row r="512" spans="1:38">
      <c r="A512" s="728">
        <v>507</v>
      </c>
      <c r="B512" s="1479" t="s">
        <v>2658</v>
      </c>
      <c r="E512" s="1454">
        <f>'1501 Summary'!AD364</f>
        <v>-14050.880000000001</v>
      </c>
      <c r="F512" s="1484"/>
      <c r="G512" s="1484"/>
      <c r="H512" s="1484"/>
      <c r="I512" s="1484"/>
      <c r="J512" s="1484"/>
      <c r="K512" s="1405"/>
      <c r="L512" s="1427"/>
      <c r="M512" s="1435"/>
      <c r="N512" s="1484"/>
      <c r="O512" s="1423"/>
      <c r="P512" s="1423"/>
      <c r="Q512" s="1423"/>
      <c r="R512" s="1484"/>
      <c r="S512" s="1423"/>
      <c r="T512" s="1423"/>
      <c r="U512" s="1423"/>
      <c r="V512" s="1484"/>
      <c r="W512" s="1484"/>
      <c r="X512" s="1484"/>
      <c r="Y512" s="1484"/>
      <c r="Z512" s="1484"/>
      <c r="AA512" s="1479"/>
      <c r="AB512" s="1479"/>
      <c r="AC512" s="1479"/>
      <c r="AD512" s="1484"/>
      <c r="AF512" s="1484"/>
      <c r="AG512" s="1484"/>
      <c r="AH512" s="1484"/>
      <c r="AI512" s="1430"/>
      <c r="AJ512" s="1425"/>
      <c r="AK512" s="1480"/>
      <c r="AL512" s="748"/>
    </row>
    <row r="513" spans="1:38">
      <c r="A513" s="728">
        <v>508</v>
      </c>
      <c r="B513" s="1479" t="s">
        <v>2659</v>
      </c>
      <c r="E513" s="1454">
        <f>'1501 Summary'!AD365</f>
        <v>-6453.96</v>
      </c>
      <c r="F513" s="1484"/>
      <c r="G513" s="1484"/>
      <c r="H513" s="1484"/>
      <c r="I513" s="1484"/>
      <c r="J513" s="1484"/>
      <c r="K513" s="1405"/>
      <c r="L513" s="1427"/>
      <c r="M513" s="1435"/>
      <c r="N513" s="1484"/>
      <c r="O513" s="1423"/>
      <c r="P513" s="1423"/>
      <c r="Q513" s="1423"/>
      <c r="R513" s="1484"/>
      <c r="S513" s="1423"/>
      <c r="T513" s="1423"/>
      <c r="U513" s="1423"/>
      <c r="V513" s="1484"/>
      <c r="W513" s="1484"/>
      <c r="X513" s="1484"/>
      <c r="Y513" s="1484"/>
      <c r="Z513" s="1484"/>
      <c r="AA513" s="1479"/>
      <c r="AB513" s="1479"/>
      <c r="AC513" s="1479"/>
      <c r="AD513" s="1484"/>
      <c r="AF513" s="1484"/>
      <c r="AG513" s="1484"/>
      <c r="AH513" s="1484"/>
      <c r="AI513" s="1430"/>
      <c r="AJ513" s="1425"/>
      <c r="AK513" s="1480"/>
      <c r="AL513" s="748"/>
    </row>
    <row r="514" spans="1:38">
      <c r="A514" s="728">
        <v>509</v>
      </c>
      <c r="B514" s="1479" t="s">
        <v>2660</v>
      </c>
      <c r="E514" s="1454">
        <f>'1501 Summary'!AD366</f>
        <v>-11915.06</v>
      </c>
      <c r="F514" s="1484"/>
      <c r="G514" s="1484"/>
      <c r="H514" s="1484"/>
      <c r="I514" s="1484"/>
      <c r="J514" s="1484"/>
      <c r="K514" s="1405"/>
      <c r="L514" s="1427"/>
      <c r="M514" s="1435"/>
      <c r="N514" s="1484"/>
      <c r="O514" s="1423"/>
      <c r="P514" s="1423"/>
      <c r="Q514" s="1423"/>
      <c r="R514" s="1484"/>
      <c r="S514" s="1423"/>
      <c r="T514" s="1423"/>
      <c r="U514" s="1423"/>
      <c r="V514" s="1484"/>
      <c r="W514" s="1484"/>
      <c r="X514" s="1484"/>
      <c r="Y514" s="1484"/>
      <c r="Z514" s="1484"/>
      <c r="AA514" s="1479"/>
      <c r="AB514" s="1479"/>
      <c r="AC514" s="1479"/>
      <c r="AD514" s="1484"/>
      <c r="AF514" s="1484"/>
      <c r="AG514" s="1484"/>
      <c r="AH514" s="1484"/>
      <c r="AI514" s="1430"/>
      <c r="AJ514" s="1425"/>
      <c r="AK514" s="1480"/>
      <c r="AL514" s="748"/>
    </row>
    <row r="515" spans="1:38">
      <c r="A515" s="728">
        <v>510</v>
      </c>
      <c r="B515" s="1421" t="s">
        <v>2653</v>
      </c>
      <c r="C515" s="1443"/>
      <c r="E515" s="1454">
        <f>'1501 Summary'!AD367</f>
        <v>6903.52</v>
      </c>
      <c r="F515" s="1484"/>
      <c r="G515" s="1484"/>
      <c r="H515" s="1484"/>
      <c r="I515" s="1484"/>
      <c r="J515" s="1484"/>
      <c r="K515" s="1405"/>
      <c r="L515" s="1427"/>
      <c r="M515" s="1435"/>
      <c r="N515" s="1484"/>
      <c r="O515" s="1423"/>
      <c r="P515" s="1423"/>
      <c r="Q515" s="1423"/>
      <c r="R515" s="1484"/>
      <c r="S515" s="1423"/>
      <c r="T515" s="1423"/>
      <c r="U515" s="1423"/>
      <c r="V515" s="1484"/>
      <c r="W515" s="1484"/>
      <c r="X515" s="1484"/>
      <c r="Y515" s="1484"/>
      <c r="Z515" s="1484"/>
      <c r="AA515" s="727"/>
      <c r="AB515" s="727"/>
      <c r="AC515" s="727"/>
      <c r="AD515" s="1484"/>
      <c r="AF515" s="1484"/>
      <c r="AG515" s="1484"/>
      <c r="AH515" s="1484"/>
      <c r="AI515" s="1430"/>
      <c r="AJ515" s="1425"/>
      <c r="AK515" s="727"/>
      <c r="AL515" s="748"/>
    </row>
    <row r="516" spans="1:38">
      <c r="A516" s="728">
        <v>511</v>
      </c>
      <c r="B516" s="1421" t="s">
        <v>2654</v>
      </c>
      <c r="C516" s="1443"/>
      <c r="E516" s="1454">
        <f>'1501 Summary'!AD368</f>
        <v>38098.6</v>
      </c>
      <c r="F516" s="1484"/>
      <c r="G516" s="1484"/>
      <c r="H516" s="1484"/>
      <c r="I516" s="1484"/>
      <c r="J516" s="1484"/>
      <c r="K516" s="1405"/>
      <c r="L516" s="1427"/>
      <c r="M516" s="1435"/>
      <c r="N516" s="1484"/>
      <c r="O516" s="1423"/>
      <c r="P516" s="1423"/>
      <c r="Q516" s="1423"/>
      <c r="R516" s="1484"/>
      <c r="S516" s="1423"/>
      <c r="T516" s="1423"/>
      <c r="U516" s="1423"/>
      <c r="V516" s="1484"/>
      <c r="W516" s="1484"/>
      <c r="X516" s="1484"/>
      <c r="Y516" s="1484"/>
      <c r="Z516" s="1484"/>
      <c r="AA516" s="727"/>
      <c r="AB516" s="727"/>
      <c r="AC516" s="727"/>
      <c r="AD516" s="1484"/>
      <c r="AF516" s="1484"/>
      <c r="AG516" s="1484"/>
      <c r="AH516" s="1484"/>
      <c r="AI516" s="1430"/>
      <c r="AJ516" s="1425"/>
      <c r="AK516" s="727"/>
      <c r="AL516" s="748"/>
    </row>
    <row r="517" spans="1:38">
      <c r="A517" s="728">
        <v>512</v>
      </c>
      <c r="B517" s="1421" t="s">
        <v>2757</v>
      </c>
      <c r="C517" s="1443"/>
      <c r="E517" s="1454">
        <f>'1501 Summary'!AD369</f>
        <v>-45745.35</v>
      </c>
      <c r="F517" s="1484"/>
      <c r="G517" s="1484"/>
      <c r="H517" s="1484"/>
      <c r="I517" s="1484"/>
      <c r="J517" s="1484"/>
      <c r="K517" s="1405"/>
      <c r="L517" s="1427"/>
      <c r="M517" s="1435"/>
      <c r="N517" s="1484"/>
      <c r="O517" s="1423"/>
      <c r="P517" s="1423"/>
      <c r="Q517" s="1423"/>
      <c r="R517" s="1484"/>
      <c r="S517" s="1423"/>
      <c r="T517" s="1423"/>
      <c r="U517" s="1423"/>
      <c r="V517" s="1484"/>
      <c r="W517" s="1484"/>
      <c r="X517" s="1484"/>
      <c r="Y517" s="1484"/>
      <c r="Z517" s="1484"/>
      <c r="AA517" s="727"/>
      <c r="AB517" s="727"/>
      <c r="AC517" s="727"/>
      <c r="AD517" s="1484"/>
      <c r="AF517" s="1484"/>
      <c r="AG517" s="1484"/>
      <c r="AH517" s="1484"/>
      <c r="AI517" s="1430"/>
      <c r="AJ517" s="1425"/>
      <c r="AK517" s="727"/>
      <c r="AL517" s="748"/>
    </row>
    <row r="518" spans="1:38">
      <c r="A518" s="728">
        <v>513</v>
      </c>
      <c r="B518" s="1421" t="s">
        <v>2758</v>
      </c>
      <c r="C518" s="1443"/>
      <c r="E518" s="1454">
        <f>'1501 Summary'!AD370</f>
        <v>-22166.370000000003</v>
      </c>
      <c r="F518" s="1484"/>
      <c r="G518" s="1484"/>
      <c r="H518" s="1484"/>
      <c r="I518" s="1484"/>
      <c r="J518" s="1484"/>
      <c r="K518" s="1405"/>
      <c r="L518" s="1427"/>
      <c r="M518" s="1435"/>
      <c r="N518" s="1484"/>
      <c r="O518" s="1423"/>
      <c r="P518" s="1423"/>
      <c r="Q518" s="1423"/>
      <c r="R518" s="1484"/>
      <c r="S518" s="1423"/>
      <c r="T518" s="1423"/>
      <c r="U518" s="1423"/>
      <c r="V518" s="1484"/>
      <c r="W518" s="1484"/>
      <c r="X518" s="1484"/>
      <c r="Y518" s="1484"/>
      <c r="Z518" s="1484"/>
      <c r="AA518" s="727"/>
      <c r="AB518" s="727"/>
      <c r="AC518" s="727"/>
      <c r="AD518" s="1484"/>
      <c r="AF518" s="1484"/>
      <c r="AG518" s="1484"/>
      <c r="AH518" s="1484"/>
      <c r="AI518" s="1430"/>
      <c r="AJ518" s="1425"/>
      <c r="AK518" s="727"/>
      <c r="AL518" s="748"/>
    </row>
    <row r="519" spans="1:38">
      <c r="A519" s="728">
        <v>514</v>
      </c>
      <c r="B519" s="1421" t="s">
        <v>2758</v>
      </c>
      <c r="C519" s="1443"/>
      <c r="E519" s="1454">
        <f>'1501 Summary'!AD371</f>
        <v>-8410</v>
      </c>
      <c r="F519" s="1484"/>
      <c r="G519" s="1484"/>
      <c r="H519" s="1484"/>
      <c r="I519" s="1484"/>
      <c r="J519" s="1484"/>
      <c r="K519" s="1405"/>
      <c r="L519" s="1427"/>
      <c r="M519" s="1435"/>
      <c r="N519" s="1484"/>
      <c r="O519" s="1423"/>
      <c r="P519" s="1423"/>
      <c r="Q519" s="1423"/>
      <c r="R519" s="1484"/>
      <c r="S519" s="1423"/>
      <c r="T519" s="1423"/>
      <c r="U519" s="1423"/>
      <c r="V519" s="1484"/>
      <c r="W519" s="1484"/>
      <c r="X519" s="1484"/>
      <c r="Y519" s="1484"/>
      <c r="Z519" s="1484"/>
      <c r="AA519" s="727"/>
      <c r="AB519" s="727"/>
      <c r="AC519" s="727"/>
      <c r="AD519" s="1484"/>
      <c r="AF519" s="1484"/>
      <c r="AG519" s="1484"/>
      <c r="AH519" s="1484"/>
      <c r="AI519" s="1430"/>
      <c r="AJ519" s="1425"/>
      <c r="AK519" s="727"/>
      <c r="AL519" s="748"/>
    </row>
    <row r="520" spans="1:38">
      <c r="A520" s="728">
        <v>515</v>
      </c>
      <c r="B520" s="1421" t="s">
        <v>2759</v>
      </c>
      <c r="C520" s="1443"/>
      <c r="E520" s="1454">
        <f>'1501 Summary'!AD372</f>
        <v>-4125</v>
      </c>
      <c r="F520" s="1484"/>
      <c r="G520" s="1484"/>
      <c r="H520" s="1484"/>
      <c r="I520" s="1484"/>
      <c r="J520" s="1484"/>
      <c r="K520" s="1405"/>
      <c r="L520" s="1427"/>
      <c r="M520" s="1435"/>
      <c r="N520" s="1484"/>
      <c r="O520" s="1423"/>
      <c r="P520" s="1423"/>
      <c r="Q520" s="1423"/>
      <c r="R520" s="1484"/>
      <c r="S520" s="1423"/>
      <c r="T520" s="1423"/>
      <c r="U520" s="1423"/>
      <c r="V520" s="1484"/>
      <c r="W520" s="1484"/>
      <c r="X520" s="1484"/>
      <c r="Y520" s="1484"/>
      <c r="Z520" s="1484"/>
      <c r="AA520" s="727"/>
      <c r="AB520" s="727"/>
      <c r="AC520" s="727"/>
      <c r="AD520" s="1484"/>
      <c r="AF520" s="1484"/>
      <c r="AG520" s="1484"/>
      <c r="AH520" s="1484"/>
      <c r="AI520" s="1430"/>
      <c r="AJ520" s="1425"/>
      <c r="AK520" s="727"/>
      <c r="AL520" s="748"/>
    </row>
    <row r="521" spans="1:38">
      <c r="A521" s="728">
        <v>516</v>
      </c>
      <c r="B521" s="1421" t="s">
        <v>2760</v>
      </c>
      <c r="C521" s="1443"/>
      <c r="E521" s="1454">
        <f>'1501 Summary'!AD373</f>
        <v>-9658.26</v>
      </c>
      <c r="F521" s="1484"/>
      <c r="G521" s="1484"/>
      <c r="H521" s="1484"/>
      <c r="I521" s="1484"/>
      <c r="J521" s="1484"/>
      <c r="K521" s="1405"/>
      <c r="L521" s="1427"/>
      <c r="M521" s="1435"/>
      <c r="N521" s="1484"/>
      <c r="O521" s="1423"/>
      <c r="P521" s="1423"/>
      <c r="Q521" s="1423"/>
      <c r="R521" s="1484"/>
      <c r="S521" s="1423"/>
      <c r="T521" s="1423"/>
      <c r="U521" s="1423"/>
      <c r="V521" s="1484"/>
      <c r="W521" s="1484"/>
      <c r="X521" s="1484"/>
      <c r="Y521" s="1484"/>
      <c r="Z521" s="1484"/>
      <c r="AA521" s="727"/>
      <c r="AB521" s="727"/>
      <c r="AC521" s="727"/>
      <c r="AD521" s="1484"/>
      <c r="AF521" s="1484"/>
      <c r="AG521" s="1484"/>
      <c r="AH521" s="1484"/>
      <c r="AI521" s="1430"/>
      <c r="AJ521" s="1425"/>
      <c r="AK521" s="727"/>
      <c r="AL521" s="748"/>
    </row>
    <row r="522" spans="1:38">
      <c r="A522" s="728">
        <v>517</v>
      </c>
      <c r="B522" s="1421" t="s">
        <v>2761</v>
      </c>
      <c r="C522" s="1443"/>
      <c r="E522" s="1454">
        <f>'1501 Summary'!AD374</f>
        <v>-6358.02</v>
      </c>
      <c r="F522" s="1484"/>
      <c r="G522" s="1484"/>
      <c r="H522" s="1484"/>
      <c r="I522" s="1484"/>
      <c r="J522" s="1484"/>
      <c r="K522" s="1405"/>
      <c r="L522" s="1427"/>
      <c r="M522" s="1435"/>
      <c r="N522" s="1484"/>
      <c r="O522" s="1423"/>
      <c r="P522" s="1423"/>
      <c r="Q522" s="1423"/>
      <c r="R522" s="1484"/>
      <c r="S522" s="1423"/>
      <c r="T522" s="1423"/>
      <c r="U522" s="1423"/>
      <c r="V522" s="1484"/>
      <c r="W522" s="1484"/>
      <c r="X522" s="1484"/>
      <c r="Y522" s="1484"/>
      <c r="Z522" s="1484"/>
      <c r="AA522" s="727"/>
      <c r="AB522" s="727"/>
      <c r="AC522" s="727"/>
      <c r="AD522" s="1484"/>
      <c r="AF522" s="1484"/>
      <c r="AG522" s="1484"/>
      <c r="AH522" s="1484"/>
      <c r="AI522" s="1430"/>
      <c r="AJ522" s="1425"/>
      <c r="AK522" s="727"/>
      <c r="AL522" s="748"/>
    </row>
    <row r="523" spans="1:38">
      <c r="A523" s="728">
        <v>518</v>
      </c>
      <c r="B523" s="1462" t="s">
        <v>2762</v>
      </c>
      <c r="C523" s="1463"/>
      <c r="E523" s="1454">
        <f>'1501 Summary'!AD375</f>
        <v>-53643.950000000004</v>
      </c>
      <c r="F523" s="1484"/>
      <c r="G523" s="1484"/>
      <c r="H523" s="1484"/>
      <c r="I523" s="1484"/>
      <c r="J523" s="1484"/>
      <c r="K523" s="1405"/>
      <c r="L523" s="1427"/>
      <c r="M523" s="1435"/>
      <c r="N523" s="1484"/>
      <c r="O523" s="1423"/>
      <c r="P523" s="1423"/>
      <c r="Q523" s="1423"/>
      <c r="R523" s="1484"/>
      <c r="S523" s="1423"/>
      <c r="T523" s="1423"/>
      <c r="U523" s="1423"/>
      <c r="V523" s="1484"/>
      <c r="W523" s="1484"/>
      <c r="X523" s="1484"/>
      <c r="Y523" s="1484"/>
      <c r="Z523" s="1484"/>
      <c r="AA523" s="727"/>
      <c r="AB523" s="727"/>
      <c r="AC523" s="727"/>
      <c r="AD523" s="1484"/>
      <c r="AF523" s="1484"/>
      <c r="AG523" s="1484"/>
      <c r="AH523" s="1484"/>
      <c r="AI523" s="1430"/>
      <c r="AJ523" s="1425"/>
      <c r="AK523" s="727"/>
      <c r="AL523" s="748"/>
    </row>
    <row r="524" spans="1:38">
      <c r="A524" s="728">
        <v>519</v>
      </c>
      <c r="B524" s="1421" t="s">
        <v>2763</v>
      </c>
      <c r="C524" s="1443"/>
      <c r="E524" s="1454">
        <f>'1501 Summary'!AD376</f>
        <v>1445820</v>
      </c>
      <c r="F524" s="1484"/>
      <c r="G524" s="1484"/>
      <c r="H524" s="1484"/>
      <c r="I524" s="1484"/>
      <c r="J524" s="1484"/>
      <c r="K524" s="1405"/>
      <c r="L524" s="1427"/>
      <c r="M524" s="1435"/>
      <c r="N524" s="1484"/>
      <c r="O524" s="1423"/>
      <c r="P524" s="1423"/>
      <c r="Q524" s="1423"/>
      <c r="R524" s="1484"/>
      <c r="S524" s="1423"/>
      <c r="T524" s="1423"/>
      <c r="U524" s="1423"/>
      <c r="V524" s="1484"/>
      <c r="W524" s="1484"/>
      <c r="X524" s="1484"/>
      <c r="Y524" s="1484"/>
      <c r="Z524" s="1484"/>
      <c r="AA524" s="727"/>
      <c r="AB524" s="727"/>
      <c r="AC524" s="727"/>
      <c r="AD524" s="1484"/>
      <c r="AF524" s="1484"/>
      <c r="AG524" s="1484"/>
      <c r="AH524" s="1484"/>
      <c r="AI524" s="1430"/>
      <c r="AJ524" s="1425"/>
      <c r="AK524" s="727"/>
      <c r="AL524" s="748"/>
    </row>
    <row r="525" spans="1:38">
      <c r="A525" s="728">
        <v>520</v>
      </c>
      <c r="B525" s="1421" t="s">
        <v>2764</v>
      </c>
      <c r="C525" s="1443"/>
      <c r="E525" s="1454">
        <f>'1501 Summary'!AD377</f>
        <v>-16195.589999999998</v>
      </c>
      <c r="F525" s="1484"/>
      <c r="G525" s="1484"/>
      <c r="H525" s="1484"/>
      <c r="I525" s="1484"/>
      <c r="J525" s="1484"/>
      <c r="K525" s="1405"/>
      <c r="L525" s="1427"/>
      <c r="M525" s="1435"/>
      <c r="N525" s="1484"/>
      <c r="O525" s="1423"/>
      <c r="P525" s="1423"/>
      <c r="Q525" s="1423"/>
      <c r="R525" s="1484"/>
      <c r="S525" s="1423"/>
      <c r="T525" s="1423"/>
      <c r="U525" s="1423"/>
      <c r="V525" s="1484"/>
      <c r="W525" s="1484"/>
      <c r="X525" s="1484"/>
      <c r="Y525" s="1484"/>
      <c r="Z525" s="1484"/>
      <c r="AA525" s="727"/>
      <c r="AB525" s="727"/>
      <c r="AC525" s="727"/>
      <c r="AD525" s="1484"/>
      <c r="AF525" s="1484"/>
      <c r="AG525" s="1484"/>
      <c r="AH525" s="1484"/>
      <c r="AI525" s="1430"/>
      <c r="AJ525" s="1425"/>
      <c r="AK525" s="727"/>
      <c r="AL525" s="748"/>
    </row>
    <row r="526" spans="1:38">
      <c r="A526" s="728">
        <v>521</v>
      </c>
      <c r="B526" s="1421" t="s">
        <v>2719</v>
      </c>
      <c r="C526" s="1443"/>
      <c r="E526" s="1454">
        <f>'1501 Summary'!AD378</f>
        <v>66164.850000000006</v>
      </c>
      <c r="F526" s="1484"/>
      <c r="G526" s="1484"/>
      <c r="H526" s="1484"/>
      <c r="I526" s="1484"/>
      <c r="J526" s="1484"/>
      <c r="K526" s="1405"/>
      <c r="L526" s="1427"/>
      <c r="M526" s="1435"/>
      <c r="N526" s="1484"/>
      <c r="O526" s="1423"/>
      <c r="P526" s="1423"/>
      <c r="Q526" s="1423"/>
      <c r="R526" s="1484"/>
      <c r="S526" s="1423"/>
      <c r="T526" s="1423"/>
      <c r="U526" s="1423"/>
      <c r="V526" s="1484"/>
      <c r="W526" s="1484"/>
      <c r="X526" s="1484"/>
      <c r="Y526" s="1484"/>
      <c r="Z526" s="1484"/>
      <c r="AA526" s="727"/>
      <c r="AB526" s="727"/>
      <c r="AC526" s="727"/>
      <c r="AD526" s="1484"/>
      <c r="AF526" s="1484"/>
      <c r="AG526" s="1484"/>
      <c r="AH526" s="1484"/>
      <c r="AI526" s="1430"/>
      <c r="AJ526" s="1425"/>
      <c r="AK526" s="727"/>
      <c r="AL526" s="748"/>
    </row>
    <row r="527" spans="1:38">
      <c r="A527" s="728">
        <v>522</v>
      </c>
      <c r="B527" s="1482" t="s">
        <v>2697</v>
      </c>
      <c r="C527" s="1443"/>
      <c r="E527" s="1435">
        <f>'Revenue Reconcilliation'!Q360</f>
        <v>-1565070.0700000003</v>
      </c>
      <c r="F527" s="1449"/>
      <c r="G527" s="1449"/>
      <c r="H527" s="1449"/>
      <c r="I527" s="1449"/>
      <c r="J527" s="1449"/>
      <c r="K527" s="1405"/>
      <c r="L527" s="1427"/>
      <c r="M527" s="1435"/>
      <c r="N527" s="1449"/>
      <c r="O527" s="1423"/>
      <c r="P527" s="1423"/>
      <c r="Q527" s="1423"/>
      <c r="R527" s="1449"/>
      <c r="S527" s="1423"/>
      <c r="T527" s="1423"/>
      <c r="U527" s="1423"/>
      <c r="V527" s="1449"/>
      <c r="W527" s="1449"/>
      <c r="X527" s="1449"/>
      <c r="Y527" s="1449"/>
      <c r="Z527" s="1449"/>
      <c r="AA527" s="727"/>
      <c r="AB527" s="727"/>
      <c r="AC527" s="727"/>
      <c r="AD527" s="1449"/>
      <c r="AF527" s="1449"/>
      <c r="AG527" s="1449"/>
      <c r="AH527" s="1449"/>
      <c r="AI527" s="1430"/>
      <c r="AJ527" s="1425"/>
      <c r="AK527" s="727"/>
      <c r="AL527" s="748"/>
    </row>
    <row r="528" spans="1:38">
      <c r="A528" s="728">
        <v>523</v>
      </c>
      <c r="B528" s="1482" t="s">
        <v>2698</v>
      </c>
      <c r="C528" s="1443"/>
      <c r="E528" s="1435">
        <f>'Revenue Reconcilliation'!Q361</f>
        <v>1565178.5200000005</v>
      </c>
      <c r="F528" s="1449"/>
      <c r="G528" s="1449"/>
      <c r="H528" s="1449"/>
      <c r="I528" s="1449"/>
      <c r="J528" s="1449"/>
      <c r="K528" s="1405"/>
      <c r="L528" s="1427"/>
      <c r="M528" s="1435"/>
      <c r="N528" s="1449"/>
      <c r="O528" s="1423"/>
      <c r="P528" s="1423"/>
      <c r="Q528" s="1423"/>
      <c r="R528" s="1449"/>
      <c r="S528" s="1423"/>
      <c r="T528" s="1423"/>
      <c r="U528" s="1423"/>
      <c r="V528" s="1449"/>
      <c r="W528" s="1449"/>
      <c r="X528" s="1449"/>
      <c r="Y528" s="1449"/>
      <c r="Z528" s="1449"/>
      <c r="AA528" s="727"/>
      <c r="AB528" s="727"/>
      <c r="AC528" s="727"/>
      <c r="AD528" s="1449"/>
      <c r="AF528" s="1449"/>
      <c r="AG528" s="1449"/>
      <c r="AH528" s="1449"/>
      <c r="AI528" s="1430"/>
      <c r="AJ528" s="1425"/>
      <c r="AK528" s="727"/>
      <c r="AL528" s="748"/>
    </row>
    <row r="529" spans="1:38">
      <c r="A529" s="728">
        <v>524</v>
      </c>
      <c r="B529" s="1443" t="s">
        <v>2678</v>
      </c>
      <c r="C529" s="727"/>
      <c r="E529" s="1454">
        <f>SUM(E512:E528)</f>
        <v>1358372.9800000002</v>
      </c>
      <c r="F529" s="1484"/>
      <c r="G529" s="1484"/>
      <c r="H529" s="1484"/>
      <c r="I529" s="1484"/>
      <c r="J529" s="1484"/>
      <c r="K529" s="1405"/>
      <c r="L529" s="1427"/>
      <c r="M529" s="1435"/>
      <c r="N529" s="1484"/>
      <c r="O529" s="1423"/>
      <c r="P529" s="1423"/>
      <c r="Q529" s="1423"/>
      <c r="R529" s="1484"/>
      <c r="S529" s="1423"/>
      <c r="T529" s="1423"/>
      <c r="U529" s="1423"/>
      <c r="V529" s="1484"/>
      <c r="W529" s="1484"/>
      <c r="X529" s="1484"/>
      <c r="Y529" s="1484"/>
      <c r="Z529" s="1484"/>
      <c r="AA529" s="727"/>
      <c r="AB529" s="727"/>
      <c r="AC529" s="727"/>
      <c r="AD529" s="1484"/>
      <c r="AF529" s="1484"/>
      <c r="AG529" s="1484"/>
      <c r="AH529" s="1484"/>
      <c r="AI529" s="1430"/>
      <c r="AJ529" s="1425"/>
      <c r="AK529" s="727"/>
      <c r="AL529" s="748"/>
    </row>
    <row r="530" spans="1:38">
      <c r="A530" s="728">
        <v>525</v>
      </c>
      <c r="B530" s="1443"/>
      <c r="C530" s="727"/>
      <c r="E530" s="1435"/>
      <c r="F530" s="1484"/>
      <c r="G530" s="1484"/>
      <c r="H530" s="1484"/>
      <c r="I530" s="1484"/>
      <c r="J530" s="1484"/>
      <c r="K530" s="1405"/>
      <c r="L530" s="1427"/>
      <c r="M530" s="1435"/>
      <c r="N530" s="1484"/>
      <c r="O530" s="1423"/>
      <c r="P530" s="1423"/>
      <c r="Q530" s="1423"/>
      <c r="R530" s="1484"/>
      <c r="S530" s="1423"/>
      <c r="T530" s="1423"/>
      <c r="U530" s="1423"/>
      <c r="V530" s="1484"/>
      <c r="W530" s="1484"/>
      <c r="X530" s="1484"/>
      <c r="Y530" s="1484"/>
      <c r="Z530" s="1484"/>
      <c r="AA530" s="727"/>
      <c r="AB530" s="727"/>
      <c r="AC530" s="727"/>
      <c r="AD530" s="1484"/>
      <c r="AF530" s="1484"/>
      <c r="AG530" s="1484"/>
      <c r="AH530" s="1484"/>
      <c r="AI530" s="1430"/>
      <c r="AJ530" s="1425"/>
      <c r="AK530" s="727"/>
      <c r="AL530" s="748"/>
    </row>
    <row r="531" spans="1:38">
      <c r="A531" s="728">
        <v>526</v>
      </c>
      <c r="B531" s="1444" t="s">
        <v>2765</v>
      </c>
      <c r="C531" s="1515">
        <f>E531-'Revenue Reconcilliation'!Q362</f>
        <v>0</v>
      </c>
      <c r="D531" s="1445" t="s">
        <v>2673</v>
      </c>
      <c r="E531" s="1436">
        <f>SUM(E509,E529)</f>
        <v>1572082.0400000003</v>
      </c>
      <c r="F531" s="1516"/>
      <c r="G531" s="1516"/>
      <c r="H531" s="1516"/>
      <c r="I531" s="1516"/>
      <c r="J531" s="1516"/>
      <c r="K531" s="1447"/>
      <c r="L531" s="1446"/>
      <c r="M531" s="1436"/>
      <c r="N531" s="1516"/>
      <c r="O531" s="1423"/>
      <c r="P531" s="1423"/>
      <c r="Q531" s="1423"/>
      <c r="R531" s="1516"/>
      <c r="S531" s="1423"/>
      <c r="T531" s="1423"/>
      <c r="U531" s="1423"/>
      <c r="V531" s="1489"/>
      <c r="W531" s="1489"/>
      <c r="X531" s="1489"/>
      <c r="Y531" s="1489"/>
      <c r="Z531" s="1489"/>
      <c r="AA531" s="727"/>
      <c r="AB531" s="727"/>
      <c r="AC531" s="727"/>
      <c r="AD531" s="1489"/>
      <c r="AF531" s="1489"/>
      <c r="AG531" s="1489"/>
      <c r="AH531" s="1489"/>
      <c r="AI531" s="1430"/>
      <c r="AJ531" s="1425"/>
      <c r="AK531" s="727"/>
      <c r="AL531" s="748"/>
    </row>
    <row r="532" spans="1:38">
      <c r="A532" s="728">
        <v>527</v>
      </c>
      <c r="K532" s="1405"/>
      <c r="L532" s="1427"/>
      <c r="M532" s="1435"/>
      <c r="O532" s="1423"/>
      <c r="P532" s="1423"/>
      <c r="Q532" s="1423"/>
      <c r="S532" s="1423"/>
      <c r="T532" s="1423"/>
      <c r="U532" s="1423"/>
      <c r="AA532" s="727"/>
      <c r="AB532" s="727"/>
      <c r="AC532" s="727"/>
      <c r="AI532" s="1430"/>
      <c r="AJ532" s="1425"/>
      <c r="AK532" s="727"/>
      <c r="AL532" s="748"/>
    </row>
    <row r="533" spans="1:38">
      <c r="A533" s="728">
        <v>528</v>
      </c>
      <c r="B533" s="1420" t="s">
        <v>2766</v>
      </c>
      <c r="K533" s="1405"/>
      <c r="L533" s="1427"/>
      <c r="M533" s="1435"/>
      <c r="O533" s="1423"/>
      <c r="P533" s="1423"/>
      <c r="Q533" s="1423"/>
      <c r="S533" s="1423"/>
      <c r="T533" s="1423"/>
      <c r="U533" s="1423"/>
      <c r="AI533" s="1430"/>
      <c r="AJ533" s="1425"/>
      <c r="AL533" s="748"/>
    </row>
    <row r="534" spans="1:38">
      <c r="A534" s="728">
        <v>529</v>
      </c>
      <c r="B534" s="1442" t="s">
        <v>2724</v>
      </c>
      <c r="C534" s="1434">
        <f t="shared" ref="C534:C540" si="36">E534/D534</f>
        <v>12</v>
      </c>
      <c r="D534" s="1430">
        <v>625</v>
      </c>
      <c r="E534" s="1425">
        <f>'1501 Summary'!AD385</f>
        <v>7500</v>
      </c>
      <c r="F534" s="1489"/>
      <c r="G534" s="1489"/>
      <c r="H534" s="1489"/>
      <c r="I534" s="1489"/>
      <c r="J534" s="1489"/>
      <c r="K534" s="1405">
        <f>C534+G534</f>
        <v>12</v>
      </c>
      <c r="L534" s="1422">
        <f>D534</f>
        <v>625</v>
      </c>
      <c r="M534" s="1435">
        <f>L534*K534</f>
        <v>7500</v>
      </c>
      <c r="N534" s="1489"/>
      <c r="O534" s="1424"/>
      <c r="P534" s="1484"/>
      <c r="Q534" s="1423"/>
      <c r="R534" s="1489"/>
      <c r="S534" s="1424"/>
      <c r="T534" s="1484"/>
      <c r="U534" s="1423"/>
      <c r="V534" s="1489"/>
      <c r="W534" s="1489"/>
      <c r="X534" s="1489"/>
      <c r="Y534" s="1489"/>
      <c r="Z534" s="1489"/>
      <c r="AA534" s="1425"/>
      <c r="AB534" s="1425"/>
      <c r="AC534" s="1425"/>
      <c r="AD534" s="1489"/>
      <c r="AF534" s="1489"/>
      <c r="AG534" s="1489"/>
      <c r="AH534" s="1489"/>
      <c r="AI534" s="1430"/>
      <c r="AJ534" s="1425"/>
      <c r="AK534" s="1425"/>
      <c r="AL534" s="748"/>
    </row>
    <row r="535" spans="1:38">
      <c r="A535" s="728">
        <v>530</v>
      </c>
      <c r="B535" s="1442" t="s">
        <v>2767</v>
      </c>
      <c r="C535" s="1434">
        <f t="shared" si="36"/>
        <v>12.039999296475147</v>
      </c>
      <c r="D535" s="1517">
        <v>20468.36</v>
      </c>
      <c r="E535" s="1425">
        <f>'1501 Summary'!AD386</f>
        <v>246439.04000000004</v>
      </c>
      <c r="F535" s="1489"/>
      <c r="G535" s="1489"/>
      <c r="H535" s="1489"/>
      <c r="I535" s="1489"/>
      <c r="J535" s="1489"/>
      <c r="K535" s="1405">
        <f>C535+G535</f>
        <v>12.039999296475147</v>
      </c>
      <c r="L535" s="1422">
        <f>D535</f>
        <v>20468.36</v>
      </c>
      <c r="M535" s="1435">
        <f>L535*K535</f>
        <v>246439.04000000004</v>
      </c>
      <c r="N535" s="1489"/>
      <c r="O535" s="1424"/>
      <c r="P535" s="1484"/>
      <c r="Q535" s="1423"/>
      <c r="R535" s="1489"/>
      <c r="S535" s="1424"/>
      <c r="T535" s="1484"/>
      <c r="U535" s="1423"/>
      <c r="V535" s="1489"/>
      <c r="W535" s="1489"/>
      <c r="X535" s="1489"/>
      <c r="Y535" s="1489"/>
      <c r="Z535" s="1489"/>
      <c r="AA535" s="1425"/>
      <c r="AB535" s="1425"/>
      <c r="AC535" s="1425"/>
      <c r="AD535" s="1489"/>
      <c r="AF535" s="1489"/>
      <c r="AG535" s="1489"/>
      <c r="AH535" s="1489"/>
      <c r="AI535" s="1430"/>
      <c r="AJ535" s="1425"/>
      <c r="AK535" s="1425"/>
      <c r="AL535" s="748"/>
    </row>
    <row r="536" spans="1:38">
      <c r="A536" s="728">
        <v>531</v>
      </c>
      <c r="B536" s="1442" t="s">
        <v>2713</v>
      </c>
      <c r="C536" s="1434">
        <v>0</v>
      </c>
      <c r="D536" s="1500">
        <v>0</v>
      </c>
      <c r="E536" s="1425">
        <f>'1501 Summary'!AD387</f>
        <v>0</v>
      </c>
      <c r="F536" s="1489"/>
      <c r="G536" s="1489"/>
      <c r="H536" s="1489"/>
      <c r="I536" s="1489"/>
      <c r="J536" s="1489"/>
      <c r="K536" s="1405"/>
      <c r="L536" s="1427"/>
      <c r="M536" s="1435">
        <f>L536*K536</f>
        <v>0</v>
      </c>
      <c r="N536" s="1489"/>
      <c r="O536" s="1423"/>
      <c r="P536" s="1484"/>
      <c r="Q536" s="1423"/>
      <c r="R536" s="1489"/>
      <c r="S536" s="1423"/>
      <c r="T536" s="1484"/>
      <c r="U536" s="1423"/>
      <c r="V536" s="1489"/>
      <c r="W536" s="1489"/>
      <c r="X536" s="1489"/>
      <c r="Y536" s="1489"/>
      <c r="Z536" s="1489"/>
      <c r="AA536" s="1425"/>
      <c r="AB536" s="1425"/>
      <c r="AC536" s="1425"/>
      <c r="AD536" s="1489"/>
      <c r="AF536" s="1489"/>
      <c r="AG536" s="1489"/>
      <c r="AH536" s="1489"/>
      <c r="AI536" s="1430"/>
      <c r="AJ536" s="1425"/>
      <c r="AK536" s="1425"/>
      <c r="AL536" s="748"/>
    </row>
    <row r="537" spans="1:38">
      <c r="A537" s="728">
        <v>532</v>
      </c>
      <c r="B537" s="1442" t="s">
        <v>2724</v>
      </c>
      <c r="C537" s="1434">
        <v>0</v>
      </c>
      <c r="D537" s="1404">
        <v>0</v>
      </c>
      <c r="E537" s="1425">
        <f>'1501 Summary'!AD388</f>
        <v>0</v>
      </c>
      <c r="K537" s="1405"/>
      <c r="L537" s="1427"/>
      <c r="M537" s="1435">
        <f>L537*K537</f>
        <v>0</v>
      </c>
      <c r="O537" s="1423"/>
      <c r="P537" s="1484"/>
      <c r="Q537" s="1423"/>
      <c r="S537" s="1423"/>
      <c r="T537" s="1484"/>
      <c r="U537" s="1423"/>
      <c r="AA537" s="1425"/>
      <c r="AB537" s="1425"/>
      <c r="AC537" s="1425"/>
      <c r="AI537" s="1430"/>
      <c r="AJ537" s="1425"/>
      <c r="AK537" s="1425"/>
      <c r="AL537" s="748"/>
    </row>
    <row r="538" spans="1:38">
      <c r="A538" s="728">
        <v>533</v>
      </c>
      <c r="B538" s="1442" t="s">
        <v>2714</v>
      </c>
      <c r="C538" s="1434">
        <f t="shared" si="36"/>
        <v>86593950</v>
      </c>
      <c r="D538" s="1404">
        <v>4.0000000000000002E-4</v>
      </c>
      <c r="E538" s="1425">
        <f>'1501 Summary'!AD389</f>
        <v>34637.58</v>
      </c>
      <c r="F538" s="1489"/>
      <c r="G538" s="1489"/>
      <c r="H538" s="1489"/>
      <c r="I538" s="1489"/>
      <c r="J538" s="1489"/>
      <c r="K538" s="1405">
        <f>C538+G538</f>
        <v>86593950</v>
      </c>
      <c r="L538" s="1427">
        <f>D538</f>
        <v>4.0000000000000002E-4</v>
      </c>
      <c r="M538" s="1435">
        <f>L538*K538</f>
        <v>34637.58</v>
      </c>
      <c r="N538" s="1489"/>
      <c r="O538" s="1405"/>
      <c r="P538" s="1484"/>
      <c r="Q538" s="1423"/>
      <c r="R538" s="1489"/>
      <c r="S538" s="1405"/>
      <c r="T538" s="1484"/>
      <c r="U538" s="1423"/>
      <c r="V538" s="1489"/>
      <c r="W538" s="1489"/>
      <c r="X538" s="1489"/>
      <c r="Y538" s="1489"/>
      <c r="Z538" s="1489"/>
      <c r="AA538" s="1425"/>
      <c r="AB538" s="1425"/>
      <c r="AC538" s="1425"/>
      <c r="AD538" s="1489"/>
      <c r="AF538" s="1489"/>
      <c r="AG538" s="1489"/>
      <c r="AH538" s="1489"/>
      <c r="AI538" s="1428"/>
      <c r="AJ538" s="1425"/>
      <c r="AK538" s="1425"/>
      <c r="AL538" s="748"/>
    </row>
    <row r="539" spans="1:38">
      <c r="A539" s="728">
        <v>534</v>
      </c>
      <c r="B539" s="727" t="s">
        <v>2768</v>
      </c>
      <c r="C539" s="1434">
        <f t="shared" si="36"/>
        <v>51950663.220098466</v>
      </c>
      <c r="D539" s="1404">
        <v>1.50101E-2</v>
      </c>
      <c r="E539" s="1425">
        <f>SUM('1501 Summary'!G390:S390)</f>
        <v>779784.65</v>
      </c>
      <c r="F539" s="1489"/>
      <c r="G539" s="1489"/>
      <c r="H539" s="1489"/>
      <c r="I539" s="1489"/>
      <c r="J539" s="1489"/>
      <c r="K539" s="1405">
        <f>C539+G539</f>
        <v>51950663.220098466</v>
      </c>
      <c r="L539" s="1427"/>
      <c r="M539" s="1435"/>
      <c r="N539" s="1489"/>
      <c r="O539" s="1405"/>
      <c r="P539" s="1484"/>
      <c r="Q539" s="1423"/>
      <c r="R539" s="1489"/>
      <c r="S539" s="1405"/>
      <c r="T539" s="1484"/>
      <c r="U539" s="1423"/>
      <c r="V539" s="1489"/>
      <c r="W539" s="1489"/>
      <c r="X539" s="1489"/>
      <c r="Y539" s="1489"/>
      <c r="Z539" s="1489"/>
      <c r="AA539" s="1425"/>
      <c r="AB539" s="1425"/>
      <c r="AC539" s="1425"/>
      <c r="AD539" s="1489"/>
      <c r="AF539" s="1489"/>
      <c r="AG539" s="1489"/>
      <c r="AH539" s="1489"/>
      <c r="AI539" s="1428"/>
      <c r="AJ539" s="1425"/>
      <c r="AK539" s="1425"/>
      <c r="AL539" s="748"/>
    </row>
    <row r="540" spans="1:38">
      <c r="A540" s="728">
        <v>535</v>
      </c>
      <c r="B540" s="1453" t="s">
        <v>2769</v>
      </c>
      <c r="C540" s="1434">
        <f t="shared" si="36"/>
        <v>34582074.115117207</v>
      </c>
      <c r="D540" s="1404">
        <v>1.51602E-2</v>
      </c>
      <c r="E540" s="1440">
        <f>SUM('1501 Summary'!U390:AC390)</f>
        <v>524271.15999999992</v>
      </c>
      <c r="F540" s="1489"/>
      <c r="G540" s="1489"/>
      <c r="H540" s="1489"/>
      <c r="I540" s="1489"/>
      <c r="J540" s="1489"/>
      <c r="K540" s="1405">
        <f>C540+G540</f>
        <v>34582074.115117207</v>
      </c>
      <c r="L540" s="1427">
        <f>D540</f>
        <v>1.51602E-2</v>
      </c>
      <c r="M540" s="1436">
        <f>L540*SUM(K540,K539)</f>
        <v>1311853.6045493367</v>
      </c>
      <c r="N540" s="1489"/>
      <c r="O540" s="1405"/>
      <c r="P540" s="1484"/>
      <c r="Q540" s="1423"/>
      <c r="R540" s="1489"/>
      <c r="S540" s="1405"/>
      <c r="T540" s="1484"/>
      <c r="U540" s="1423"/>
      <c r="V540" s="1489"/>
      <c r="W540" s="1489"/>
      <c r="X540" s="1489"/>
      <c r="Y540" s="1489"/>
      <c r="Z540" s="1489"/>
      <c r="AA540" s="1425"/>
      <c r="AB540" s="1425"/>
      <c r="AC540" s="1425"/>
      <c r="AD540" s="1489"/>
      <c r="AF540" s="1489"/>
      <c r="AG540" s="1489"/>
      <c r="AH540" s="1489"/>
      <c r="AI540" s="1428"/>
      <c r="AJ540" s="1425"/>
      <c r="AK540" s="1425"/>
      <c r="AL540" s="748"/>
    </row>
    <row r="541" spans="1:38">
      <c r="A541" s="728">
        <v>536</v>
      </c>
      <c r="B541" s="727" t="s">
        <v>2648</v>
      </c>
      <c r="E541" s="1425">
        <f>SUM(E534:E540)</f>
        <v>1592632.43</v>
      </c>
      <c r="F541" s="1489"/>
      <c r="G541" s="1489"/>
      <c r="H541" s="1489"/>
      <c r="I541" s="1489"/>
      <c r="J541" s="1489"/>
      <c r="K541" s="1405"/>
      <c r="L541" s="1427"/>
      <c r="M541" s="1435">
        <f>SUM(M534:M540)</f>
        <v>1600430.2245493368</v>
      </c>
      <c r="N541" s="1489"/>
      <c r="O541" s="1423"/>
      <c r="P541" s="1423"/>
      <c r="Q541" s="1423"/>
      <c r="R541" s="1489"/>
      <c r="S541" s="1423"/>
      <c r="T541" s="1423"/>
      <c r="U541" s="1423"/>
      <c r="V541" s="1489"/>
      <c r="W541" s="1489"/>
      <c r="X541" s="1489"/>
      <c r="Y541" s="1489"/>
      <c r="Z541" s="1489"/>
      <c r="AA541" s="1425"/>
      <c r="AB541" s="1425"/>
      <c r="AC541" s="1425"/>
      <c r="AD541" s="1489"/>
      <c r="AF541" s="1489"/>
      <c r="AG541" s="1489"/>
      <c r="AH541" s="1489"/>
      <c r="AI541" s="1430"/>
      <c r="AJ541" s="1425"/>
      <c r="AK541" s="1425"/>
      <c r="AL541" s="748"/>
    </row>
    <row r="542" spans="1:38">
      <c r="A542" s="728">
        <v>537</v>
      </c>
      <c r="E542" s="1489"/>
      <c r="F542" s="1489"/>
      <c r="G542" s="1489"/>
      <c r="H542" s="1489"/>
      <c r="I542" s="1489"/>
      <c r="J542" s="1489"/>
      <c r="K542" s="1405"/>
      <c r="L542" s="1427"/>
      <c r="M542" s="1435"/>
      <c r="N542" s="1489"/>
      <c r="O542" s="1423"/>
      <c r="P542" s="1423"/>
      <c r="Q542" s="1423"/>
      <c r="R542" s="1489"/>
      <c r="S542" s="1423"/>
      <c r="T542" s="1423"/>
      <c r="U542" s="1423"/>
      <c r="V542" s="1489"/>
      <c r="W542" s="1489"/>
      <c r="X542" s="1489"/>
      <c r="Y542" s="1489"/>
      <c r="Z542" s="1489"/>
      <c r="AD542" s="1489"/>
      <c r="AF542" s="1489"/>
      <c r="AG542" s="1489"/>
      <c r="AH542" s="1489"/>
      <c r="AI542" s="1430"/>
      <c r="AJ542" s="1425"/>
      <c r="AL542" s="748"/>
    </row>
    <row r="543" spans="1:38">
      <c r="A543" s="728">
        <v>538</v>
      </c>
      <c r="B543" s="727" t="s">
        <v>2651</v>
      </c>
      <c r="K543" s="1405"/>
      <c r="L543" s="1427"/>
      <c r="M543" s="1435"/>
      <c r="O543" s="1423"/>
      <c r="P543" s="1423"/>
      <c r="Q543" s="1423"/>
      <c r="S543" s="1423"/>
      <c r="T543" s="1423"/>
      <c r="U543" s="1423"/>
      <c r="AI543" s="1430"/>
      <c r="AJ543" s="1425"/>
      <c r="AL543" s="748"/>
    </row>
    <row r="544" spans="1:38">
      <c r="A544" s="728">
        <v>539</v>
      </c>
      <c r="B544" s="727" t="s">
        <v>2719</v>
      </c>
      <c r="E544" s="1454">
        <f>'1501 Summary'!AD391</f>
        <v>70569.55</v>
      </c>
      <c r="F544" s="1484"/>
      <c r="G544" s="1484"/>
      <c r="H544" s="1484"/>
      <c r="I544" s="1484"/>
      <c r="J544" s="1484"/>
      <c r="K544" s="1405"/>
      <c r="L544" s="1427"/>
      <c r="M544" s="1435"/>
      <c r="N544" s="1484"/>
      <c r="O544" s="1423"/>
      <c r="P544" s="1423"/>
      <c r="Q544" s="1423"/>
      <c r="R544" s="1484"/>
      <c r="S544" s="1423"/>
      <c r="T544" s="1423"/>
      <c r="U544" s="1423"/>
      <c r="V544" s="1484"/>
      <c r="W544" s="1484"/>
      <c r="X544" s="1484"/>
      <c r="Y544" s="1484"/>
      <c r="Z544" s="1484"/>
      <c r="AD544" s="1484"/>
      <c r="AF544" s="1484"/>
      <c r="AG544" s="1484"/>
      <c r="AH544" s="1484"/>
      <c r="AI544" s="1430"/>
      <c r="AJ544" s="1425"/>
      <c r="AL544" s="748"/>
    </row>
    <row r="545" spans="1:38">
      <c r="A545" s="728">
        <v>540</v>
      </c>
      <c r="B545" s="727" t="s">
        <v>0</v>
      </c>
      <c r="E545" s="1454">
        <f>'1501 Summary'!AD392</f>
        <v>0</v>
      </c>
      <c r="F545" s="1484"/>
      <c r="G545" s="1484"/>
      <c r="H545" s="1484"/>
      <c r="I545" s="1484"/>
      <c r="J545" s="1484"/>
      <c r="K545" s="1405"/>
      <c r="L545" s="1427"/>
      <c r="M545" s="1435"/>
      <c r="N545" s="1484"/>
      <c r="O545" s="1423"/>
      <c r="P545" s="1423"/>
      <c r="Q545" s="1423"/>
      <c r="R545" s="1484"/>
      <c r="S545" s="1423"/>
      <c r="T545" s="1423"/>
      <c r="U545" s="1423"/>
      <c r="V545" s="1484"/>
      <c r="W545" s="1484"/>
      <c r="X545" s="1484"/>
      <c r="Y545" s="1484"/>
      <c r="Z545" s="1484"/>
      <c r="AD545" s="1484"/>
      <c r="AF545" s="1484"/>
      <c r="AG545" s="1484"/>
      <c r="AH545" s="1484"/>
      <c r="AI545" s="1430"/>
      <c r="AJ545" s="1425"/>
      <c r="AL545" s="748"/>
    </row>
    <row r="546" spans="1:38">
      <c r="A546" s="728">
        <v>541</v>
      </c>
      <c r="B546" s="1482" t="s">
        <v>2697</v>
      </c>
      <c r="E546" s="1435">
        <f>'Revenue Reconcilliation'!Q380</f>
        <v>-1663201.98</v>
      </c>
      <c r="F546" s="1449"/>
      <c r="G546" s="1449"/>
      <c r="H546" s="1449"/>
      <c r="I546" s="1449"/>
      <c r="J546" s="1449"/>
      <c r="K546" s="1405"/>
      <c r="L546" s="1427"/>
      <c r="M546" s="1435"/>
      <c r="N546" s="1449"/>
      <c r="O546" s="1423"/>
      <c r="P546" s="1423"/>
      <c r="Q546" s="1423"/>
      <c r="R546" s="1449"/>
      <c r="S546" s="1423"/>
      <c r="T546" s="1423"/>
      <c r="U546" s="1423"/>
      <c r="V546" s="1449"/>
      <c r="W546" s="1449"/>
      <c r="X546" s="1449"/>
      <c r="Y546" s="1449"/>
      <c r="Z546" s="1449"/>
      <c r="AD546" s="1449"/>
      <c r="AF546" s="1449"/>
      <c r="AG546" s="1449"/>
      <c r="AH546" s="1449"/>
      <c r="AI546" s="1430"/>
      <c r="AJ546" s="1425"/>
      <c r="AL546" s="748"/>
    </row>
    <row r="547" spans="1:38">
      <c r="A547" s="728">
        <v>542</v>
      </c>
      <c r="B547" s="1482" t="s">
        <v>2698</v>
      </c>
      <c r="E547" s="1435">
        <f>'Revenue Reconcilliation'!Q381</f>
        <v>1657519.34</v>
      </c>
      <c r="F547" s="1449"/>
      <c r="G547" s="1449"/>
      <c r="H547" s="1449"/>
      <c r="I547" s="1449"/>
      <c r="J547" s="1449"/>
      <c r="K547" s="1405"/>
      <c r="L547" s="1427"/>
      <c r="M547" s="1435"/>
      <c r="N547" s="1449"/>
      <c r="O547" s="1423"/>
      <c r="P547" s="1423"/>
      <c r="Q547" s="1423"/>
      <c r="R547" s="1449"/>
      <c r="S547" s="1423"/>
      <c r="T547" s="1423"/>
      <c r="U547" s="1423"/>
      <c r="V547" s="1449"/>
      <c r="W547" s="1449"/>
      <c r="X547" s="1449"/>
      <c r="Y547" s="1449"/>
      <c r="Z547" s="1449"/>
      <c r="AD547" s="1449"/>
      <c r="AF547" s="1449"/>
      <c r="AG547" s="1449"/>
      <c r="AH547" s="1449"/>
      <c r="AI547" s="1430"/>
      <c r="AJ547" s="1425"/>
      <c r="AL547" s="748"/>
    </row>
    <row r="548" spans="1:38">
      <c r="A548" s="728">
        <v>543</v>
      </c>
      <c r="B548" s="1443" t="s">
        <v>2678</v>
      </c>
      <c r="E548" s="1454">
        <f>SUM(E544:E547)</f>
        <v>64886.910000000149</v>
      </c>
      <c r="F548" s="1484"/>
      <c r="G548" s="1484"/>
      <c r="H548" s="1484"/>
      <c r="I548" s="1484"/>
      <c r="J548" s="1484"/>
      <c r="K548" s="1405"/>
      <c r="L548" s="1427"/>
      <c r="M548" s="1435"/>
      <c r="N548" s="1484"/>
      <c r="O548" s="1423"/>
      <c r="P548" s="1423"/>
      <c r="Q548" s="1423"/>
      <c r="R548" s="1484"/>
      <c r="S548" s="1423"/>
      <c r="T548" s="1423"/>
      <c r="U548" s="1423"/>
      <c r="V548" s="1484"/>
      <c r="W548" s="1484"/>
      <c r="X548" s="1484"/>
      <c r="Y548" s="1484"/>
      <c r="Z548" s="1484"/>
      <c r="AD548" s="1484"/>
      <c r="AF548" s="1484"/>
      <c r="AG548" s="1484"/>
      <c r="AH548" s="1484"/>
      <c r="AI548" s="1430"/>
      <c r="AJ548" s="1425"/>
      <c r="AL548" s="748"/>
    </row>
    <row r="549" spans="1:38">
      <c r="A549" s="728">
        <v>544</v>
      </c>
      <c r="E549" s="1435"/>
      <c r="K549" s="1405"/>
      <c r="L549" s="1427"/>
      <c r="M549" s="1435"/>
      <c r="O549" s="1423"/>
      <c r="P549" s="1423"/>
      <c r="Q549" s="1423"/>
      <c r="S549" s="1423"/>
      <c r="T549" s="1423"/>
      <c r="U549" s="1423"/>
      <c r="AI549" s="1430"/>
      <c r="AJ549" s="1425"/>
      <c r="AL549" s="748"/>
    </row>
    <row r="550" spans="1:38">
      <c r="A550" s="728">
        <v>545</v>
      </c>
      <c r="B550" s="1444" t="s">
        <v>2770</v>
      </c>
      <c r="C550" s="1459">
        <f>E550-'Revenue Reconcilliation'!Q382</f>
        <v>0</v>
      </c>
      <c r="D550" s="1445" t="s">
        <v>2673</v>
      </c>
      <c r="E550" s="1470">
        <f>SUM(E541,E548)</f>
        <v>1657519.34</v>
      </c>
      <c r="F550" s="1516"/>
      <c r="G550" s="1516"/>
      <c r="H550" s="1516"/>
      <c r="I550" s="1516"/>
      <c r="J550" s="1516"/>
      <c r="K550" s="1447"/>
      <c r="L550" s="1446"/>
      <c r="M550" s="1436"/>
      <c r="N550" s="1516"/>
      <c r="O550" s="1423"/>
      <c r="P550" s="1423"/>
      <c r="Q550" s="1423"/>
      <c r="R550" s="1516"/>
      <c r="S550" s="1423"/>
      <c r="T550" s="1423"/>
      <c r="U550" s="1423"/>
      <c r="V550" s="1489"/>
      <c r="W550" s="1489"/>
      <c r="X550" s="1489"/>
      <c r="Y550" s="1489"/>
      <c r="Z550" s="1489"/>
      <c r="AD550" s="1489"/>
      <c r="AF550" s="1489"/>
      <c r="AG550" s="1489"/>
      <c r="AH550" s="1489"/>
      <c r="AI550" s="1430"/>
      <c r="AJ550" s="1425"/>
      <c r="AL550" s="748"/>
    </row>
    <row r="551" spans="1:38">
      <c r="A551" s="728">
        <v>546</v>
      </c>
      <c r="K551" s="1405"/>
      <c r="L551" s="1427"/>
      <c r="M551" s="1435"/>
      <c r="O551" s="1423"/>
      <c r="P551" s="1423"/>
      <c r="Q551" s="1423"/>
      <c r="S551" s="1423"/>
      <c r="T551" s="1423"/>
      <c r="U551" s="1423"/>
      <c r="AI551" s="1430"/>
      <c r="AJ551" s="1425"/>
      <c r="AL551" s="748"/>
    </row>
    <row r="552" spans="1:38">
      <c r="A552" s="728">
        <v>547</v>
      </c>
      <c r="B552" s="1420" t="s">
        <v>2771</v>
      </c>
      <c r="K552" s="1405"/>
      <c r="L552" s="1427"/>
      <c r="M552" s="1435"/>
      <c r="O552" s="1423"/>
      <c r="P552" s="1423"/>
      <c r="Q552" s="1423"/>
      <c r="S552" s="1423"/>
      <c r="T552" s="1423"/>
      <c r="U552" s="1423"/>
      <c r="AI552" s="1430"/>
      <c r="AJ552" s="1425"/>
      <c r="AL552" s="748"/>
    </row>
    <row r="553" spans="1:38">
      <c r="A553" s="728">
        <v>548</v>
      </c>
      <c r="B553" s="727" t="s">
        <v>2724</v>
      </c>
      <c r="C553" s="1434">
        <f t="shared" ref="C553:C559" si="37">E553/D553</f>
        <v>12</v>
      </c>
      <c r="D553" s="1429">
        <v>625</v>
      </c>
      <c r="E553" s="1488">
        <f>'1501 Summary'!AD399</f>
        <v>7500</v>
      </c>
      <c r="F553" s="1489"/>
      <c r="G553" s="1489"/>
      <c r="H553" s="1489"/>
      <c r="I553" s="1489"/>
      <c r="J553" s="1489"/>
      <c r="K553" s="1405">
        <f>C553+G553</f>
        <v>12</v>
      </c>
      <c r="L553" s="1430">
        <f>D553</f>
        <v>625</v>
      </c>
      <c r="M553" s="1435">
        <f>L553*K553</f>
        <v>7500</v>
      </c>
      <c r="N553" s="1489"/>
      <c r="O553" s="1424"/>
      <c r="P553" s="1484"/>
      <c r="Q553" s="1423"/>
      <c r="R553" s="1489"/>
      <c r="S553" s="1424"/>
      <c r="T553" s="1484"/>
      <c r="U553" s="1423"/>
      <c r="V553" s="1489"/>
      <c r="W553" s="1489"/>
      <c r="X553" s="1489"/>
      <c r="Y553" s="1489"/>
      <c r="Z553" s="1489"/>
      <c r="AA553" s="1425"/>
      <c r="AB553" s="1425"/>
      <c r="AC553" s="1425"/>
      <c r="AD553" s="1489"/>
      <c r="AF553" s="1489"/>
      <c r="AG553" s="1489"/>
      <c r="AH553" s="1489"/>
      <c r="AI553" s="1430"/>
      <c r="AJ553" s="1425"/>
      <c r="AK553" s="1425"/>
      <c r="AL553" s="748"/>
    </row>
    <row r="554" spans="1:38">
      <c r="A554" s="728">
        <v>549</v>
      </c>
      <c r="B554" s="727" t="s">
        <v>2767</v>
      </c>
      <c r="C554" s="1434">
        <f t="shared" si="37"/>
        <v>12.047506330280404</v>
      </c>
      <c r="D554" s="1429">
        <v>14541.22</v>
      </c>
      <c r="E554" s="1488">
        <f>'1501 Summary'!AD400</f>
        <v>175185.44</v>
      </c>
      <c r="F554" s="1489"/>
      <c r="G554" s="1489"/>
      <c r="H554" s="1489"/>
      <c r="I554" s="1489"/>
      <c r="J554" s="1489"/>
      <c r="K554" s="1405">
        <f>C554+G554</f>
        <v>12.047506330280404</v>
      </c>
      <c r="L554" s="1422">
        <f>D554</f>
        <v>14541.22</v>
      </c>
      <c r="M554" s="1435">
        <f>L554*K554</f>
        <v>175185.44</v>
      </c>
      <c r="N554" s="1489"/>
      <c r="O554" s="1424"/>
      <c r="P554" s="1484"/>
      <c r="Q554" s="1423"/>
      <c r="R554" s="1489"/>
      <c r="S554" s="1424"/>
      <c r="T554" s="1484"/>
      <c r="U554" s="1423"/>
      <c r="V554" s="1489"/>
      <c r="W554" s="1489"/>
      <c r="X554" s="1489"/>
      <c r="Y554" s="1489"/>
      <c r="Z554" s="1489"/>
      <c r="AA554" s="1425"/>
      <c r="AB554" s="1425"/>
      <c r="AC554" s="1425"/>
      <c r="AD554" s="1489"/>
      <c r="AF554" s="1489"/>
      <c r="AG554" s="1489"/>
      <c r="AH554" s="1489"/>
      <c r="AI554" s="1430"/>
      <c r="AJ554" s="1425"/>
      <c r="AK554" s="1425"/>
      <c r="AL554" s="748"/>
    </row>
    <row r="555" spans="1:38">
      <c r="A555" s="728">
        <v>550</v>
      </c>
      <c r="B555" s="727" t="s">
        <v>2713</v>
      </c>
      <c r="C555" s="1449">
        <v>0</v>
      </c>
      <c r="D555" s="1429">
        <v>0</v>
      </c>
      <c r="E555" s="1488">
        <f>'1501 Summary'!AD401</f>
        <v>0</v>
      </c>
      <c r="K555" s="1405"/>
      <c r="L555" s="1427"/>
      <c r="M555" s="1435">
        <f>L555*K555</f>
        <v>0</v>
      </c>
      <c r="O555" s="1423"/>
      <c r="P555" s="1484"/>
      <c r="Q555" s="1423"/>
      <c r="S555" s="1423"/>
      <c r="T555" s="1484"/>
      <c r="U555" s="1423"/>
      <c r="AA555" s="1425"/>
      <c r="AB555" s="1425"/>
      <c r="AC555" s="1425"/>
      <c r="AI555" s="1430"/>
      <c r="AJ555" s="1425"/>
      <c r="AK555" s="1425"/>
      <c r="AL555" s="748"/>
    </row>
    <row r="556" spans="1:38">
      <c r="A556" s="728">
        <v>551</v>
      </c>
      <c r="B556" s="727" t="s">
        <v>2724</v>
      </c>
      <c r="C556" s="1449">
        <v>0</v>
      </c>
      <c r="D556" s="1429">
        <v>0</v>
      </c>
      <c r="E556" s="1488">
        <f>'1501 Summary'!AD402</f>
        <v>0</v>
      </c>
      <c r="K556" s="1405"/>
      <c r="L556" s="1427"/>
      <c r="M556" s="1435">
        <f>L556*K556</f>
        <v>0</v>
      </c>
      <c r="O556" s="1423"/>
      <c r="P556" s="1484"/>
      <c r="Q556" s="1423"/>
      <c r="S556" s="1423"/>
      <c r="T556" s="1484"/>
      <c r="U556" s="1423"/>
      <c r="AA556" s="1425"/>
      <c r="AB556" s="1425"/>
      <c r="AC556" s="1425"/>
      <c r="AI556" s="1430"/>
      <c r="AJ556" s="1425"/>
      <c r="AK556" s="1425"/>
      <c r="AL556" s="748"/>
    </row>
    <row r="557" spans="1:38">
      <c r="A557" s="728">
        <v>552</v>
      </c>
      <c r="B557" s="727" t="s">
        <v>2714</v>
      </c>
      <c r="C557" s="1434">
        <f t="shared" si="37"/>
        <v>29380275.000000004</v>
      </c>
      <c r="D557" s="1518">
        <v>4.0000000000000002E-4</v>
      </c>
      <c r="E557" s="1488">
        <f>'1501 Summary'!AD403</f>
        <v>11752.110000000002</v>
      </c>
      <c r="K557" s="1405">
        <f>C557+G557</f>
        <v>29380275.000000004</v>
      </c>
      <c r="L557" s="1427">
        <f>D557</f>
        <v>4.0000000000000002E-4</v>
      </c>
      <c r="M557" s="1435">
        <f>L557*K557</f>
        <v>11752.110000000002</v>
      </c>
      <c r="O557" s="1405"/>
      <c r="P557" s="1484"/>
      <c r="Q557" s="1423"/>
      <c r="S557" s="1405"/>
      <c r="T557" s="1484"/>
      <c r="U557" s="1423"/>
      <c r="AA557" s="1425"/>
      <c r="AB557" s="1425"/>
      <c r="AC557" s="1425"/>
      <c r="AI557" s="1428"/>
      <c r="AJ557" s="1425"/>
      <c r="AK557" s="1425"/>
      <c r="AL557" s="748"/>
    </row>
    <row r="558" spans="1:38">
      <c r="A558" s="728">
        <v>553</v>
      </c>
      <c r="B558" s="727" t="s">
        <v>2772</v>
      </c>
      <c r="C558" s="1434">
        <f t="shared" si="37"/>
        <v>3685061.7555635022</v>
      </c>
      <c r="D558" s="1519">
        <v>1.4541200000000001E-2</v>
      </c>
      <c r="E558" s="1488">
        <f>SUM('1501 Summary'!G404:Q404)</f>
        <v>53585.22</v>
      </c>
      <c r="K558" s="1405">
        <f>C558+G558</f>
        <v>3685061.7555635022</v>
      </c>
      <c r="L558" s="1427"/>
      <c r="M558" s="1435"/>
      <c r="O558" s="1405"/>
      <c r="P558" s="1484"/>
      <c r="Q558" s="1423"/>
      <c r="S558" s="1405"/>
      <c r="T558" s="1484"/>
      <c r="U558" s="1423"/>
      <c r="AA558" s="1425"/>
      <c r="AB558" s="1425"/>
      <c r="AC558" s="1425"/>
      <c r="AI558" s="1428"/>
      <c r="AJ558" s="1425"/>
      <c r="AK558" s="1425"/>
      <c r="AL558" s="748"/>
    </row>
    <row r="559" spans="1:38">
      <c r="A559" s="728">
        <v>554</v>
      </c>
      <c r="B559" s="1453" t="s">
        <v>2773</v>
      </c>
      <c r="C559" s="1434">
        <f t="shared" si="37"/>
        <v>25663291.165110055</v>
      </c>
      <c r="D559" s="1519">
        <v>1.4679299999999999E-2</v>
      </c>
      <c r="E559" s="1492">
        <f>SUM('1501 Summary'!S404:AC404)</f>
        <v>376719.15</v>
      </c>
      <c r="K559" s="1405">
        <f>C559+G559</f>
        <v>25663291.165110055</v>
      </c>
      <c r="L559" s="1427">
        <f>D559</f>
        <v>1.4679299999999999E-2</v>
      </c>
      <c r="M559" s="1436">
        <f>L559*SUM(K559,K558)</f>
        <v>430813.27702844329</v>
      </c>
      <c r="O559" s="1405"/>
      <c r="P559" s="1484"/>
      <c r="Q559" s="1423"/>
      <c r="S559" s="1405"/>
      <c r="T559" s="1484"/>
      <c r="U559" s="1423"/>
      <c r="AA559" s="1425"/>
      <c r="AB559" s="1425"/>
      <c r="AC559" s="1425"/>
      <c r="AI559" s="1428"/>
      <c r="AJ559" s="1425"/>
      <c r="AK559" s="1425"/>
      <c r="AL559" s="748"/>
    </row>
    <row r="560" spans="1:38">
      <c r="A560" s="728">
        <v>555</v>
      </c>
      <c r="B560" s="727" t="s">
        <v>2648</v>
      </c>
      <c r="E560" s="1488">
        <f>SUM(E553:E559)</f>
        <v>624741.92000000004</v>
      </c>
      <c r="F560" s="1489"/>
      <c r="G560" s="1489"/>
      <c r="H560" s="1489"/>
      <c r="I560" s="1489"/>
      <c r="J560" s="1489"/>
      <c r="K560" s="1405"/>
      <c r="L560" s="1427"/>
      <c r="M560" s="1435">
        <f>SUM(M553:M559)</f>
        <v>625250.82702844334</v>
      </c>
      <c r="N560" s="1489"/>
      <c r="O560" s="1423"/>
      <c r="P560" s="1423"/>
      <c r="Q560" s="1423"/>
      <c r="R560" s="1489"/>
      <c r="S560" s="1423"/>
      <c r="T560" s="1423"/>
      <c r="U560" s="1423"/>
      <c r="V560" s="1489"/>
      <c r="W560" s="1489"/>
      <c r="X560" s="1489"/>
      <c r="Y560" s="1489"/>
      <c r="Z560" s="1489"/>
      <c r="AA560" s="1425"/>
      <c r="AB560" s="1425"/>
      <c r="AC560" s="1425"/>
      <c r="AD560" s="1489"/>
      <c r="AF560" s="1489"/>
      <c r="AG560" s="1489"/>
      <c r="AH560" s="1489"/>
      <c r="AI560" s="1430"/>
      <c r="AJ560" s="1425"/>
      <c r="AK560" s="1425"/>
      <c r="AL560" s="748"/>
    </row>
    <row r="561" spans="1:38">
      <c r="A561" s="728">
        <v>556</v>
      </c>
      <c r="E561" s="1488"/>
      <c r="F561" s="1489"/>
      <c r="G561" s="1489"/>
      <c r="H561" s="1489"/>
      <c r="I561" s="1489"/>
      <c r="J561" s="1489"/>
      <c r="K561" s="1405"/>
      <c r="L561" s="1427"/>
      <c r="M561" s="1435"/>
      <c r="N561" s="1489"/>
      <c r="O561" s="1423"/>
      <c r="P561" s="1423"/>
      <c r="Q561" s="1423"/>
      <c r="R561" s="1489"/>
      <c r="S561" s="1423"/>
      <c r="T561" s="1423"/>
      <c r="U561" s="1423"/>
      <c r="V561" s="1489"/>
      <c r="W561" s="1489"/>
      <c r="X561" s="1489"/>
      <c r="Y561" s="1489"/>
      <c r="Z561" s="1489"/>
      <c r="AD561" s="1489"/>
      <c r="AF561" s="1489"/>
      <c r="AG561" s="1489"/>
      <c r="AH561" s="1489"/>
      <c r="AI561" s="1430"/>
      <c r="AJ561" s="1425"/>
      <c r="AL561" s="748"/>
    </row>
    <row r="562" spans="1:38">
      <c r="A562" s="728">
        <v>557</v>
      </c>
      <c r="B562" s="727" t="s">
        <v>2651</v>
      </c>
      <c r="E562" s="1488"/>
      <c r="K562" s="1405"/>
      <c r="L562" s="1427"/>
      <c r="M562" s="1435"/>
      <c r="O562" s="1423"/>
      <c r="P562" s="1423"/>
      <c r="Q562" s="1423"/>
      <c r="S562" s="1423"/>
      <c r="T562" s="1423"/>
      <c r="U562" s="1423"/>
      <c r="AI562" s="1430"/>
      <c r="AJ562" s="1425"/>
      <c r="AL562" s="748"/>
    </row>
    <row r="563" spans="1:38">
      <c r="A563" s="728">
        <v>558</v>
      </c>
      <c r="B563" s="727" t="s">
        <v>2719</v>
      </c>
      <c r="E563" s="1488">
        <f>'1501 Summary'!AD405</f>
        <v>28281.54</v>
      </c>
      <c r="F563" s="1484"/>
      <c r="G563" s="1484"/>
      <c r="H563" s="1484"/>
      <c r="I563" s="1484"/>
      <c r="J563" s="1484"/>
      <c r="K563" s="1405"/>
      <c r="L563" s="1427"/>
      <c r="M563" s="1435"/>
      <c r="N563" s="1484"/>
      <c r="O563" s="1423"/>
      <c r="P563" s="1423"/>
      <c r="Q563" s="1423"/>
      <c r="R563" s="1484"/>
      <c r="S563" s="1423"/>
      <c r="T563" s="1423"/>
      <c r="U563" s="1423"/>
      <c r="V563" s="1484"/>
      <c r="W563" s="1484"/>
      <c r="X563" s="1484"/>
      <c r="Y563" s="1484"/>
      <c r="Z563" s="1484"/>
      <c r="AD563" s="1484"/>
      <c r="AF563" s="1484"/>
      <c r="AG563" s="1484"/>
      <c r="AH563" s="1484"/>
      <c r="AI563" s="1430"/>
      <c r="AJ563" s="1425"/>
      <c r="AL563" s="748"/>
    </row>
    <row r="564" spans="1:38">
      <c r="A564" s="728">
        <v>559</v>
      </c>
      <c r="B564" s="727" t="s">
        <v>0</v>
      </c>
      <c r="E564" s="727">
        <v>0</v>
      </c>
      <c r="F564" s="1484"/>
      <c r="G564" s="1484"/>
      <c r="H564" s="1484"/>
      <c r="I564" s="1484"/>
      <c r="J564" s="1484"/>
      <c r="K564" s="1405"/>
      <c r="L564" s="1427"/>
      <c r="M564" s="1435"/>
      <c r="N564" s="1484"/>
      <c r="O564" s="1423"/>
      <c r="P564" s="1423"/>
      <c r="Q564" s="1423"/>
      <c r="R564" s="1484"/>
      <c r="S564" s="1423"/>
      <c r="T564" s="1423"/>
      <c r="U564" s="1423"/>
      <c r="V564" s="1484"/>
      <c r="W564" s="1484"/>
      <c r="X564" s="1484"/>
      <c r="Y564" s="1484"/>
      <c r="Z564" s="1484"/>
      <c r="AD564" s="1484"/>
      <c r="AF564" s="1484"/>
      <c r="AG564" s="1484"/>
      <c r="AH564" s="1484"/>
      <c r="AI564" s="1430"/>
      <c r="AJ564" s="1425"/>
      <c r="AL564" s="748"/>
    </row>
    <row r="565" spans="1:38">
      <c r="A565" s="728">
        <v>560</v>
      </c>
      <c r="B565" s="727" t="s">
        <v>2661</v>
      </c>
      <c r="E565" s="1488">
        <f>'1501 Summary'!AD406</f>
        <v>41574.770000000004</v>
      </c>
      <c r="F565" s="1484"/>
      <c r="G565" s="1484"/>
      <c r="H565" s="1484"/>
      <c r="I565" s="1484"/>
      <c r="J565" s="1484"/>
      <c r="K565" s="1405"/>
      <c r="L565" s="1427"/>
      <c r="M565" s="1435"/>
      <c r="N565" s="1484"/>
      <c r="O565" s="1423"/>
      <c r="P565" s="1423"/>
      <c r="Q565" s="1423"/>
      <c r="R565" s="1484"/>
      <c r="S565" s="1423"/>
      <c r="T565" s="1423"/>
      <c r="U565" s="1423"/>
      <c r="V565" s="1484"/>
      <c r="W565" s="1484"/>
      <c r="X565" s="1484"/>
      <c r="Y565" s="1484"/>
      <c r="Z565" s="1484"/>
      <c r="AD565" s="1484"/>
      <c r="AF565" s="1484"/>
      <c r="AG565" s="1484"/>
      <c r="AH565" s="1484"/>
      <c r="AI565" s="1430"/>
      <c r="AJ565" s="1425"/>
      <c r="AL565" s="748"/>
    </row>
    <row r="566" spans="1:38">
      <c r="A566" s="728">
        <v>561</v>
      </c>
      <c r="B566" s="727" t="s">
        <v>2774</v>
      </c>
      <c r="E566" s="1488">
        <f>'1501 Summary'!AD407</f>
        <v>12898.31</v>
      </c>
      <c r="F566" s="1484"/>
      <c r="G566" s="1484"/>
      <c r="H566" s="1484"/>
      <c r="I566" s="1484"/>
      <c r="J566" s="1484"/>
      <c r="K566" s="1405"/>
      <c r="L566" s="1427"/>
      <c r="M566" s="1435"/>
      <c r="N566" s="1484"/>
      <c r="O566" s="1423"/>
      <c r="P566" s="1423"/>
      <c r="Q566" s="1423"/>
      <c r="R566" s="1484"/>
      <c r="S566" s="1423"/>
      <c r="T566" s="1423"/>
      <c r="U566" s="1423"/>
      <c r="V566" s="1484"/>
      <c r="W566" s="1484"/>
      <c r="X566" s="1484"/>
      <c r="Y566" s="1484"/>
      <c r="Z566" s="1484"/>
      <c r="AD566" s="1484"/>
      <c r="AF566" s="1484"/>
      <c r="AG566" s="1484"/>
      <c r="AH566" s="1484"/>
      <c r="AI566" s="1430"/>
      <c r="AJ566" s="1425"/>
      <c r="AL566" s="748"/>
    </row>
    <row r="567" spans="1:38">
      <c r="A567" s="728">
        <v>562</v>
      </c>
      <c r="B567" s="1482" t="s">
        <v>2697</v>
      </c>
      <c r="E567" s="1488">
        <f>'Revenue Reconcilliation'!Q400</f>
        <v>-692911.09</v>
      </c>
      <c r="F567" s="1449"/>
      <c r="G567" s="1449"/>
      <c r="H567" s="1449"/>
      <c r="I567" s="1449"/>
      <c r="J567" s="1449"/>
      <c r="K567" s="1405"/>
      <c r="L567" s="1427"/>
      <c r="M567" s="1435"/>
      <c r="N567" s="1449"/>
      <c r="O567" s="1423"/>
      <c r="P567" s="1423"/>
      <c r="Q567" s="1423"/>
      <c r="R567" s="1449"/>
      <c r="S567" s="1423"/>
      <c r="T567" s="1423"/>
      <c r="U567" s="1423"/>
      <c r="V567" s="1449"/>
      <c r="W567" s="1449"/>
      <c r="X567" s="1449"/>
      <c r="Y567" s="1449"/>
      <c r="Z567" s="1449"/>
      <c r="AD567" s="1449"/>
      <c r="AF567" s="1449"/>
      <c r="AG567" s="1449"/>
      <c r="AH567" s="1449"/>
      <c r="AI567" s="1430"/>
      <c r="AJ567" s="1425"/>
      <c r="AL567" s="748"/>
    </row>
    <row r="568" spans="1:38">
      <c r="A568" s="728">
        <v>563</v>
      </c>
      <c r="B568" s="1482" t="s">
        <v>2698</v>
      </c>
      <c r="E568" s="1492">
        <f>'Revenue Reconcilliation'!Q401</f>
        <v>801816.05999999994</v>
      </c>
      <c r="F568" s="1449"/>
      <c r="G568" s="1449"/>
      <c r="H568" s="1449"/>
      <c r="I568" s="1449"/>
      <c r="J568" s="1449"/>
      <c r="K568" s="1405"/>
      <c r="L568" s="1427"/>
      <c r="M568" s="1435"/>
      <c r="N568" s="1449"/>
      <c r="O568" s="1423"/>
      <c r="P568" s="1423"/>
      <c r="Q568" s="1423"/>
      <c r="R568" s="1449"/>
      <c r="S568" s="1423"/>
      <c r="T568" s="1423"/>
      <c r="U568" s="1423"/>
      <c r="V568" s="1449"/>
      <c r="W568" s="1449"/>
      <c r="X568" s="1449"/>
      <c r="Y568" s="1449"/>
      <c r="Z568" s="1449"/>
      <c r="AD568" s="1449"/>
      <c r="AF568" s="1449"/>
      <c r="AG568" s="1449"/>
      <c r="AH568" s="1449"/>
      <c r="AI568" s="1430"/>
      <c r="AJ568" s="1425"/>
      <c r="AL568" s="748"/>
    </row>
    <row r="569" spans="1:38">
      <c r="A569" s="728">
        <v>564</v>
      </c>
      <c r="B569" s="1443" t="s">
        <v>2678</v>
      </c>
      <c r="E569" s="1488">
        <f>SUM(E563:E568)</f>
        <v>191659.58999999997</v>
      </c>
      <c r="F569" s="1484"/>
      <c r="G569" s="1484"/>
      <c r="H569" s="1484"/>
      <c r="I569" s="1484"/>
      <c r="J569" s="1484"/>
      <c r="K569" s="1405"/>
      <c r="L569" s="1427"/>
      <c r="M569" s="1435"/>
      <c r="N569" s="1484"/>
      <c r="O569" s="1423"/>
      <c r="P569" s="1423"/>
      <c r="Q569" s="1423"/>
      <c r="R569" s="1484"/>
      <c r="S569" s="1423"/>
      <c r="T569" s="1423"/>
      <c r="U569" s="1423"/>
      <c r="V569" s="1484"/>
      <c r="W569" s="1484"/>
      <c r="X569" s="1484"/>
      <c r="Y569" s="1484"/>
      <c r="Z569" s="1484"/>
      <c r="AD569" s="1484"/>
      <c r="AF569" s="1484"/>
      <c r="AG569" s="1484"/>
      <c r="AH569" s="1484"/>
      <c r="AI569" s="1430"/>
      <c r="AJ569" s="1425"/>
      <c r="AL569" s="748"/>
    </row>
    <row r="570" spans="1:38">
      <c r="A570" s="728">
        <v>565</v>
      </c>
      <c r="B570" s="1443"/>
      <c r="E570" s="1488"/>
      <c r="K570" s="1405"/>
      <c r="L570" s="1427"/>
      <c r="M570" s="1435"/>
      <c r="O570" s="1423"/>
      <c r="P570" s="1423"/>
      <c r="Q570" s="1423"/>
      <c r="S570" s="1423"/>
      <c r="T570" s="1423"/>
      <c r="U570" s="1423"/>
      <c r="AI570" s="1430"/>
      <c r="AJ570" s="1425"/>
      <c r="AL570" s="748"/>
    </row>
    <row r="571" spans="1:38">
      <c r="A571" s="728">
        <v>566</v>
      </c>
      <c r="B571" s="1444" t="s">
        <v>2775</v>
      </c>
      <c r="C571" s="1459">
        <f>E571-'Revenue Reconcilliation'!Q402</f>
        <v>0</v>
      </c>
      <c r="D571" s="1445" t="s">
        <v>2673</v>
      </c>
      <c r="E571" s="1492">
        <f>SUM(E560,E569)</f>
        <v>816401.51</v>
      </c>
      <c r="F571" s="1516"/>
      <c r="G571" s="1516"/>
      <c r="H571" s="1516"/>
      <c r="I571" s="1516"/>
      <c r="J571" s="1516"/>
      <c r="K571" s="1447"/>
      <c r="L571" s="1446"/>
      <c r="M571" s="1436"/>
      <c r="N571" s="1516"/>
      <c r="O571" s="1437"/>
      <c r="P571" s="1437"/>
      <c r="Q571" s="1437"/>
      <c r="R571" s="1516"/>
      <c r="S571" s="1437"/>
      <c r="T571" s="1437"/>
      <c r="U571" s="1437"/>
      <c r="V571" s="1516"/>
      <c r="W571" s="1516"/>
      <c r="X571" s="1516"/>
      <c r="Y571" s="1516"/>
      <c r="Z571" s="1516"/>
      <c r="AA571" s="1445"/>
      <c r="AB571" s="1445"/>
      <c r="AC571" s="1445"/>
      <c r="AD571" s="1516"/>
      <c r="AE571" s="1447"/>
      <c r="AF571" s="1516"/>
      <c r="AG571" s="1516"/>
      <c r="AH571" s="1516"/>
      <c r="AI571" s="1490"/>
      <c r="AJ571" s="1440"/>
      <c r="AK571" s="1445"/>
      <c r="AL571" s="748"/>
    </row>
    <row r="572" spans="1:38">
      <c r="A572" s="728">
        <v>567</v>
      </c>
      <c r="K572" s="1405"/>
      <c r="L572" s="1427"/>
      <c r="M572" s="1435"/>
      <c r="O572" s="1423"/>
      <c r="P572" s="1423"/>
      <c r="Q572" s="1423"/>
      <c r="S572" s="1423"/>
      <c r="T572" s="1423"/>
      <c r="U572" s="1423"/>
      <c r="AI572" s="1430"/>
      <c r="AJ572" s="1425"/>
      <c r="AL572" s="748"/>
    </row>
    <row r="573" spans="1:38">
      <c r="A573" s="728">
        <v>568</v>
      </c>
      <c r="B573" s="1420" t="s">
        <v>2776</v>
      </c>
      <c r="K573" s="1405"/>
      <c r="L573" s="1427"/>
      <c r="M573" s="1435"/>
      <c r="O573" s="1423"/>
      <c r="P573" s="1423"/>
      <c r="Q573" s="1423"/>
      <c r="S573" s="1423"/>
      <c r="T573" s="1423"/>
      <c r="U573" s="1423"/>
      <c r="AI573" s="1430"/>
      <c r="AJ573" s="1425"/>
      <c r="AL573" s="748"/>
    </row>
    <row r="574" spans="1:38">
      <c r="A574" s="728">
        <v>569</v>
      </c>
      <c r="B574" s="727" t="s">
        <v>2724</v>
      </c>
      <c r="C574" s="1404">
        <f>E574/D574</f>
        <v>12</v>
      </c>
      <c r="D574" s="1404">
        <v>625</v>
      </c>
      <c r="E574" s="1488">
        <f>'1501 Summary'!AD416</f>
        <v>7500</v>
      </c>
      <c r="F574" s="1489"/>
      <c r="G574" s="1489"/>
      <c r="H574" s="1489"/>
      <c r="I574" s="1489"/>
      <c r="J574" s="1489"/>
      <c r="K574" s="1405">
        <f>C574+G574</f>
        <v>12</v>
      </c>
      <c r="L574" s="1430">
        <f>D574</f>
        <v>625</v>
      </c>
      <c r="M574" s="1435">
        <f>L574*K574</f>
        <v>7500</v>
      </c>
      <c r="N574" s="1489"/>
      <c r="O574" s="1423"/>
      <c r="P574" s="1484"/>
      <c r="Q574" s="1423"/>
      <c r="R574" s="1489"/>
      <c r="S574" s="1423"/>
      <c r="T574" s="1484"/>
      <c r="U574" s="1423"/>
      <c r="V574" s="1489"/>
      <c r="W574" s="1489"/>
      <c r="X574" s="1489"/>
      <c r="Y574" s="1489"/>
      <c r="Z574" s="1489"/>
      <c r="AA574" s="1425"/>
      <c r="AB574" s="1425"/>
      <c r="AC574" s="1425"/>
      <c r="AD574" s="1489"/>
      <c r="AF574" s="1489"/>
      <c r="AG574" s="1489"/>
      <c r="AH574" s="1489"/>
      <c r="AI574" s="1430"/>
      <c r="AJ574" s="1425"/>
      <c r="AK574" s="1425"/>
      <c r="AL574" s="748"/>
    </row>
    <row r="575" spans="1:38">
      <c r="A575" s="728">
        <v>570</v>
      </c>
      <c r="B575" s="727" t="s">
        <v>2714</v>
      </c>
      <c r="C575" s="1405">
        <f>E575/D575</f>
        <v>1168275</v>
      </c>
      <c r="D575" s="1404">
        <v>4.0000000000000002E-4</v>
      </c>
      <c r="E575" s="1488">
        <f>'1501 Summary'!AD417</f>
        <v>467.31</v>
      </c>
      <c r="F575" s="1489"/>
      <c r="G575" s="1489"/>
      <c r="H575" s="1489"/>
      <c r="I575" s="1489"/>
      <c r="J575" s="1489"/>
      <c r="K575" s="1405">
        <f>C575+G575</f>
        <v>1168275</v>
      </c>
      <c r="L575" s="1427">
        <f>D575</f>
        <v>4.0000000000000002E-4</v>
      </c>
      <c r="M575" s="1435">
        <f>L575*K575</f>
        <v>467.31</v>
      </c>
      <c r="N575" s="1489"/>
      <c r="O575" s="1423"/>
      <c r="P575" s="1484"/>
      <c r="Q575" s="1423"/>
      <c r="R575" s="1489"/>
      <c r="S575" s="1423"/>
      <c r="T575" s="1484"/>
      <c r="U575" s="1423"/>
      <c r="V575" s="1489"/>
      <c r="W575" s="1489"/>
      <c r="X575" s="1489"/>
      <c r="Y575" s="1489"/>
      <c r="Z575" s="1489"/>
      <c r="AA575" s="1425"/>
      <c r="AB575" s="1425"/>
      <c r="AC575" s="1425"/>
      <c r="AD575" s="1489"/>
      <c r="AF575" s="1489"/>
      <c r="AG575" s="1489"/>
      <c r="AH575" s="1489"/>
      <c r="AI575" s="1428"/>
      <c r="AJ575" s="1425"/>
      <c r="AK575" s="1425"/>
      <c r="AL575" s="748"/>
    </row>
    <row r="576" spans="1:38">
      <c r="A576" s="728">
        <v>571</v>
      </c>
      <c r="B576" s="727" t="s">
        <v>2777</v>
      </c>
      <c r="C576" s="1405">
        <f>E576/D576</f>
        <v>1168264</v>
      </c>
      <c r="D576" s="1520">
        <v>0.01</v>
      </c>
      <c r="E576" s="1488">
        <f>'1501 Summary'!AD418</f>
        <v>11682.64</v>
      </c>
      <c r="F576" s="1489"/>
      <c r="G576" s="1489"/>
      <c r="H576" s="1489"/>
      <c r="I576" s="1489"/>
      <c r="J576" s="1489"/>
      <c r="K576" s="1405">
        <f>C576+G576</f>
        <v>1168264</v>
      </c>
      <c r="L576" s="1427">
        <f>D576</f>
        <v>0.01</v>
      </c>
      <c r="M576" s="1435">
        <f>L576*K576</f>
        <v>11682.64</v>
      </c>
      <c r="N576" s="1489"/>
      <c r="O576" s="1423"/>
      <c r="P576" s="1484"/>
      <c r="Q576" s="1423"/>
      <c r="R576" s="1489"/>
      <c r="S576" s="1423"/>
      <c r="T576" s="1484"/>
      <c r="U576" s="1423"/>
      <c r="V576" s="1489"/>
      <c r="W576" s="1489"/>
      <c r="X576" s="1489"/>
      <c r="Y576" s="1489"/>
      <c r="Z576" s="1489"/>
      <c r="AA576" s="1425"/>
      <c r="AB576" s="1425"/>
      <c r="AC576" s="1425"/>
      <c r="AD576" s="1489"/>
      <c r="AF576" s="1489"/>
      <c r="AG576" s="1489"/>
      <c r="AH576" s="1489"/>
      <c r="AI576" s="1428"/>
      <c r="AJ576" s="1425"/>
      <c r="AK576" s="1425"/>
      <c r="AL576" s="748"/>
    </row>
    <row r="577" spans="1:38">
      <c r="A577" s="728">
        <v>572</v>
      </c>
      <c r="B577" s="727" t="s">
        <v>2774</v>
      </c>
      <c r="C577" s="1405">
        <f>E577/D577</f>
        <v>10.159522302158273</v>
      </c>
      <c r="D577" s="1484">
        <v>13900</v>
      </c>
      <c r="E577" s="1492">
        <f>'1501 Summary'!AD419</f>
        <v>141217.35999999999</v>
      </c>
      <c r="F577" s="1489"/>
      <c r="G577" s="1489"/>
      <c r="H577" s="1489"/>
      <c r="I577" s="1489"/>
      <c r="J577" s="1489"/>
      <c r="K577" s="1405">
        <f>C577+G577</f>
        <v>10.159522302158273</v>
      </c>
      <c r="L577" s="1422">
        <f>D577</f>
        <v>13900</v>
      </c>
      <c r="M577" s="1436">
        <f>L577*K577</f>
        <v>141217.35999999999</v>
      </c>
      <c r="N577" s="1489"/>
      <c r="O577" s="1423"/>
      <c r="P577" s="1484"/>
      <c r="Q577" s="1423"/>
      <c r="R577" s="1489"/>
      <c r="S577" s="1423"/>
      <c r="T577" s="1484"/>
      <c r="U577" s="1423"/>
      <c r="V577" s="1489"/>
      <c r="W577" s="1489"/>
      <c r="X577" s="1489"/>
      <c r="Y577" s="1489"/>
      <c r="Z577" s="1489"/>
      <c r="AA577" s="1425"/>
      <c r="AB577" s="1425"/>
      <c r="AC577" s="1425"/>
      <c r="AD577" s="1489"/>
      <c r="AF577" s="1489"/>
      <c r="AG577" s="1489"/>
      <c r="AH577" s="1489"/>
      <c r="AI577" s="1430"/>
      <c r="AJ577" s="1425"/>
      <c r="AK577" s="1425"/>
      <c r="AL577" s="748"/>
    </row>
    <row r="578" spans="1:38">
      <c r="A578" s="728">
        <v>573</v>
      </c>
      <c r="B578" s="727" t="s">
        <v>2648</v>
      </c>
      <c r="E578" s="1488">
        <f>SUM(E574:E577)</f>
        <v>160867.31</v>
      </c>
      <c r="F578" s="1489"/>
      <c r="G578" s="1489"/>
      <c r="H578" s="1489"/>
      <c r="I578" s="1489"/>
      <c r="J578" s="1489"/>
      <c r="K578" s="1405"/>
      <c r="L578" s="1427"/>
      <c r="M578" s="1435">
        <f>SUM(M574:M577)</f>
        <v>160867.31</v>
      </c>
      <c r="N578" s="1489"/>
      <c r="O578" s="1423"/>
      <c r="P578" s="1423"/>
      <c r="Q578" s="1423"/>
      <c r="R578" s="1489"/>
      <c r="S578" s="1423"/>
      <c r="T578" s="1423"/>
      <c r="U578" s="1423"/>
      <c r="V578" s="1489"/>
      <c r="W578" s="1489"/>
      <c r="X578" s="1489"/>
      <c r="Y578" s="1489"/>
      <c r="Z578" s="1489"/>
      <c r="AA578" s="1441"/>
      <c r="AB578" s="1441"/>
      <c r="AC578" s="1441"/>
      <c r="AD578" s="1489"/>
      <c r="AF578" s="1489"/>
      <c r="AG578" s="1489"/>
      <c r="AH578" s="1489"/>
      <c r="AI578" s="1430"/>
      <c r="AJ578" s="1425"/>
      <c r="AK578" s="1425"/>
      <c r="AL578" s="748"/>
    </row>
    <row r="579" spans="1:38">
      <c r="A579" s="728">
        <v>574</v>
      </c>
      <c r="E579" s="1488"/>
      <c r="F579" s="1489"/>
      <c r="G579" s="1489"/>
      <c r="H579" s="1489"/>
      <c r="I579" s="1489"/>
      <c r="J579" s="1489"/>
      <c r="K579" s="1405"/>
      <c r="L579" s="1427"/>
      <c r="M579" s="1435"/>
      <c r="N579" s="1489"/>
      <c r="O579" s="1423"/>
      <c r="P579" s="1423"/>
      <c r="Q579" s="1423"/>
      <c r="R579" s="1489"/>
      <c r="S579" s="1423"/>
      <c r="T579" s="1423"/>
      <c r="U579" s="1423"/>
      <c r="V579" s="1489"/>
      <c r="W579" s="1489"/>
      <c r="X579" s="1489"/>
      <c r="Y579" s="1489"/>
      <c r="Z579" s="1489"/>
      <c r="AD579" s="1489"/>
      <c r="AF579" s="1489"/>
      <c r="AG579" s="1489"/>
      <c r="AH579" s="1489"/>
      <c r="AI579" s="1430"/>
      <c r="AJ579" s="1425"/>
      <c r="AL579" s="748"/>
    </row>
    <row r="580" spans="1:38">
      <c r="A580" s="728">
        <v>575</v>
      </c>
      <c r="B580" s="727" t="s">
        <v>2651</v>
      </c>
      <c r="E580" s="1488"/>
      <c r="F580" s="1489"/>
      <c r="G580" s="1489"/>
      <c r="H580" s="1489"/>
      <c r="I580" s="1489"/>
      <c r="J580" s="1489"/>
      <c r="K580" s="1405"/>
      <c r="L580" s="1427"/>
      <c r="M580" s="1435"/>
      <c r="N580" s="1489"/>
      <c r="O580" s="1423"/>
      <c r="P580" s="1423"/>
      <c r="Q580" s="1423"/>
      <c r="R580" s="1489"/>
      <c r="S580" s="1423"/>
      <c r="T580" s="1423"/>
      <c r="U580" s="1423"/>
      <c r="V580" s="1489"/>
      <c r="W580" s="1489"/>
      <c r="X580" s="1489"/>
      <c r="Y580" s="1489"/>
      <c r="Z580" s="1489"/>
      <c r="AD580" s="1489"/>
      <c r="AF580" s="1489"/>
      <c r="AG580" s="1489"/>
      <c r="AH580" s="1489"/>
      <c r="AI580" s="1430"/>
      <c r="AJ580" s="1425"/>
      <c r="AL580" s="748"/>
    </row>
    <row r="581" spans="1:38">
      <c r="A581" s="728">
        <v>576</v>
      </c>
      <c r="B581" s="727" t="s">
        <v>2719</v>
      </c>
      <c r="E581" s="1488">
        <f>'1501 Summary'!AD420</f>
        <v>7100.3300000000008</v>
      </c>
      <c r="F581" s="1489"/>
      <c r="G581" s="1489"/>
      <c r="H581" s="1489"/>
      <c r="I581" s="1489"/>
      <c r="J581" s="1489"/>
      <c r="K581" s="1405"/>
      <c r="L581" s="1427"/>
      <c r="M581" s="1435"/>
      <c r="N581" s="1489"/>
      <c r="O581" s="1423"/>
      <c r="P581" s="1423"/>
      <c r="Q581" s="1423"/>
      <c r="R581" s="1489"/>
      <c r="S581" s="1423"/>
      <c r="T581" s="1423"/>
      <c r="U581" s="1423"/>
      <c r="V581" s="1489"/>
      <c r="W581" s="1489"/>
      <c r="X581" s="1489"/>
      <c r="Y581" s="1489"/>
      <c r="Z581" s="1489"/>
      <c r="AD581" s="1489"/>
      <c r="AF581" s="1489"/>
      <c r="AG581" s="1489"/>
      <c r="AH581" s="1489"/>
      <c r="AI581" s="1430"/>
      <c r="AJ581" s="1425"/>
      <c r="AL581" s="748"/>
    </row>
    <row r="582" spans="1:38">
      <c r="A582" s="728">
        <v>577</v>
      </c>
      <c r="B582" s="727" t="s">
        <v>0</v>
      </c>
      <c r="E582" s="1488">
        <f>'1501 Summary'!AD421</f>
        <v>0</v>
      </c>
      <c r="F582" s="1489"/>
      <c r="G582" s="1489"/>
      <c r="H582" s="1489"/>
      <c r="I582" s="1489"/>
      <c r="J582" s="1489"/>
      <c r="K582" s="1405"/>
      <c r="L582" s="1427"/>
      <c r="M582" s="1435"/>
      <c r="N582" s="1489"/>
      <c r="O582" s="1423"/>
      <c r="P582" s="1423"/>
      <c r="Q582" s="1423"/>
      <c r="R582" s="1489"/>
      <c r="S582" s="1423"/>
      <c r="T582" s="1423"/>
      <c r="U582" s="1423"/>
      <c r="V582" s="1489"/>
      <c r="W582" s="1489"/>
      <c r="X582" s="1489"/>
      <c r="Y582" s="1489"/>
      <c r="Z582" s="1489"/>
      <c r="AD582" s="1489"/>
      <c r="AF582" s="1489"/>
      <c r="AG582" s="1489"/>
      <c r="AH582" s="1489"/>
      <c r="AI582" s="1430"/>
      <c r="AJ582" s="1425"/>
      <c r="AL582" s="748"/>
    </row>
    <row r="583" spans="1:38">
      <c r="A583" s="728">
        <v>578</v>
      </c>
      <c r="B583" s="1482" t="s">
        <v>2697</v>
      </c>
      <c r="E583" s="1488">
        <f>'Revenue Reconcilliation'!Q420</f>
        <v>-182553.09000000003</v>
      </c>
      <c r="F583" s="1489"/>
      <c r="G583" s="1489"/>
      <c r="H583" s="1489"/>
      <c r="I583" s="1489"/>
      <c r="J583" s="1489"/>
      <c r="K583" s="1405"/>
      <c r="L583" s="1427"/>
      <c r="M583" s="1435"/>
      <c r="N583" s="1489"/>
      <c r="O583" s="1423"/>
      <c r="P583" s="1423"/>
      <c r="Q583" s="1423"/>
      <c r="R583" s="1489"/>
      <c r="S583" s="1423"/>
      <c r="T583" s="1423"/>
      <c r="U583" s="1423"/>
      <c r="V583" s="1489"/>
      <c r="W583" s="1489"/>
      <c r="X583" s="1489"/>
      <c r="Y583" s="1489"/>
      <c r="Z583" s="1489"/>
      <c r="AD583" s="1489"/>
      <c r="AF583" s="1489"/>
      <c r="AG583" s="1489"/>
      <c r="AH583" s="1489"/>
      <c r="AI583" s="1430"/>
      <c r="AJ583" s="1425"/>
      <c r="AL583" s="748"/>
    </row>
    <row r="584" spans="1:38">
      <c r="A584" s="728">
        <v>579</v>
      </c>
      <c r="B584" s="1482" t="s">
        <v>2698</v>
      </c>
      <c r="E584" s="1492">
        <f>'Revenue Reconcilliation'!Q421</f>
        <v>182518.64000000004</v>
      </c>
      <c r="F584" s="1489"/>
      <c r="G584" s="1489"/>
      <c r="H584" s="1489"/>
      <c r="I584" s="1489"/>
      <c r="J584" s="1489"/>
      <c r="K584" s="1405"/>
      <c r="L584" s="1427"/>
      <c r="M584" s="1435"/>
      <c r="N584" s="1489"/>
      <c r="O584" s="1423"/>
      <c r="P584" s="1423"/>
      <c r="Q584" s="1423"/>
      <c r="R584" s="1489"/>
      <c r="S584" s="1423"/>
      <c r="T584" s="1423"/>
      <c r="U584" s="1423"/>
      <c r="V584" s="1489"/>
      <c r="W584" s="1489"/>
      <c r="X584" s="1489"/>
      <c r="Y584" s="1489"/>
      <c r="Z584" s="1489"/>
      <c r="AD584" s="1489"/>
      <c r="AF584" s="1489"/>
      <c r="AG584" s="1489"/>
      <c r="AH584" s="1489"/>
      <c r="AI584" s="1430"/>
      <c r="AJ584" s="1425"/>
      <c r="AL584" s="748"/>
    </row>
    <row r="585" spans="1:38">
      <c r="A585" s="728">
        <v>580</v>
      </c>
      <c r="B585" s="1443" t="s">
        <v>2678</v>
      </c>
      <c r="E585" s="1488">
        <f>SUM(E581:E584)</f>
        <v>7065.8800000000047</v>
      </c>
      <c r="F585" s="1489"/>
      <c r="G585" s="1489"/>
      <c r="H585" s="1489"/>
      <c r="I585" s="1489"/>
      <c r="J585" s="1489"/>
      <c r="K585" s="1405"/>
      <c r="L585" s="1427"/>
      <c r="M585" s="1435"/>
      <c r="N585" s="1489"/>
      <c r="O585" s="1423"/>
      <c r="P585" s="1423"/>
      <c r="Q585" s="1423"/>
      <c r="R585" s="1489"/>
      <c r="S585" s="1423"/>
      <c r="T585" s="1423"/>
      <c r="U585" s="1423"/>
      <c r="V585" s="1489"/>
      <c r="W585" s="1489"/>
      <c r="X585" s="1489"/>
      <c r="Y585" s="1489"/>
      <c r="Z585" s="1489"/>
      <c r="AD585" s="1489"/>
      <c r="AF585" s="1489"/>
      <c r="AG585" s="1489"/>
      <c r="AH585" s="1489"/>
      <c r="AI585" s="1430"/>
      <c r="AJ585" s="1425"/>
      <c r="AL585" s="748"/>
    </row>
    <row r="586" spans="1:38">
      <c r="A586" s="728">
        <v>581</v>
      </c>
      <c r="B586" s="1443"/>
      <c r="E586" s="1488"/>
      <c r="K586" s="1405"/>
      <c r="L586" s="1427"/>
      <c r="M586" s="1435"/>
      <c r="O586" s="1423"/>
      <c r="P586" s="1423"/>
      <c r="Q586" s="1423"/>
      <c r="S586" s="1423"/>
      <c r="T586" s="1423"/>
      <c r="U586" s="1423"/>
      <c r="AI586" s="1430"/>
      <c r="AJ586" s="1425"/>
      <c r="AL586" s="748"/>
    </row>
    <row r="587" spans="1:38">
      <c r="A587" s="728">
        <v>582</v>
      </c>
      <c r="B587" s="1444" t="s">
        <v>2778</v>
      </c>
      <c r="C587" s="1459">
        <f>E587-'Revenue Reconcilliation'!Q422</f>
        <v>0</v>
      </c>
      <c r="D587" s="1445" t="s">
        <v>2673</v>
      </c>
      <c r="E587" s="1492">
        <f>SUM(E578,E585)</f>
        <v>167933.19</v>
      </c>
      <c r="F587" s="1516"/>
      <c r="G587" s="1516"/>
      <c r="H587" s="1516"/>
      <c r="I587" s="1516"/>
      <c r="J587" s="1516"/>
      <c r="K587" s="1447"/>
      <c r="L587" s="1446"/>
      <c r="M587" s="1436"/>
      <c r="N587" s="1516"/>
      <c r="O587" s="1437"/>
      <c r="P587" s="1437"/>
      <c r="Q587" s="1437"/>
      <c r="R587" s="1516"/>
      <c r="S587" s="1437"/>
      <c r="T587" s="1437"/>
      <c r="U587" s="1437"/>
      <c r="V587" s="1516"/>
      <c r="W587" s="1489"/>
      <c r="X587" s="1489"/>
      <c r="Y587" s="1489"/>
      <c r="Z587" s="1489"/>
      <c r="AA587" s="1421" t="s">
        <v>1809</v>
      </c>
      <c r="AB587" s="1445"/>
      <c r="AC587" s="1470">
        <f>ROUND(SUM(AC8,AC44,AC84,AC119,AC285,AC321),0)</f>
        <v>965833</v>
      </c>
      <c r="AD587" s="1516"/>
      <c r="AE587" s="1447"/>
      <c r="AF587" s="1516"/>
      <c r="AG587" s="1516"/>
      <c r="AH587" s="1516"/>
      <c r="AI587" s="1490"/>
      <c r="AJ587" s="1440"/>
      <c r="AK587" s="1445"/>
    </row>
    <row r="588" spans="1:38">
      <c r="A588" s="728">
        <v>583</v>
      </c>
      <c r="E588" s="1435"/>
      <c r="K588" s="1405"/>
      <c r="L588" s="1427"/>
      <c r="Q588" s="1423"/>
      <c r="U588" s="1423"/>
      <c r="AA588" s="1421" t="s">
        <v>1810</v>
      </c>
      <c r="AC588" s="1441">
        <f>-SUM(E18,E54,E91,E126,E161,E194,E227,E260,E292,E328,E465,E492,E516)</f>
        <v>-3879096.7900000024</v>
      </c>
      <c r="AE588" s="384"/>
      <c r="AF588" s="384"/>
      <c r="AG588" s="384"/>
      <c r="AH588" s="1407"/>
      <c r="AI588" s="1407"/>
      <c r="AJ588" s="1407"/>
      <c r="AK588" s="1407"/>
    </row>
    <row r="589" spans="1:38">
      <c r="A589" s="728">
        <v>584</v>
      </c>
      <c r="B589" s="1521" t="s">
        <v>2779</v>
      </c>
      <c r="C589" s="1407"/>
      <c r="D589" s="1407"/>
      <c r="E589" s="1522">
        <f>SUM(E578,E560,E541,E509,E485,E458,E439,E420,E401,E383,E364,E321,E285,E187,E119,E84,E45,E9,E154,E220,E253)</f>
        <v>98705686.87999998</v>
      </c>
      <c r="F589" s="1523"/>
      <c r="G589" s="1523"/>
      <c r="H589" s="1523"/>
      <c r="I589" s="1523"/>
      <c r="J589" s="1523"/>
      <c r="K589" s="1524"/>
      <c r="L589" s="1523"/>
      <c r="M589" s="1522">
        <f>SUM(M578,M560,M541,M509,M485,M458,M439,M420,M401,M383,M364,M321,M285,M187,M119,M84,M50,M14,M154,M220,M253)</f>
        <v>109752998.32510225</v>
      </c>
      <c r="N589" s="1523"/>
      <c r="O589" s="1523"/>
      <c r="P589" s="1523" t="s">
        <v>2780</v>
      </c>
      <c r="Q589" s="1522">
        <f>SUM(Q578,Q560,Q541,Q509,Q485,Q458,Q439,Q420,Q401,Q383,Q364,Q321,Q285,Q119,Q84,Q50,Q14)</f>
        <v>-8223</v>
      </c>
      <c r="R589" s="1523"/>
      <c r="S589" s="1523"/>
      <c r="T589" s="1523" t="s">
        <v>2781</v>
      </c>
      <c r="U589" s="1522">
        <f>SUM(U578,U560,U541,U509,U485,U458,U439,U420,U401,U383,U364,U321,U285,U119,U84,U50,U14)</f>
        <v>1057399.3900221004</v>
      </c>
      <c r="V589" s="1523"/>
      <c r="W589" s="1523"/>
      <c r="X589" s="1523" t="s">
        <v>2782</v>
      </c>
      <c r="Y589" s="1522">
        <f>Y321+Y119</f>
        <v>-134104.11531761975</v>
      </c>
      <c r="Z589" s="1523"/>
      <c r="AA589" s="1525" t="s">
        <v>1811</v>
      </c>
      <c r="AB589" s="1407"/>
      <c r="AC589" s="1526">
        <f>SUM(AC587:AC588)</f>
        <v>-2913263.7900000024</v>
      </c>
      <c r="AD589" s="1523"/>
      <c r="AE589" s="1527" t="s">
        <v>2783</v>
      </c>
      <c r="AF589" s="1483"/>
      <c r="AG589" s="1528">
        <f>SUM(AG14,AG50,AG84,AG119,AG285, AG321)</f>
        <v>0</v>
      </c>
      <c r="AH589" s="1483"/>
      <c r="AI589" s="1445"/>
      <c r="AJ589" s="1445"/>
      <c r="AK589" s="1529">
        <f>SUM(AK321,AK285,AK119,AK84,AK50,AK14)</f>
        <v>-390563.27449838072</v>
      </c>
    </row>
    <row r="590" spans="1:38">
      <c r="A590" s="728">
        <v>585</v>
      </c>
      <c r="B590" s="1448" t="s">
        <v>2784</v>
      </c>
      <c r="E590" s="1435">
        <f>SUM(E587,E571,E550,E531,E498,E475,E448,E429,E410,E392,E373,E350,E311,E213,E147,E112,E76,E39,E182,E246,E279)</f>
        <v>245576227.90000004</v>
      </c>
      <c r="F590" s="1484"/>
      <c r="G590" s="1484"/>
      <c r="H590" s="1484"/>
      <c r="I590" s="1484"/>
      <c r="J590" s="1484"/>
      <c r="K590" s="1405"/>
      <c r="L590" s="1484"/>
      <c r="M590" s="1484"/>
      <c r="N590" s="1484"/>
      <c r="O590" s="1484"/>
      <c r="P590" s="1484"/>
      <c r="Q590" s="1423"/>
      <c r="R590" s="1484"/>
      <c r="S590" s="1484"/>
      <c r="T590" s="1484"/>
      <c r="U590" s="1423"/>
      <c r="V590" s="1484"/>
      <c r="W590" s="1484"/>
      <c r="X590" s="1484"/>
      <c r="Y590" s="1484"/>
      <c r="Z590" s="1484"/>
      <c r="AD590" s="1484"/>
      <c r="AF590" s="1484"/>
      <c r="AG590" s="1484"/>
      <c r="AH590" s="1484"/>
    </row>
    <row r="591" spans="1:38">
      <c r="A591" s="728">
        <v>586</v>
      </c>
      <c r="E591" s="1435"/>
      <c r="K591" s="1530" t="s">
        <v>1820</v>
      </c>
      <c r="M591" s="1435">
        <f>-E589</f>
        <v>-98705686.87999998</v>
      </c>
      <c r="Q591" s="1423"/>
      <c r="U591" s="1423"/>
      <c r="AC591" s="1441"/>
    </row>
    <row r="592" spans="1:38">
      <c r="A592" s="728">
        <v>587</v>
      </c>
      <c r="B592" s="1448" t="s">
        <v>122</v>
      </c>
      <c r="E592" s="1449">
        <f>'Allocation Report Summary 2019'!P12</f>
        <v>527669.75999999989</v>
      </c>
      <c r="F592" s="1449"/>
      <c r="G592" s="1449"/>
      <c r="H592" s="1449"/>
      <c r="I592" s="1449"/>
      <c r="J592" s="1449"/>
      <c r="K592" s="1421" t="s">
        <v>2785</v>
      </c>
      <c r="L592" s="1449"/>
      <c r="M592" s="1435">
        <f>-SUM(E342,E303,E205,E141,E107,E70,E33,E176,E238,E271)</f>
        <v>4221975.1099999994</v>
      </c>
      <c r="N592" s="1449"/>
      <c r="O592" s="1449"/>
      <c r="P592" s="1449"/>
      <c r="Q592" s="1423"/>
      <c r="R592" s="1449"/>
      <c r="S592" s="1449"/>
      <c r="T592" s="1449"/>
      <c r="U592" s="1423"/>
      <c r="V592" s="1449"/>
      <c r="W592" s="1449"/>
      <c r="X592" s="1449"/>
      <c r="Y592" s="1449"/>
      <c r="Z592" s="1449"/>
      <c r="AD592" s="1449"/>
      <c r="AF592" s="1449"/>
      <c r="AG592" s="1449"/>
      <c r="AH592" s="1449"/>
    </row>
    <row r="593" spans="1:34">
      <c r="A593" s="728">
        <v>588</v>
      </c>
      <c r="B593" s="1448" t="s">
        <v>126</v>
      </c>
      <c r="E593" s="1449">
        <f>'Allocation Report Summary 2019'!P14</f>
        <v>0</v>
      </c>
      <c r="F593" s="1449"/>
      <c r="G593" s="1449"/>
      <c r="H593" s="1449"/>
      <c r="I593" s="1449"/>
      <c r="J593" s="1449"/>
      <c r="K593" s="727" t="s">
        <v>2786</v>
      </c>
      <c r="L593" s="1449"/>
      <c r="M593" s="1434">
        <f>-'WACAP 2019'!AD167</f>
        <v>-338287.40000000066</v>
      </c>
      <c r="N593" s="1449"/>
      <c r="O593" s="1449"/>
      <c r="P593" s="1449"/>
      <c r="Q593" s="1423"/>
      <c r="R593" s="1449"/>
      <c r="S593" s="1449"/>
      <c r="T593" s="1449"/>
      <c r="U593" s="1423"/>
      <c r="V593" s="1449"/>
      <c r="W593" s="1449"/>
      <c r="X593" s="1449"/>
      <c r="Y593" s="1449"/>
      <c r="Z593" s="1449"/>
      <c r="AD593" s="1449"/>
      <c r="AF593" s="1449"/>
      <c r="AG593" s="1449"/>
      <c r="AH593" s="1449"/>
    </row>
    <row r="594" spans="1:34">
      <c r="A594" s="728">
        <v>589</v>
      </c>
      <c r="B594" s="1448" t="s">
        <v>128</v>
      </c>
      <c r="E594" s="1449">
        <f>'Allocation Report Summary 2019'!P15</f>
        <v>127945.33</v>
      </c>
      <c r="F594" s="1449"/>
      <c r="G594" s="1449"/>
      <c r="H594" s="1449"/>
      <c r="I594" s="1449"/>
      <c r="J594" s="1449"/>
      <c r="K594" s="384"/>
      <c r="L594" s="384"/>
      <c r="M594" s="384"/>
      <c r="N594" s="1449"/>
      <c r="O594" s="1449"/>
      <c r="P594" s="1449"/>
      <c r="Q594" s="1423"/>
      <c r="R594" s="1449"/>
      <c r="S594" s="1449"/>
      <c r="T594" s="1449"/>
      <c r="U594" s="1423"/>
      <c r="V594" s="1449"/>
      <c r="W594" s="1449"/>
      <c r="X594" s="1449"/>
      <c r="Y594" s="1449"/>
      <c r="Z594" s="1449"/>
      <c r="AD594" s="1449"/>
      <c r="AF594" s="1449"/>
      <c r="AG594" s="1449"/>
      <c r="AH594" s="1449"/>
    </row>
    <row r="595" spans="1:34">
      <c r="A595" s="728">
        <v>590</v>
      </c>
      <c r="B595" s="1448" t="s">
        <v>130</v>
      </c>
      <c r="E595" s="1449">
        <f>'Allocation Report Summary 2019'!P16</f>
        <v>91457.44</v>
      </c>
      <c r="F595" s="1449"/>
      <c r="G595" s="1449"/>
      <c r="H595" s="1449"/>
      <c r="I595" s="1449"/>
      <c r="J595" s="1449"/>
      <c r="K595" s="1421" t="s">
        <v>2182</v>
      </c>
      <c r="L595" s="1449"/>
      <c r="M595" s="1531">
        <f>SUM(M589:M594)</f>
        <v>14930999.155102273</v>
      </c>
      <c r="N595" s="1449"/>
      <c r="O595" s="1449"/>
      <c r="P595" s="1449"/>
      <c r="Q595" s="1423"/>
      <c r="R595" s="1449"/>
      <c r="S595" s="1449"/>
      <c r="T595" s="1449"/>
      <c r="U595" s="1423"/>
      <c r="V595" s="1449"/>
      <c r="W595" s="1449"/>
      <c r="X595" s="1449"/>
      <c r="Y595" s="1449"/>
      <c r="Z595" s="1449"/>
      <c r="AD595" s="1449"/>
      <c r="AF595" s="1449"/>
      <c r="AG595" s="1449"/>
      <c r="AH595" s="1449"/>
    </row>
    <row r="596" spans="1:34">
      <c r="A596" s="728">
        <v>591</v>
      </c>
      <c r="B596" s="1448" t="s">
        <v>1261</v>
      </c>
      <c r="E596" s="1449">
        <f>'Allocation Report Summary 2019'!P18</f>
        <v>1001689</v>
      </c>
      <c r="F596" s="1449"/>
      <c r="G596" s="1449"/>
      <c r="H596" s="1449"/>
      <c r="I596" s="1449"/>
      <c r="J596" s="1449"/>
      <c r="K596" s="1530"/>
      <c r="L596" s="1449"/>
      <c r="M596" s="1449"/>
      <c r="N596" s="1449"/>
      <c r="O596" s="1449"/>
      <c r="P596" s="1449"/>
      <c r="Q596" s="1423"/>
      <c r="R596" s="1449"/>
      <c r="S596" s="1449"/>
      <c r="T596" s="1449"/>
      <c r="U596" s="1423"/>
      <c r="V596" s="1449"/>
      <c r="W596" s="1449"/>
      <c r="X596" s="1449"/>
      <c r="Y596" s="1449"/>
      <c r="Z596" s="1449"/>
      <c r="AD596" s="1449"/>
      <c r="AF596" s="1449"/>
      <c r="AG596" s="1449"/>
      <c r="AH596" s="1449"/>
    </row>
    <row r="597" spans="1:34">
      <c r="A597" s="728">
        <v>592</v>
      </c>
      <c r="B597" s="1448"/>
      <c r="E597" s="1435"/>
      <c r="K597" s="1530"/>
      <c r="M597" s="1532"/>
      <c r="Q597" s="1423"/>
      <c r="U597" s="1423"/>
    </row>
    <row r="598" spans="1:34">
      <c r="A598" s="728">
        <v>593</v>
      </c>
      <c r="B598" s="1448" t="s">
        <v>2787</v>
      </c>
      <c r="E598" s="1435">
        <f>SUM(E590:E596)</f>
        <v>247324989.43000004</v>
      </c>
      <c r="F598" s="1484"/>
      <c r="G598" s="1484"/>
      <c r="H598" s="1484"/>
      <c r="I598" s="1484"/>
      <c r="J598" s="1484"/>
      <c r="K598" s="1405"/>
      <c r="L598" s="1484"/>
      <c r="M598" s="1484"/>
      <c r="N598" s="1484"/>
      <c r="O598" s="1484"/>
      <c r="P598" s="1484"/>
      <c r="Q598" s="1423"/>
      <c r="R598" s="1484"/>
      <c r="S598" s="1484"/>
      <c r="T598" s="1484"/>
      <c r="U598" s="1423"/>
      <c r="V598" s="1484"/>
      <c r="W598" s="1484"/>
      <c r="X598" s="1484"/>
      <c r="Y598" s="1484"/>
      <c r="Z598" s="1484"/>
      <c r="AD598" s="1484"/>
      <c r="AF598" s="1484"/>
      <c r="AG598" s="1484"/>
      <c r="AH598" s="1484"/>
    </row>
    <row r="599" spans="1:34" ht="15.75" customHeight="1">
      <c r="A599" s="728">
        <v>594</v>
      </c>
      <c r="D599" s="1404" t="s">
        <v>2788</v>
      </c>
      <c r="E599" s="1484">
        <f>E598-'Allocation Report Summary 2019'!P20</f>
        <v>0</v>
      </c>
      <c r="K599" s="1533"/>
      <c r="M599" s="1534"/>
      <c r="Q599" s="1423"/>
      <c r="U599" s="1423"/>
    </row>
    <row r="600" spans="1:34">
      <c r="A600" s="728">
        <v>595</v>
      </c>
      <c r="F600" s="1484"/>
      <c r="G600" s="1484"/>
      <c r="H600" s="1484"/>
      <c r="I600" s="1484"/>
      <c r="J600" s="1484"/>
      <c r="K600" s="1484"/>
      <c r="L600" s="1484"/>
      <c r="M600" s="1484"/>
      <c r="N600" s="1484"/>
      <c r="O600" s="1484"/>
      <c r="P600" s="1484"/>
      <c r="Q600" s="1484"/>
      <c r="R600" s="1484"/>
      <c r="S600" s="1484"/>
      <c r="T600" s="1484"/>
      <c r="U600" s="1484"/>
      <c r="V600" s="1484"/>
      <c r="W600" s="1484"/>
      <c r="X600" s="1484"/>
      <c r="Y600" s="1484"/>
      <c r="Z600" s="1484"/>
      <c r="AD600" s="1484"/>
      <c r="AF600" s="1484"/>
      <c r="AG600" s="1484"/>
      <c r="AH600" s="1484"/>
    </row>
    <row r="601" spans="1:34">
      <c r="A601" s="728">
        <v>595</v>
      </c>
      <c r="B601" s="1448" t="s">
        <v>3270</v>
      </c>
      <c r="E601" s="1435">
        <f>1407934-1001689</f>
        <v>406245</v>
      </c>
      <c r="F601" s="1429"/>
      <c r="G601" s="1429"/>
      <c r="H601" s="1429"/>
      <c r="I601" s="1429"/>
      <c r="J601" s="1429"/>
      <c r="K601" s="1429"/>
      <c r="L601" s="1429"/>
      <c r="M601" s="1429"/>
      <c r="N601" s="1429"/>
      <c r="O601" s="1429"/>
      <c r="P601" s="1429"/>
      <c r="Q601" s="1429"/>
      <c r="R601" s="1429"/>
      <c r="S601" s="1429"/>
      <c r="T601" s="1429"/>
      <c r="U601" s="1429"/>
      <c r="V601" s="1429"/>
      <c r="W601" s="1429"/>
      <c r="X601" s="1429"/>
      <c r="Y601" s="1429"/>
      <c r="Z601" s="1429"/>
      <c r="AD601" s="1429"/>
      <c r="AF601" s="1429"/>
      <c r="AG601" s="1429"/>
      <c r="AH601" s="1429"/>
    </row>
    <row r="602" spans="1:34">
      <c r="A602" s="728">
        <v>595</v>
      </c>
      <c r="C602" s="1484"/>
      <c r="E602" s="1422"/>
    </row>
    <row r="603" spans="1:34">
      <c r="A603" s="728">
        <v>595</v>
      </c>
      <c r="E603" s="1423"/>
    </row>
    <row r="604" spans="1:34">
      <c r="E604" s="1422"/>
    </row>
    <row r="605" spans="1:34">
      <c r="E605" s="1422"/>
    </row>
  </sheetData>
  <mergeCells count="8">
    <mergeCell ref="AE3:AG3"/>
    <mergeCell ref="AI3:AK3"/>
    <mergeCell ref="G3:I3"/>
    <mergeCell ref="K3:M3"/>
    <mergeCell ref="O3:Q3"/>
    <mergeCell ref="S3:U3"/>
    <mergeCell ref="W3:Y3"/>
    <mergeCell ref="AA3:AC3"/>
  </mergeCells>
  <dataValidations disablePrompts="1" count="1">
    <dataValidation type="list" allowBlank="1" showInputMessage="1" showErrorMessage="1" sqref="AM3" xr:uid="{5064D469-1DD5-4DDD-B5B6-AC2B24609DB3}">
      <formula1>"Yes, No"</formula1>
    </dataValidation>
  </dataValidations>
  <printOptions horizontalCentered="1"/>
  <pageMargins left="0.5" right="0.5" top="1" bottom="0.75" header="0.5" footer="0.3"/>
  <pageSetup scale="23" fitToHeight="0" orientation="landscape" useFirstPageNumber="1" horizontalDpi="1200" verticalDpi="1200" r:id="rId1"/>
  <headerFooter scaleWithDoc="0">
    <oddHeader>&amp;C&amp;10Cascade Natural Gas Corporation
SUMMARY OF REVENUES BY RATE SCHEDULE&amp;R&amp;9Docket No. UG-200568
Exhibit No. ___ (IDM-7)
Page &amp;P of 5</oddHead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3F2C-9571-40BC-951D-D41D348928D9}">
  <sheetPr codeName="Sheet82">
    <tabColor theme="5"/>
  </sheetPr>
  <dimension ref="A1:J42"/>
  <sheetViews>
    <sheetView topLeftCell="A9" zoomScale="80" zoomScaleNormal="80" workbookViewId="0">
      <selection activeCell="F27" sqref="F27"/>
    </sheetView>
  </sheetViews>
  <sheetFormatPr defaultColWidth="8.88671875" defaultRowHeight="14.4"/>
  <cols>
    <col min="1" max="1" width="6" style="830" customWidth="1"/>
    <col min="2" max="2" width="19.109375" style="830" bestFit="1" customWidth="1"/>
    <col min="3" max="3" width="12.6640625" style="830" customWidth="1"/>
    <col min="4" max="5" width="18.6640625" style="830" customWidth="1"/>
    <col min="6" max="7" width="14.6640625" style="830" customWidth="1"/>
    <col min="8" max="8" width="6" style="830" customWidth="1"/>
    <col min="9" max="9" width="12.6640625" style="830" customWidth="1"/>
    <col min="10" max="10" width="10.88671875" style="830" customWidth="1"/>
    <col min="11" max="11" width="8.88671875" style="830"/>
    <col min="12" max="12" width="10.5546875" style="830" bestFit="1" customWidth="1"/>
    <col min="13" max="16384" width="8.88671875" style="830"/>
  </cols>
  <sheetData>
    <row r="1" spans="1:10">
      <c r="A1" s="849" t="str">
        <f>'Exh 17, Class Revenue'!A1</f>
        <v>Cascade Natural Gas Corporation</v>
      </c>
      <c r="H1" s="1331" t="s">
        <v>2500</v>
      </c>
      <c r="J1" s="830" t="s">
        <v>49</v>
      </c>
    </row>
    <row r="2" spans="1:10">
      <c r="A2" s="849" t="str">
        <f>'Exh 17, Class Revenue'!A2</f>
        <v>Washington Jurisdiction</v>
      </c>
      <c r="H2" s="1331" t="s">
        <v>2454</v>
      </c>
    </row>
    <row r="3" spans="1:10">
      <c r="A3" s="846" t="s">
        <v>2455</v>
      </c>
      <c r="H3" s="1332" t="s">
        <v>2501</v>
      </c>
    </row>
    <row r="4" spans="1:10">
      <c r="A4" s="846"/>
    </row>
    <row r="5" spans="1:10">
      <c r="A5" s="846"/>
    </row>
    <row r="6" spans="1:10">
      <c r="A6" s="851" t="str">
        <f>'Exh 18, Class Rates'!C8</f>
        <v>Residential - 503</v>
      </c>
    </row>
    <row r="8" spans="1:10">
      <c r="A8" s="852" t="s">
        <v>2502</v>
      </c>
    </row>
    <row r="9" spans="1:10" ht="16.2">
      <c r="A9" s="853" t="s">
        <v>2503</v>
      </c>
      <c r="B9" s="853" t="s">
        <v>97</v>
      </c>
      <c r="C9" s="853" t="s">
        <v>98</v>
      </c>
      <c r="D9" s="853" t="s">
        <v>2504</v>
      </c>
      <c r="E9" s="853" t="s">
        <v>1098</v>
      </c>
      <c r="F9" s="853" t="s">
        <v>2505</v>
      </c>
      <c r="G9" s="853" t="s">
        <v>1100</v>
      </c>
    </row>
    <row r="10" spans="1:10">
      <c r="A10" s="852"/>
      <c r="B10" s="854"/>
      <c r="C10" s="1602"/>
      <c r="D10" s="855" t="s">
        <v>2506</v>
      </c>
      <c r="E10" s="856" t="s">
        <v>2314</v>
      </c>
    </row>
    <row r="11" spans="1:10" ht="16.2">
      <c r="A11" s="852"/>
      <c r="B11" s="857"/>
      <c r="D11" s="853" t="s">
        <v>2324</v>
      </c>
      <c r="E11" s="858" t="s">
        <v>2324</v>
      </c>
    </row>
    <row r="12" spans="1:10">
      <c r="A12" s="852">
        <f>MAX(A1:A11)+1</f>
        <v>1</v>
      </c>
      <c r="B12" s="857" t="s">
        <v>2462</v>
      </c>
      <c r="D12" s="859">
        <f>'Exh 18, Class Rates'!E9</f>
        <v>5</v>
      </c>
      <c r="E12" s="872">
        <f>'Exh 18, Class Rates'!H9</f>
        <v>5</v>
      </c>
    </row>
    <row r="13" spans="1:10">
      <c r="A13" s="852"/>
      <c r="B13" s="857"/>
      <c r="D13" s="859"/>
      <c r="E13" s="872"/>
    </row>
    <row r="14" spans="1:10">
      <c r="A14" s="852">
        <f>MAX(A3:A13)+1</f>
        <v>2</v>
      </c>
      <c r="B14" s="857" t="s">
        <v>2463</v>
      </c>
      <c r="D14" s="1615">
        <f>'Exh 18, Class Rates'!E10</f>
        <v>0.31073000000000001</v>
      </c>
      <c r="E14" s="1241">
        <f>'Exh 18, Class Rates'!H10</f>
        <v>0.30927327776368324</v>
      </c>
    </row>
    <row r="15" spans="1:10">
      <c r="A15" s="852"/>
      <c r="B15" s="857"/>
      <c r="D15" s="859"/>
      <c r="E15" s="835"/>
    </row>
    <row r="16" spans="1:10">
      <c r="A16" s="852">
        <f>MAX(A7:A15)+1</f>
        <v>3</v>
      </c>
      <c r="B16" s="860" t="s">
        <v>2507</v>
      </c>
      <c r="C16" s="1603"/>
      <c r="D16" s="869">
        <f>'Exh 20, Bill Impacts'!D15</f>
        <v>0.57362999999999997</v>
      </c>
      <c r="E16" s="866">
        <f>D16</f>
        <v>0.57362999999999997</v>
      </c>
    </row>
    <row r="17" spans="1:10">
      <c r="A17" s="852"/>
      <c r="D17" s="838"/>
      <c r="E17" s="838"/>
    </row>
    <row r="18" spans="1:10">
      <c r="A18" s="852"/>
    </row>
    <row r="19" spans="1:10" ht="16.2">
      <c r="A19" s="852"/>
      <c r="B19" s="852"/>
      <c r="C19" s="852" t="s">
        <v>1030</v>
      </c>
      <c r="D19" s="852" t="s">
        <v>2508</v>
      </c>
      <c r="E19" s="852" t="s">
        <v>2508</v>
      </c>
      <c r="F19" s="861" t="s">
        <v>2509</v>
      </c>
      <c r="G19" s="861"/>
    </row>
    <row r="20" spans="1:10">
      <c r="A20" s="852"/>
      <c r="B20" s="852"/>
      <c r="C20" s="852" t="s">
        <v>2510</v>
      </c>
      <c r="D20" s="852" t="s">
        <v>2506</v>
      </c>
      <c r="E20" s="852" t="s">
        <v>2314</v>
      </c>
      <c r="F20" s="852"/>
      <c r="G20" s="852"/>
    </row>
    <row r="21" spans="1:10" ht="16.2">
      <c r="A21" s="852"/>
      <c r="B21" s="853" t="s">
        <v>2511</v>
      </c>
      <c r="C21" s="853" t="s">
        <v>2512</v>
      </c>
      <c r="D21" s="853" t="s">
        <v>2324</v>
      </c>
      <c r="E21" s="853" t="s">
        <v>2324</v>
      </c>
      <c r="F21" s="853" t="s">
        <v>729</v>
      </c>
      <c r="G21" s="853" t="s">
        <v>2513</v>
      </c>
      <c r="I21" s="849"/>
    </row>
    <row r="22" spans="1:10">
      <c r="A22" s="852"/>
      <c r="I22" s="830" t="s">
        <v>2514</v>
      </c>
      <c r="J22" s="830" t="s">
        <v>2515</v>
      </c>
    </row>
    <row r="23" spans="1:10">
      <c r="A23" s="852">
        <f>MAX(A13:A22)+1</f>
        <v>4</v>
      </c>
      <c r="B23" s="890" t="s">
        <v>2516</v>
      </c>
      <c r="C23" s="1604">
        <f>ROUND(I23/$J$23,0)</f>
        <v>109</v>
      </c>
      <c r="D23" s="898">
        <f>D$12+(D$14+D$16)*$C23</f>
        <v>101.39524</v>
      </c>
      <c r="E23" s="898">
        <f>E$12+(E$14+E$16)*$C23</f>
        <v>101.23645727624147</v>
      </c>
      <c r="F23" s="898">
        <f>E23-D23</f>
        <v>-0.15878272375853442</v>
      </c>
      <c r="G23" s="836">
        <f>F23/D23</f>
        <v>-1.5659780849528481E-3</v>
      </c>
      <c r="I23" s="1605">
        <f>'Weather Normalization'!E4</f>
        <v>21127127.921285022</v>
      </c>
      <c r="J23" s="1606">
        <f>'Exh 2, Proof of Revenue'!K7/12</f>
        <v>193477.59333333335</v>
      </c>
    </row>
    <row r="24" spans="1:10">
      <c r="A24" s="852">
        <f>MAX(A14:A23)+1</f>
        <v>5</v>
      </c>
      <c r="B24" s="890" t="s">
        <v>2517</v>
      </c>
      <c r="C24" s="1604">
        <f t="shared" ref="C24:C34" si="0">ROUND(I24/$J$23,0)</f>
        <v>88</v>
      </c>
      <c r="D24" s="898">
        <f t="shared" ref="D24:E34" si="1">D$12+(D$14+D$16)*$C24</f>
        <v>82.823679999999996</v>
      </c>
      <c r="E24" s="898">
        <f t="shared" si="1"/>
        <v>82.695488443204113</v>
      </c>
      <c r="F24" s="898">
        <f t="shared" ref="F24:F34" si="2">E24-D24</f>
        <v>-0.12819155679588334</v>
      </c>
      <c r="G24" s="836">
        <f t="shared" ref="G24:G34" si="3">F24/D24</f>
        <v>-1.5477645619692744E-3</v>
      </c>
      <c r="I24" s="1607">
        <f>'Weather Normalization'!E5</f>
        <v>17020957.494531143</v>
      </c>
      <c r="J24" s="1608"/>
    </row>
    <row r="25" spans="1:10">
      <c r="A25" s="852">
        <f>MAX(A15:A24)+1</f>
        <v>6</v>
      </c>
      <c r="B25" s="890" t="s">
        <v>2518</v>
      </c>
      <c r="C25" s="1604">
        <f t="shared" si="0"/>
        <v>74</v>
      </c>
      <c r="D25" s="898">
        <f t="shared" si="1"/>
        <v>70.442639999999997</v>
      </c>
      <c r="E25" s="898">
        <f t="shared" si="1"/>
        <v>70.334842554512548</v>
      </c>
      <c r="F25" s="898">
        <f t="shared" si="2"/>
        <v>-0.10779744548744929</v>
      </c>
      <c r="G25" s="836">
        <f t="shared" si="3"/>
        <v>-1.5302868473902923E-3</v>
      </c>
      <c r="I25" s="1607">
        <f>'Weather Normalization'!E6</f>
        <v>14382332.729983674</v>
      </c>
      <c r="J25" s="1608"/>
    </row>
    <row r="26" spans="1:10">
      <c r="A26" s="852">
        <f>MAX(A16:A25)+1</f>
        <v>7</v>
      </c>
      <c r="B26" s="890" t="s">
        <v>2519</v>
      </c>
      <c r="C26" s="1604">
        <f t="shared" si="0"/>
        <v>49</v>
      </c>
      <c r="D26" s="898">
        <f t="shared" si="1"/>
        <v>48.333640000000003</v>
      </c>
      <c r="E26" s="898">
        <f t="shared" si="1"/>
        <v>48.262260610420476</v>
      </c>
      <c r="F26" s="898">
        <f t="shared" si="2"/>
        <v>-7.1379389579526276E-2</v>
      </c>
      <c r="G26" s="836">
        <f t="shared" si="3"/>
        <v>-1.4768055867409586E-3</v>
      </c>
      <c r="I26" s="1607">
        <f>'Weather Normalization'!E7</f>
        <v>9454438.0865489114</v>
      </c>
      <c r="J26" s="1608"/>
    </row>
    <row r="27" spans="1:10">
      <c r="A27" s="852">
        <f t="shared" ref="A27:A35" si="4">MAX(A18:A26)+1</f>
        <v>8</v>
      </c>
      <c r="B27" s="890" t="s">
        <v>2520</v>
      </c>
      <c r="C27" s="1604">
        <f t="shared" si="0"/>
        <v>31</v>
      </c>
      <c r="D27" s="898">
        <f t="shared" si="1"/>
        <v>32.41516</v>
      </c>
      <c r="E27" s="898">
        <f t="shared" si="1"/>
        <v>32.37000161067418</v>
      </c>
      <c r="F27" s="898">
        <f t="shared" si="2"/>
        <v>-4.5158389325820281E-2</v>
      </c>
      <c r="G27" s="836">
        <f t="shared" si="3"/>
        <v>-1.3931256031381699E-3</v>
      </c>
      <c r="I27" s="1607">
        <f>'Weather Normalization'!E8</f>
        <v>6001953.0208063405</v>
      </c>
      <c r="J27" s="1608"/>
    </row>
    <row r="28" spans="1:10">
      <c r="A28" s="852">
        <f t="shared" si="4"/>
        <v>9</v>
      </c>
      <c r="B28" s="890" t="s">
        <v>2521</v>
      </c>
      <c r="C28" s="1604">
        <f t="shared" si="0"/>
        <v>19</v>
      </c>
      <c r="D28" s="898">
        <f t="shared" si="1"/>
        <v>21.80284</v>
      </c>
      <c r="E28" s="898">
        <f t="shared" si="1"/>
        <v>21.775162277509981</v>
      </c>
      <c r="F28" s="898">
        <f t="shared" si="2"/>
        <v>-2.7677722490018652E-2</v>
      </c>
      <c r="G28" s="836">
        <f t="shared" si="3"/>
        <v>-1.2694549191765226E-3</v>
      </c>
      <c r="I28" s="1607">
        <f>'Weather Normalization'!E9</f>
        <v>3673706.3233785499</v>
      </c>
      <c r="J28" s="1608"/>
    </row>
    <row r="29" spans="1:10">
      <c r="A29" s="852">
        <f t="shared" si="4"/>
        <v>10</v>
      </c>
      <c r="B29" s="890" t="s">
        <v>2522</v>
      </c>
      <c r="C29" s="1604">
        <f t="shared" si="0"/>
        <v>16</v>
      </c>
      <c r="D29" s="898">
        <f t="shared" si="1"/>
        <v>19.149760000000001</v>
      </c>
      <c r="E29" s="898">
        <f t="shared" si="1"/>
        <v>19.126452444218931</v>
      </c>
      <c r="F29" s="898">
        <f t="shared" si="2"/>
        <v>-2.3307555781070022E-2</v>
      </c>
      <c r="G29" s="836">
        <f t="shared" si="3"/>
        <v>-1.2171199942490152E-3</v>
      </c>
      <c r="I29" s="1607">
        <f>'Weather Normalization'!E10</f>
        <v>3078408.4761805134</v>
      </c>
      <c r="J29" s="1608"/>
    </row>
    <row r="30" spans="1:10">
      <c r="A30" s="852">
        <f t="shared" si="4"/>
        <v>11</v>
      </c>
      <c r="B30" s="890" t="s">
        <v>2523</v>
      </c>
      <c r="C30" s="1604">
        <f t="shared" si="0"/>
        <v>16</v>
      </c>
      <c r="D30" s="898">
        <f t="shared" si="1"/>
        <v>19.149760000000001</v>
      </c>
      <c r="E30" s="898">
        <f t="shared" si="1"/>
        <v>19.126452444218931</v>
      </c>
      <c r="F30" s="898">
        <f t="shared" si="2"/>
        <v>-2.3307555781070022E-2</v>
      </c>
      <c r="G30" s="836">
        <f t="shared" si="3"/>
        <v>-1.2171199942490152E-3</v>
      </c>
      <c r="I30" s="1607">
        <f>'Weather Normalization'!E11</f>
        <v>3078938.801196483</v>
      </c>
      <c r="J30" s="1608"/>
    </row>
    <row r="31" spans="1:10">
      <c r="A31" s="852">
        <f t="shared" si="4"/>
        <v>12</v>
      </c>
      <c r="B31" s="890" t="s">
        <v>2524</v>
      </c>
      <c r="C31" s="1604">
        <f t="shared" si="0"/>
        <v>20</v>
      </c>
      <c r="D31" s="898">
        <f t="shared" si="1"/>
        <v>22.687200000000001</v>
      </c>
      <c r="E31" s="898">
        <f t="shared" si="1"/>
        <v>22.658065555273662</v>
      </c>
      <c r="F31" s="898">
        <f t="shared" si="2"/>
        <v>-2.9134444726338415E-2</v>
      </c>
      <c r="G31" s="836">
        <f t="shared" si="3"/>
        <v>-1.2841798338419203E-3</v>
      </c>
      <c r="I31" s="1607">
        <f>'Weather Normalization'!E12</f>
        <v>3922180.1070021633</v>
      </c>
      <c r="J31" s="1608"/>
    </row>
    <row r="32" spans="1:10">
      <c r="A32" s="852">
        <f t="shared" si="4"/>
        <v>13</v>
      </c>
      <c r="B32" s="890" t="s">
        <v>2525</v>
      </c>
      <c r="C32" s="1604">
        <f t="shared" si="0"/>
        <v>47</v>
      </c>
      <c r="D32" s="898">
        <f t="shared" si="1"/>
        <v>46.564920000000001</v>
      </c>
      <c r="E32" s="898">
        <f t="shared" si="1"/>
        <v>46.496454054893107</v>
      </c>
      <c r="F32" s="898">
        <f t="shared" si="2"/>
        <v>-6.8465945106893855E-2</v>
      </c>
      <c r="G32" s="836">
        <f t="shared" si="3"/>
        <v>-1.47033314149136E-3</v>
      </c>
      <c r="I32" s="1607">
        <f>'Weather Normalization'!E13</f>
        <v>9041686.1170839723</v>
      </c>
      <c r="J32" s="1608"/>
    </row>
    <row r="33" spans="1:10">
      <c r="A33" s="852">
        <f t="shared" si="4"/>
        <v>14</v>
      </c>
      <c r="B33" s="890" t="s">
        <v>2526</v>
      </c>
      <c r="C33" s="1604">
        <f t="shared" si="0"/>
        <v>88</v>
      </c>
      <c r="D33" s="898">
        <f t="shared" si="1"/>
        <v>82.823679999999996</v>
      </c>
      <c r="E33" s="898">
        <f t="shared" si="1"/>
        <v>82.695488443204113</v>
      </c>
      <c r="F33" s="898">
        <f t="shared" si="2"/>
        <v>-0.12819155679588334</v>
      </c>
      <c r="G33" s="836">
        <f t="shared" si="3"/>
        <v>-1.5477645619692744E-3</v>
      </c>
      <c r="I33" s="1607">
        <f>'Weather Normalization'!E14</f>
        <v>16939826.735064078</v>
      </c>
      <c r="J33" s="1608"/>
    </row>
    <row r="34" spans="1:10" ht="16.2">
      <c r="A34" s="852">
        <f t="shared" si="4"/>
        <v>15</v>
      </c>
      <c r="B34" s="890" t="s">
        <v>2527</v>
      </c>
      <c r="C34" s="1609">
        <f t="shared" si="0"/>
        <v>118</v>
      </c>
      <c r="D34" s="1610">
        <f t="shared" si="1"/>
        <v>109.35448000000001</v>
      </c>
      <c r="E34" s="1610">
        <f t="shared" si="1"/>
        <v>109.18258677611462</v>
      </c>
      <c r="F34" s="1610">
        <f t="shared" si="2"/>
        <v>-0.17189322388539097</v>
      </c>
      <c r="G34" s="836">
        <f t="shared" si="3"/>
        <v>-1.571890094355448E-3</v>
      </c>
      <c r="I34" s="1611">
        <f>'Weather Normalization'!E15</f>
        <v>22806992.536832273</v>
      </c>
      <c r="J34" s="1612"/>
    </row>
    <row r="35" spans="1:10" ht="16.2">
      <c r="A35" s="852">
        <f t="shared" si="4"/>
        <v>16</v>
      </c>
      <c r="B35" s="830" t="s">
        <v>51</v>
      </c>
      <c r="C35" s="1613">
        <f>SUM(C23:C34)</f>
        <v>675</v>
      </c>
      <c r="D35" s="1614">
        <f>SUM(D23:D34)</f>
        <v>656.94299999999998</v>
      </c>
      <c r="E35" s="1614">
        <f>SUM(E23:E34)</f>
        <v>655.95971249048614</v>
      </c>
      <c r="F35" s="1614">
        <f>SUM(F23:F34)</f>
        <v>-0.98328750951387889</v>
      </c>
      <c r="G35" s="836"/>
      <c r="I35" s="834">
        <f>'Weather Normalization'!E16</f>
        <v>130528548.34989311</v>
      </c>
    </row>
    <row r="36" spans="1:10">
      <c r="A36" s="852"/>
      <c r="I36" s="834">
        <f>ROUND(I35/J23, 0)-C35</f>
        <v>0</v>
      </c>
    </row>
    <row r="37" spans="1:10">
      <c r="A37" s="852">
        <f>MAX(A28:A36)+1</f>
        <v>17</v>
      </c>
      <c r="B37" s="830" t="s">
        <v>2528</v>
      </c>
      <c r="C37" s="1200">
        <f>C35/12</f>
        <v>56.25</v>
      </c>
      <c r="D37" s="893">
        <f>D35/12</f>
        <v>54.745249999999999</v>
      </c>
      <c r="E37" s="893">
        <f>E35/12</f>
        <v>54.663309374207181</v>
      </c>
      <c r="F37" s="893">
        <f>F35/12</f>
        <v>-8.1940625792823241E-2</v>
      </c>
      <c r="G37" s="836">
        <f>F37/D37</f>
        <v>-1.4967622906612581E-3</v>
      </c>
    </row>
    <row r="39" spans="1:10">
      <c r="D39" s="893"/>
    </row>
    <row r="40" spans="1:10">
      <c r="D40" s="893"/>
    </row>
    <row r="41" spans="1:10">
      <c r="D41" s="899"/>
      <c r="E41" s="893"/>
    </row>
    <row r="42" spans="1:10">
      <c r="D42" s="834"/>
      <c r="E42" s="893"/>
    </row>
  </sheetData>
  <printOptions horizontalCentered="1"/>
  <pageMargins left="0.7" right="0.7" top="0.5" bottom="0.75" header="0.3" footer="0.3"/>
  <pageSetup scale="75"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0897D-8CB7-44A7-954A-CC50512749E5}">
  <sheetPr codeName="Sheet83">
    <tabColor theme="5"/>
  </sheetPr>
  <dimension ref="A1:N417"/>
  <sheetViews>
    <sheetView zoomScale="80" zoomScaleNormal="80" workbookViewId="0">
      <selection activeCell="F27" sqref="F27"/>
    </sheetView>
  </sheetViews>
  <sheetFormatPr defaultColWidth="9.109375" defaultRowHeight="14.4" outlineLevelRow="1"/>
  <cols>
    <col min="1" max="1" width="4.5546875" style="830" customWidth="1"/>
    <col min="2" max="2" width="6.6640625" style="830" customWidth="1"/>
    <col min="3" max="3" width="22.5546875" style="830" customWidth="1"/>
    <col min="4" max="7" width="20.6640625" style="830" customWidth="1"/>
    <col min="8" max="8" width="7.44140625" style="830" customWidth="1"/>
    <col min="9" max="9" width="9.109375" style="830" customWidth="1"/>
    <col min="10" max="10" width="9.109375" style="848"/>
    <col min="11" max="12" width="9.109375" style="830"/>
    <col min="13" max="13" width="10.5546875" style="830" bestFit="1" customWidth="1"/>
    <col min="14" max="16384" width="9.109375" style="830"/>
  </cols>
  <sheetData>
    <row r="1" spans="1:10">
      <c r="A1" s="849" t="str">
        <f>'Exh 17, Class Revenue'!A1</f>
        <v>Cascade Natural Gas Corporation</v>
      </c>
      <c r="H1" s="847" t="s">
        <v>2529</v>
      </c>
      <c r="J1" s="848" t="s">
        <v>49</v>
      </c>
    </row>
    <row r="2" spans="1:10">
      <c r="A2" s="849" t="str">
        <f>'Exh 17, Class Revenue'!A2</f>
        <v>Washington Jurisdiction</v>
      </c>
      <c r="H2" s="847" t="s">
        <v>2454</v>
      </c>
    </row>
    <row r="3" spans="1:10">
      <c r="A3" s="849" t="s">
        <v>2455</v>
      </c>
      <c r="H3" s="850" t="s">
        <v>2530</v>
      </c>
    </row>
    <row r="4" spans="1:10">
      <c r="A4" s="849"/>
    </row>
    <row r="5" spans="1:10">
      <c r="B5" s="851" t="str">
        <f>'Exh 18, Class Rates'!C8</f>
        <v>Residential - 503</v>
      </c>
    </row>
    <row r="7" spans="1:10">
      <c r="B7" s="852" t="s">
        <v>2502</v>
      </c>
    </row>
    <row r="8" spans="1:10" ht="16.2">
      <c r="B8" s="853" t="s">
        <v>2503</v>
      </c>
      <c r="C8" s="853" t="s">
        <v>97</v>
      </c>
      <c r="D8" s="853" t="s">
        <v>98</v>
      </c>
      <c r="E8" s="853" t="s">
        <v>2504</v>
      </c>
      <c r="F8" s="853" t="s">
        <v>1098</v>
      </c>
      <c r="G8" s="853" t="s">
        <v>2505</v>
      </c>
    </row>
    <row r="9" spans="1:10">
      <c r="B9" s="852"/>
      <c r="C9" s="854"/>
      <c r="D9" s="855" t="s">
        <v>2506</v>
      </c>
      <c r="E9" s="856" t="s">
        <v>2314</v>
      </c>
    </row>
    <row r="10" spans="1:10" ht="16.2">
      <c r="B10" s="852"/>
      <c r="C10" s="857"/>
      <c r="D10" s="853" t="s">
        <v>2324</v>
      </c>
      <c r="E10" s="858" t="s">
        <v>2324</v>
      </c>
    </row>
    <row r="11" spans="1:10">
      <c r="B11" s="852">
        <f>MAX(B1:B10)+1</f>
        <v>1</v>
      </c>
      <c r="C11" s="857" t="s">
        <v>2462</v>
      </c>
      <c r="D11" s="859">
        <f>'Exh 18, Class Rates'!E9</f>
        <v>5</v>
      </c>
      <c r="E11" s="872">
        <f>'Exh 18, Class Rates'!H9</f>
        <v>5</v>
      </c>
    </row>
    <row r="12" spans="1:10">
      <c r="B12" s="852"/>
      <c r="C12" s="857"/>
      <c r="D12" s="859"/>
      <c r="E12" s="872"/>
    </row>
    <row r="13" spans="1:10">
      <c r="B13" s="852">
        <f>MAX(B3:B12)+1</f>
        <v>2</v>
      </c>
      <c r="C13" s="857" t="s">
        <v>2463</v>
      </c>
      <c r="D13" s="838">
        <f>'Exh 18, Class Rates'!E10</f>
        <v>0.31073000000000001</v>
      </c>
      <c r="E13" s="1241">
        <f>'Exh 18, Class Rates'!H10</f>
        <v>0.30927327776368324</v>
      </c>
    </row>
    <row r="14" spans="1:10">
      <c r="B14" s="852"/>
      <c r="C14" s="857"/>
      <c r="D14" s="859"/>
      <c r="E14" s="835"/>
    </row>
    <row r="15" spans="1:10">
      <c r="B15" s="852">
        <f>MAX(B6:B14)+1</f>
        <v>3</v>
      </c>
      <c r="C15" s="860" t="s">
        <v>2507</v>
      </c>
      <c r="D15" s="865">
        <v>0.57362999999999997</v>
      </c>
      <c r="E15" s="1245">
        <f>D15</f>
        <v>0.57362999999999997</v>
      </c>
    </row>
    <row r="16" spans="1:10">
      <c r="B16" s="852"/>
    </row>
    <row r="17" spans="2:7">
      <c r="B17" s="852"/>
      <c r="C17" s="852"/>
      <c r="D17" s="852"/>
      <c r="E17" s="852"/>
    </row>
    <row r="18" spans="2:7" ht="16.2">
      <c r="B18" s="852"/>
      <c r="C18" s="852" t="s">
        <v>2531</v>
      </c>
      <c r="D18" s="852" t="s">
        <v>2508</v>
      </c>
      <c r="E18" s="852" t="s">
        <v>2508</v>
      </c>
      <c r="F18" s="861" t="s">
        <v>2532</v>
      </c>
      <c r="G18" s="861"/>
    </row>
    <row r="19" spans="2:7" ht="16.2">
      <c r="B19" s="852"/>
      <c r="C19" s="853" t="s">
        <v>2533</v>
      </c>
      <c r="D19" s="853" t="s">
        <v>2534</v>
      </c>
      <c r="E19" s="853" t="s">
        <v>2477</v>
      </c>
      <c r="F19" s="853" t="s">
        <v>729</v>
      </c>
      <c r="G19" s="853" t="s">
        <v>2513</v>
      </c>
    </row>
    <row r="20" spans="2:7">
      <c r="B20" s="852"/>
      <c r="D20" s="852"/>
      <c r="E20" s="852"/>
      <c r="F20" s="852"/>
      <c r="G20" s="852"/>
    </row>
    <row r="21" spans="2:7">
      <c r="B21" s="852">
        <f t="shared" ref="B21:B53" si="0">MAX(B12:B20)+1</f>
        <v>4</v>
      </c>
      <c r="C21" s="852">
        <v>0</v>
      </c>
      <c r="D21" s="862">
        <f>D$11+(D$13+D$15)*$C21</f>
        <v>5</v>
      </c>
      <c r="E21" s="862">
        <f>E$11+(E$13+E$15)*$C21</f>
        <v>5</v>
      </c>
      <c r="F21" s="862">
        <f>E21-D21</f>
        <v>0</v>
      </c>
      <c r="G21" s="863">
        <f>F21/D21</f>
        <v>0</v>
      </c>
    </row>
    <row r="22" spans="2:7">
      <c r="B22" s="852"/>
      <c r="C22" s="852"/>
      <c r="D22" s="862"/>
      <c r="E22" s="862"/>
      <c r="F22" s="862"/>
      <c r="G22" s="863"/>
    </row>
    <row r="23" spans="2:7">
      <c r="B23" s="852">
        <f t="shared" si="0"/>
        <v>5</v>
      </c>
      <c r="C23" s="852">
        <v>25</v>
      </c>
      <c r="D23" s="862">
        <f>D$11+(D$13+D$15)*$C23</f>
        <v>27.109000000000002</v>
      </c>
      <c r="E23" s="862">
        <f>E$11+(E$13+E$15)*$C23</f>
        <v>27.072581944092079</v>
      </c>
      <c r="F23" s="862">
        <f>E23-D23</f>
        <v>-3.6418055907923019E-2</v>
      </c>
      <c r="G23" s="863">
        <f>F23/D23</f>
        <v>-1.3433935559379916E-3</v>
      </c>
    </row>
    <row r="24" spans="2:7">
      <c r="B24" s="852"/>
      <c r="C24" s="852"/>
      <c r="D24" s="862"/>
      <c r="E24" s="862"/>
      <c r="F24" s="862"/>
      <c r="G24" s="863"/>
    </row>
    <row r="25" spans="2:7">
      <c r="B25" s="852">
        <f t="shared" si="0"/>
        <v>6</v>
      </c>
      <c r="C25" s="852">
        <v>30</v>
      </c>
      <c r="D25" s="862">
        <f>D$11+(D$13+D$15)*$C25</f>
        <v>31.530799999999999</v>
      </c>
      <c r="E25" s="862">
        <f t="shared" ref="E25:E53" si="1">E$11+(E$13+E$15)*$C25</f>
        <v>31.487098332910495</v>
      </c>
      <c r="F25" s="862">
        <f>E25-D25</f>
        <v>-4.370166708950407E-2</v>
      </c>
      <c r="G25" s="863">
        <f>F25/D25</f>
        <v>-1.3859993114511548E-3</v>
      </c>
    </row>
    <row r="26" spans="2:7">
      <c r="B26" s="852">
        <f t="shared" si="0"/>
        <v>7</v>
      </c>
      <c r="C26" s="852">
        <v>35</v>
      </c>
      <c r="D26" s="862">
        <f>D$11+(D$13+D$15)*$C26</f>
        <v>35.952600000000004</v>
      </c>
      <c r="E26" s="862">
        <f t="shared" si="1"/>
        <v>35.901614721728912</v>
      </c>
      <c r="F26" s="862">
        <f>E26-D26</f>
        <v>-5.0985278271092227E-2</v>
      </c>
      <c r="G26" s="863">
        <f>F26/D26</f>
        <v>-1.4181249275738673E-3</v>
      </c>
    </row>
    <row r="27" spans="2:7">
      <c r="B27" s="852">
        <f t="shared" si="0"/>
        <v>8</v>
      </c>
      <c r="C27" s="852">
        <v>40</v>
      </c>
      <c r="D27" s="862">
        <f>D$11+(D$13+D$15)*$C27</f>
        <v>40.374400000000001</v>
      </c>
      <c r="E27" s="862">
        <f t="shared" si="1"/>
        <v>40.316131110547325</v>
      </c>
      <c r="F27" s="862">
        <f>E27-D27</f>
        <v>-5.8268889452676831E-2</v>
      </c>
      <c r="G27" s="863">
        <f>F27/D27</f>
        <v>-1.4432137555648338E-3</v>
      </c>
    </row>
    <row r="28" spans="2:7">
      <c r="B28" s="852">
        <f t="shared" si="0"/>
        <v>9</v>
      </c>
      <c r="C28" s="852">
        <v>45</v>
      </c>
      <c r="D28" s="862">
        <f>D$11+(D$13+D$15)*$C28</f>
        <v>44.796199999999999</v>
      </c>
      <c r="E28" s="862">
        <f t="shared" si="1"/>
        <v>44.730647499365745</v>
      </c>
      <c r="F28" s="862">
        <f>E28-D28</f>
        <v>-6.5552500634254329E-2</v>
      </c>
      <c r="G28" s="863">
        <f>F28/D28</f>
        <v>-1.4633495839882474E-3</v>
      </c>
    </row>
    <row r="29" spans="2:7">
      <c r="B29" s="852">
        <f t="shared" si="0"/>
        <v>10</v>
      </c>
      <c r="C29" s="852">
        <v>50</v>
      </c>
      <c r="D29" s="862">
        <f>D$11+(D$13+D$15)*$C29</f>
        <v>49.218000000000004</v>
      </c>
      <c r="E29" s="862">
        <f t="shared" si="1"/>
        <v>49.145163888184157</v>
      </c>
      <c r="F29" s="862">
        <f>E29-D29</f>
        <v>-7.2836111815846039E-2</v>
      </c>
      <c r="G29" s="863">
        <f>F29/D29</f>
        <v>-1.4798673618563541E-3</v>
      </c>
    </row>
    <row r="30" spans="2:7">
      <c r="B30" s="852"/>
      <c r="C30" s="852"/>
      <c r="D30" s="862"/>
      <c r="E30" s="862"/>
      <c r="F30" s="862"/>
      <c r="G30" s="863"/>
    </row>
    <row r="31" spans="2:7">
      <c r="B31" s="852">
        <f t="shared" si="0"/>
        <v>11</v>
      </c>
      <c r="C31" s="852">
        <v>60</v>
      </c>
      <c r="D31" s="862">
        <f>D$11+(D$13+D$15)*$C31</f>
        <v>58.061599999999999</v>
      </c>
      <c r="E31" s="862">
        <f t="shared" si="1"/>
        <v>57.97419666582099</v>
      </c>
      <c r="F31" s="862">
        <f>E31-D31</f>
        <v>-8.7403334179008141E-2</v>
      </c>
      <c r="G31" s="863">
        <f>F31/D31</f>
        <v>-1.5053552464797412E-3</v>
      </c>
    </row>
    <row r="32" spans="2:7">
      <c r="B32" s="852">
        <f t="shared" si="0"/>
        <v>12</v>
      </c>
      <c r="C32" s="852">
        <v>70</v>
      </c>
      <c r="D32" s="862">
        <f>D$11+(D$13+D$15)*$C32</f>
        <v>66.905200000000008</v>
      </c>
      <c r="E32" s="862">
        <f t="shared" si="1"/>
        <v>66.803229443457823</v>
      </c>
      <c r="F32" s="862">
        <f>E32-D32</f>
        <v>-0.10197055654218445</v>
      </c>
      <c r="G32" s="863">
        <f>F32/D32</f>
        <v>-1.5241051000846636E-3</v>
      </c>
    </row>
    <row r="33" spans="2:7">
      <c r="B33" s="852">
        <f t="shared" si="0"/>
        <v>13</v>
      </c>
      <c r="C33" s="852">
        <v>80</v>
      </c>
      <c r="D33" s="862">
        <f>D$11+(D$13+D$15)*$C33</f>
        <v>75.748800000000003</v>
      </c>
      <c r="E33" s="862">
        <f t="shared" si="1"/>
        <v>75.632262221094649</v>
      </c>
      <c r="F33" s="862">
        <f>E33-D33</f>
        <v>-0.11653777890535366</v>
      </c>
      <c r="G33" s="863">
        <f>F33/D33</f>
        <v>-1.5384768987146153E-3</v>
      </c>
    </row>
    <row r="34" spans="2:7">
      <c r="B34" s="852">
        <f t="shared" si="0"/>
        <v>14</v>
      </c>
      <c r="C34" s="852">
        <v>90</v>
      </c>
      <c r="D34" s="862">
        <f>D$11+(D$13+D$15)*$C34</f>
        <v>84.592399999999998</v>
      </c>
      <c r="E34" s="862">
        <f t="shared" si="1"/>
        <v>84.461294998731489</v>
      </c>
      <c r="F34" s="862">
        <f>E34-D34</f>
        <v>-0.13110500126850866</v>
      </c>
      <c r="G34" s="863">
        <f>F34/D34</f>
        <v>-1.549843736180894E-3</v>
      </c>
    </row>
    <row r="35" spans="2:7">
      <c r="B35" s="852">
        <f t="shared" si="0"/>
        <v>15</v>
      </c>
      <c r="C35" s="852">
        <v>100</v>
      </c>
      <c r="D35" s="862">
        <f>D$11+(D$13+D$15)*$C35</f>
        <v>93.436000000000007</v>
      </c>
      <c r="E35" s="862">
        <f t="shared" si="1"/>
        <v>93.290327776368315</v>
      </c>
      <c r="F35" s="862">
        <f>E35-D35</f>
        <v>-0.14567222363169208</v>
      </c>
      <c r="G35" s="863">
        <f>F35/D35</f>
        <v>-1.5590588598794048E-3</v>
      </c>
    </row>
    <row r="36" spans="2:7">
      <c r="B36" s="852"/>
      <c r="C36" s="852"/>
      <c r="D36" s="862"/>
      <c r="E36" s="862"/>
      <c r="F36" s="862"/>
      <c r="G36" s="863"/>
    </row>
    <row r="37" spans="2:7">
      <c r="B37" s="852">
        <f t="shared" si="0"/>
        <v>16</v>
      </c>
      <c r="C37" s="852">
        <v>110</v>
      </c>
      <c r="D37" s="862">
        <f>D$11+(D$13+D$15)*$C37</f>
        <v>102.2796</v>
      </c>
      <c r="E37" s="862">
        <f t="shared" si="1"/>
        <v>102.11936055400514</v>
      </c>
      <c r="F37" s="862">
        <f>E37-D37</f>
        <v>-0.16023944599486128</v>
      </c>
      <c r="G37" s="863">
        <f>F37/D37</f>
        <v>-1.5666804132482067E-3</v>
      </c>
    </row>
    <row r="38" spans="2:7">
      <c r="B38" s="852">
        <f t="shared" si="0"/>
        <v>17</v>
      </c>
      <c r="C38" s="852">
        <v>120</v>
      </c>
      <c r="D38" s="862">
        <f>D$11+(D$13+D$15)*$C38</f>
        <v>111.1232</v>
      </c>
      <c r="E38" s="862">
        <f t="shared" si="1"/>
        <v>110.94839333164198</v>
      </c>
      <c r="F38" s="862">
        <f>E38-D38</f>
        <v>-0.17480666835801628</v>
      </c>
      <c r="G38" s="863">
        <f>F38/D38</f>
        <v>-1.5730888631538353E-3</v>
      </c>
    </row>
    <row r="39" spans="2:7">
      <c r="B39" s="852">
        <f t="shared" si="0"/>
        <v>18</v>
      </c>
      <c r="C39" s="852">
        <v>130</v>
      </c>
      <c r="D39" s="862">
        <f>D$11+(D$13+D$15)*$C39</f>
        <v>119.96680000000001</v>
      </c>
      <c r="E39" s="862">
        <f t="shared" si="1"/>
        <v>119.77742610927881</v>
      </c>
      <c r="F39" s="862">
        <f>E39-D39</f>
        <v>-0.1893738907211997</v>
      </c>
      <c r="G39" s="863">
        <f>F39/D39</f>
        <v>-1.5785524888652501E-3</v>
      </c>
    </row>
    <row r="40" spans="2:7">
      <c r="B40" s="852">
        <f t="shared" si="0"/>
        <v>19</v>
      </c>
      <c r="C40" s="852">
        <v>140</v>
      </c>
      <c r="D40" s="862">
        <f>D$11+(D$13+D$15)*$C40</f>
        <v>128.81040000000002</v>
      </c>
      <c r="E40" s="862">
        <f t="shared" si="1"/>
        <v>128.60645888691565</v>
      </c>
      <c r="F40" s="862">
        <f>E40-D40</f>
        <v>-0.20394111308436891</v>
      </c>
      <c r="G40" s="863">
        <f>F40/D40</f>
        <v>-1.583265893781627E-3</v>
      </c>
    </row>
    <row r="41" spans="2:7">
      <c r="B41" s="852">
        <f t="shared" si="0"/>
        <v>20</v>
      </c>
      <c r="C41" s="852">
        <v>150</v>
      </c>
      <c r="D41" s="862">
        <f>D$11+(D$13+D$15)*$C41</f>
        <v>137.654</v>
      </c>
      <c r="E41" s="862">
        <f t="shared" si="1"/>
        <v>137.43549166455247</v>
      </c>
      <c r="F41" s="862">
        <f>E41-D41</f>
        <v>-0.2185083354475239</v>
      </c>
      <c r="G41" s="863">
        <f>F41/D41</f>
        <v>-1.5873736720147902E-3</v>
      </c>
    </row>
    <row r="42" spans="2:7">
      <c r="B42" s="852"/>
      <c r="C42" s="852"/>
      <c r="D42" s="862"/>
      <c r="E42" s="862"/>
      <c r="F42" s="862"/>
      <c r="G42" s="863"/>
    </row>
    <row r="43" spans="2:7">
      <c r="B43" s="852">
        <f t="shared" si="0"/>
        <v>21</v>
      </c>
      <c r="C43" s="852">
        <v>160</v>
      </c>
      <c r="D43" s="862">
        <f>D$11+(D$13+D$15)*$C43</f>
        <v>146.49760000000001</v>
      </c>
      <c r="E43" s="862">
        <f t="shared" si="1"/>
        <v>146.2645244421893</v>
      </c>
      <c r="F43" s="862">
        <f>E43-D43</f>
        <v>-0.23307555781070732</v>
      </c>
      <c r="G43" s="863">
        <f>F43/D43</f>
        <v>-1.5909855029072647E-3</v>
      </c>
    </row>
    <row r="44" spans="2:7">
      <c r="B44" s="852">
        <f t="shared" si="0"/>
        <v>22</v>
      </c>
      <c r="C44" s="852">
        <v>170</v>
      </c>
      <c r="D44" s="862">
        <f>D$11+(D$13+D$15)*$C44</f>
        <v>155.34120000000001</v>
      </c>
      <c r="E44" s="862">
        <f t="shared" si="1"/>
        <v>155.09355721982612</v>
      </c>
      <c r="F44" s="862">
        <f>E44-D44</f>
        <v>-0.24764278017389074</v>
      </c>
      <c r="G44" s="863">
        <f>F44/D44</f>
        <v>-1.5941860895492678E-3</v>
      </c>
    </row>
    <row r="45" spans="2:7">
      <c r="B45" s="852">
        <f t="shared" si="0"/>
        <v>23</v>
      </c>
      <c r="C45" s="852">
        <v>180</v>
      </c>
      <c r="D45" s="862">
        <f>D$11+(D$13+D$15)*$C45</f>
        <v>164.1848</v>
      </c>
      <c r="E45" s="862">
        <f t="shared" si="1"/>
        <v>163.92258999746298</v>
      </c>
      <c r="F45" s="862">
        <f>E45-D45</f>
        <v>-0.26221000253701732</v>
      </c>
      <c r="G45" s="863">
        <f>F45/D45</f>
        <v>-1.5970418853451557E-3</v>
      </c>
    </row>
    <row r="46" spans="2:7">
      <c r="B46" s="852">
        <f t="shared" si="0"/>
        <v>24</v>
      </c>
      <c r="C46" s="852">
        <v>190</v>
      </c>
      <c r="D46" s="862">
        <f>D$11+(D$13+D$15)*$C46</f>
        <v>173.0284</v>
      </c>
      <c r="E46" s="862">
        <f t="shared" si="1"/>
        <v>172.7516227750998</v>
      </c>
      <c r="F46" s="862">
        <f>E46-D46</f>
        <v>-0.27677722490020074</v>
      </c>
      <c r="G46" s="863">
        <f>F46/D46</f>
        <v>-1.5996057577842755E-3</v>
      </c>
    </row>
    <row r="47" spans="2:7">
      <c r="B47" s="852">
        <f t="shared" si="0"/>
        <v>25</v>
      </c>
      <c r="C47" s="852">
        <v>200</v>
      </c>
      <c r="D47" s="862">
        <f>D$11+(D$13+D$15)*$C47</f>
        <v>181.87200000000001</v>
      </c>
      <c r="E47" s="862">
        <f t="shared" si="1"/>
        <v>181.58065555273663</v>
      </c>
      <c r="F47" s="862">
        <f>E47-D47</f>
        <v>-0.29134444726338415</v>
      </c>
      <c r="G47" s="863">
        <f>F47/D47</f>
        <v>-1.6019202915423163E-3</v>
      </c>
    </row>
    <row r="48" spans="2:7">
      <c r="B48" s="852"/>
      <c r="C48" s="852"/>
      <c r="D48" s="862"/>
      <c r="E48" s="862"/>
      <c r="F48" s="862"/>
      <c r="G48" s="863"/>
    </row>
    <row r="49" spans="1:8">
      <c r="B49" s="852">
        <f t="shared" si="0"/>
        <v>26</v>
      </c>
      <c r="C49" s="852">
        <v>210</v>
      </c>
      <c r="D49" s="862">
        <f>D$11+(D$13+D$15)*$C49</f>
        <v>190.71559999999999</v>
      </c>
      <c r="E49" s="862">
        <f t="shared" si="1"/>
        <v>190.40968833037346</v>
      </c>
      <c r="F49" s="862">
        <f>E49-D49</f>
        <v>-0.30591166962653915</v>
      </c>
      <c r="G49" s="863">
        <f>F49/D49</f>
        <v>-1.6040201725844093E-3</v>
      </c>
    </row>
    <row r="50" spans="1:8">
      <c r="B50" s="852">
        <f t="shared" si="0"/>
        <v>27</v>
      </c>
      <c r="C50" s="852">
        <v>220</v>
      </c>
      <c r="D50" s="862">
        <f>D$11+(D$13+D$15)*$C50</f>
        <v>199.5592</v>
      </c>
      <c r="E50" s="862">
        <f t="shared" si="1"/>
        <v>199.23872110801028</v>
      </c>
      <c r="F50" s="862">
        <f>E50-D50</f>
        <v>-0.32047889198972257</v>
      </c>
      <c r="G50" s="863">
        <f>F50/D50</f>
        <v>-1.6059339383487335E-3</v>
      </c>
    </row>
    <row r="51" spans="1:8">
      <c r="B51" s="852">
        <f t="shared" si="0"/>
        <v>28</v>
      </c>
      <c r="C51" s="852">
        <v>230</v>
      </c>
      <c r="D51" s="862">
        <f>D$11+(D$13+D$15)*$C51</f>
        <v>208.40280000000001</v>
      </c>
      <c r="E51" s="862">
        <f t="shared" si="1"/>
        <v>208.06775388564714</v>
      </c>
      <c r="F51" s="862">
        <f>E51-D51</f>
        <v>-0.33504611435287757</v>
      </c>
      <c r="G51" s="863">
        <f>F51/D51</f>
        <v>-1.6076852823132778E-3</v>
      </c>
    </row>
    <row r="52" spans="1:8">
      <c r="B52" s="852">
        <f t="shared" si="0"/>
        <v>29</v>
      </c>
      <c r="C52" s="852">
        <v>240</v>
      </c>
      <c r="D52" s="862">
        <f>D$11+(D$13+D$15)*$C52</f>
        <v>217.24639999999999</v>
      </c>
      <c r="E52" s="862">
        <f t="shared" si="1"/>
        <v>216.89678666328396</v>
      </c>
      <c r="F52" s="862">
        <f>E52-D52</f>
        <v>-0.34961333671603256</v>
      </c>
      <c r="G52" s="863">
        <f>F52/D52</f>
        <v>-1.6092940399290048E-3</v>
      </c>
    </row>
    <row r="53" spans="1:8">
      <c r="B53" s="852">
        <f t="shared" si="0"/>
        <v>30</v>
      </c>
      <c r="C53" s="852">
        <v>250</v>
      </c>
      <c r="D53" s="862">
        <f>D$11+(D$13+D$15)*$C53</f>
        <v>226.09</v>
      </c>
      <c r="E53" s="862">
        <f t="shared" si="1"/>
        <v>225.72581944092079</v>
      </c>
      <c r="F53" s="862">
        <f>E53-D53</f>
        <v>-0.36418055907921598</v>
      </c>
      <c r="G53" s="863">
        <f>F53/D53</f>
        <v>-1.6107769431607589E-3</v>
      </c>
    </row>
    <row r="54" spans="1:8">
      <c r="B54" s="852"/>
      <c r="C54" s="852"/>
      <c r="D54" s="862"/>
      <c r="E54" s="862"/>
      <c r="F54" s="862"/>
      <c r="G54" s="863"/>
    </row>
    <row r="55" spans="1:8">
      <c r="B55" s="852"/>
      <c r="C55" s="852"/>
      <c r="D55" s="864"/>
      <c r="E55" s="864"/>
      <c r="F55" s="864"/>
      <c r="G55" s="836"/>
    </row>
    <row r="56" spans="1:8">
      <c r="B56" s="852"/>
      <c r="C56" s="852"/>
      <c r="D56" s="864"/>
      <c r="E56" s="864"/>
      <c r="F56" s="864"/>
      <c r="G56" s="836"/>
    </row>
    <row r="57" spans="1:8">
      <c r="B57" s="852"/>
      <c r="C57" s="852"/>
      <c r="D57" s="864"/>
      <c r="E57" s="864"/>
      <c r="F57" s="864"/>
      <c r="G57" s="836"/>
    </row>
    <row r="58" spans="1:8">
      <c r="A58" s="849" t="str">
        <f>$A$1</f>
        <v>Cascade Natural Gas Corporation</v>
      </c>
      <c r="H58" s="847" t="str">
        <f>$H$1</f>
        <v>CNGC/508</v>
      </c>
    </row>
    <row r="59" spans="1:8">
      <c r="A59" s="849" t="str">
        <f>$A$2</f>
        <v>Washington Jurisdiction</v>
      </c>
      <c r="H59" s="847" t="s">
        <v>2535</v>
      </c>
    </row>
    <row r="60" spans="1:8">
      <c r="A60" s="849" t="str">
        <f>$A$3</f>
        <v>Test Year Ended December 31, 2019</v>
      </c>
      <c r="H60" s="850" t="str">
        <f>$H$3</f>
        <v>Impact of Recommended Rate Changes</v>
      </c>
    </row>
    <row r="61" spans="1:8">
      <c r="A61" s="849"/>
    </row>
    <row r="62" spans="1:8">
      <c r="B62" s="851" t="str">
        <f>'Exh 18, Class Rates'!C14</f>
        <v>General Commercial - 504</v>
      </c>
    </row>
    <row r="64" spans="1:8">
      <c r="B64" s="852" t="s">
        <v>2502</v>
      </c>
    </row>
    <row r="65" spans="2:7" ht="16.2">
      <c r="B65" s="853" t="s">
        <v>2503</v>
      </c>
      <c r="C65" s="853" t="s">
        <v>97</v>
      </c>
      <c r="D65" s="853" t="s">
        <v>98</v>
      </c>
      <c r="E65" s="853" t="s">
        <v>1098</v>
      </c>
      <c r="F65" s="853" t="s">
        <v>2505</v>
      </c>
      <c r="G65" s="853" t="s">
        <v>1100</v>
      </c>
    </row>
    <row r="66" spans="2:7">
      <c r="B66" s="852"/>
      <c r="C66" s="854"/>
      <c r="D66" s="855" t="s">
        <v>2506</v>
      </c>
      <c r="E66" s="856" t="s">
        <v>2314</v>
      </c>
    </row>
    <row r="67" spans="2:7" ht="16.2">
      <c r="B67" s="852"/>
      <c r="C67" s="857"/>
      <c r="D67" s="853" t="s">
        <v>2324</v>
      </c>
      <c r="E67" s="858" t="s">
        <v>2324</v>
      </c>
    </row>
    <row r="69" spans="2:7">
      <c r="B69" s="852">
        <f>MAX(B58:B67)+1</f>
        <v>1</v>
      </c>
      <c r="C69" s="857" t="s">
        <v>2462</v>
      </c>
      <c r="D69" s="859">
        <f>'Exh 18, Class Rates'!E15</f>
        <v>13</v>
      </c>
      <c r="E69" s="872">
        <f>'Exh 18, Class Rates'!H15</f>
        <v>13</v>
      </c>
    </row>
    <row r="71" spans="2:7">
      <c r="B71" s="852">
        <f>MAX(B60:B69)+1</f>
        <v>2</v>
      </c>
      <c r="C71" s="857" t="s">
        <v>2463</v>
      </c>
      <c r="D71" s="838">
        <f>'Exh 18, Class Rates'!E16</f>
        <v>0.26179999999999998</v>
      </c>
      <c r="E71" s="1241">
        <f>'Exh 18, Class Rates'!H16</f>
        <v>0.26057266475246121</v>
      </c>
    </row>
    <row r="73" spans="2:7">
      <c r="B73" s="852">
        <f>MAX(B63:B71)+1</f>
        <v>3</v>
      </c>
      <c r="C73" s="860" t="s">
        <v>2507</v>
      </c>
      <c r="D73" s="865">
        <f>$D$15</f>
        <v>0.57362999999999997</v>
      </c>
      <c r="E73" s="866">
        <f>D73</f>
        <v>0.57362999999999997</v>
      </c>
    </row>
    <row r="74" spans="2:7">
      <c r="B74" s="852"/>
      <c r="C74" s="852"/>
      <c r="D74" s="852"/>
      <c r="E74" s="852"/>
    </row>
    <row r="75" spans="2:7" ht="16.2">
      <c r="B75" s="852"/>
      <c r="C75" s="852" t="s">
        <v>2531</v>
      </c>
      <c r="D75" s="852" t="s">
        <v>2508</v>
      </c>
      <c r="E75" s="852" t="s">
        <v>2508</v>
      </c>
      <c r="F75" s="861" t="s">
        <v>2532</v>
      </c>
      <c r="G75" s="861"/>
    </row>
    <row r="76" spans="2:7" ht="16.2">
      <c r="B76" s="852"/>
      <c r="C76" s="853" t="s">
        <v>2533</v>
      </c>
      <c r="D76" s="853" t="s">
        <v>2534</v>
      </c>
      <c r="E76" s="853" t="s">
        <v>2477</v>
      </c>
      <c r="F76" s="853" t="s">
        <v>729</v>
      </c>
      <c r="G76" s="853" t="s">
        <v>2513</v>
      </c>
    </row>
    <row r="77" spans="2:7">
      <c r="B77" s="852"/>
    </row>
    <row r="78" spans="2:7">
      <c r="B78" s="852"/>
      <c r="C78" s="867"/>
      <c r="D78" s="862"/>
      <c r="E78" s="862"/>
      <c r="F78" s="862"/>
      <c r="G78" s="863"/>
    </row>
    <row r="79" spans="2:7">
      <c r="B79" s="852">
        <f>IF(ISBLANK(C79),"",MAX($B$61:B78)+1)</f>
        <v>4</v>
      </c>
      <c r="C79" s="867">
        <v>0</v>
      </c>
      <c r="D79" s="862">
        <f>D$69+(D$71+D$73)*C79</f>
        <v>13</v>
      </c>
      <c r="E79" s="862">
        <f>E$69+(E$71+E$73)*C79</f>
        <v>13</v>
      </c>
      <c r="F79" s="862">
        <f>E79-D79</f>
        <v>0</v>
      </c>
      <c r="G79" s="863">
        <f>F79/D79</f>
        <v>0</v>
      </c>
    </row>
    <row r="80" spans="2:7">
      <c r="B80" s="852" t="str">
        <f>IF(ISBLANK(C80),"",MAX($B$61:B79)+1)</f>
        <v/>
      </c>
      <c r="C80" s="867"/>
      <c r="D80" s="862"/>
      <c r="E80" s="862"/>
      <c r="F80" s="862"/>
      <c r="G80" s="863"/>
    </row>
    <row r="81" spans="2:11">
      <c r="B81" s="852">
        <f>IF(ISBLANK(C81),"",MAX($B$61:B80)+1)</f>
        <v>5</v>
      </c>
      <c r="C81" s="867">
        <v>50</v>
      </c>
      <c r="D81" s="862">
        <f t="shared" ref="D81:D121" si="2">D$69+(D$71+D$73)*C81</f>
        <v>54.771499999999996</v>
      </c>
      <c r="E81" s="862">
        <f>E$69+(E$71+E$73)*C81</f>
        <v>54.710133237623062</v>
      </c>
      <c r="F81" s="862">
        <f>E81-D81</f>
        <v>-6.1366762376934503E-2</v>
      </c>
      <c r="G81" s="863">
        <f>F81/D81</f>
        <v>-1.1204141273643137E-3</v>
      </c>
    </row>
    <row r="82" spans="2:11">
      <c r="B82" s="852" t="str">
        <f>IF(ISBLANK(C82),"",MAX($B$61:B81)+1)</f>
        <v/>
      </c>
      <c r="C82" s="867"/>
      <c r="D82" s="862"/>
      <c r="E82" s="862"/>
      <c r="F82" s="862"/>
      <c r="G82" s="863"/>
      <c r="K82" s="859"/>
    </row>
    <row r="83" spans="2:11">
      <c r="B83" s="852">
        <f>IF(ISBLANK(C83),"",MAX($B$61:B82)+1)</f>
        <v>6</v>
      </c>
      <c r="C83" s="867">
        <v>60</v>
      </c>
      <c r="D83" s="862">
        <f t="shared" si="2"/>
        <v>63.125799999999991</v>
      </c>
      <c r="E83" s="862">
        <f>E$69+(E$71+E$73)*C83</f>
        <v>63.052159885147674</v>
      </c>
      <c r="F83" s="862">
        <f>E83-D83</f>
        <v>-7.364011485231714E-2</v>
      </c>
      <c r="G83" s="863">
        <f>F83/D83</f>
        <v>-1.1665612927252748E-3</v>
      </c>
      <c r="K83" s="859"/>
    </row>
    <row r="84" spans="2:11">
      <c r="B84" s="852">
        <f>IF(ISBLANK(C84),"",MAX($B$61:B83)+1)</f>
        <v>7</v>
      </c>
      <c r="C84" s="867">
        <v>70</v>
      </c>
      <c r="D84" s="862">
        <f t="shared" si="2"/>
        <v>71.480099999999993</v>
      </c>
      <c r="E84" s="862">
        <f>E$69+(E$71+E$73)*C84</f>
        <v>71.394186532672279</v>
      </c>
      <c r="F84" s="862">
        <f>E84-D84</f>
        <v>-8.5913467327713988E-2</v>
      </c>
      <c r="G84" s="863">
        <f>F84/D84</f>
        <v>-1.2019214764348958E-3</v>
      </c>
      <c r="K84" s="859"/>
    </row>
    <row r="85" spans="2:11">
      <c r="B85" s="852">
        <f>IF(ISBLANK(C85),"",MAX($B$61:B84)+1)</f>
        <v>8</v>
      </c>
      <c r="C85" s="867">
        <v>80</v>
      </c>
      <c r="D85" s="862">
        <f t="shared" si="2"/>
        <v>79.834399999999988</v>
      </c>
      <c r="E85" s="862">
        <f>E$69+(E$71+E$73)*C85</f>
        <v>79.736213180196899</v>
      </c>
      <c r="F85" s="862">
        <f>E85-D85</f>
        <v>-9.818681980308952E-2</v>
      </c>
      <c r="G85" s="863">
        <f>F85/D85</f>
        <v>-1.2298811014185556E-3</v>
      </c>
      <c r="K85" s="859"/>
    </row>
    <row r="86" spans="2:11">
      <c r="B86" s="852">
        <f>IF(ISBLANK(C86),"",MAX($B$61:B85)+1)</f>
        <v>9</v>
      </c>
      <c r="C86" s="867">
        <v>90</v>
      </c>
      <c r="D86" s="862">
        <f t="shared" si="2"/>
        <v>88.188699999999997</v>
      </c>
      <c r="E86" s="862">
        <f>E$69+(E$71+E$73)*C86</f>
        <v>88.078239827721504</v>
      </c>
      <c r="F86" s="862">
        <f>E86-D86</f>
        <v>-0.11046017227849347</v>
      </c>
      <c r="G86" s="863">
        <f>F86/D86</f>
        <v>-1.252543378896542E-3</v>
      </c>
      <c r="K86" s="859"/>
    </row>
    <row r="87" spans="2:11">
      <c r="B87" s="852">
        <f>IF(ISBLANK(C87),"",MAX($B$61:B86)+1)</f>
        <v>10</v>
      </c>
      <c r="C87" s="867">
        <v>100</v>
      </c>
      <c r="D87" s="862">
        <f t="shared" si="2"/>
        <v>96.542999999999992</v>
      </c>
      <c r="E87" s="862">
        <f>E$69+(E$71+E$73)*C87</f>
        <v>96.420266475246123</v>
      </c>
      <c r="F87" s="862">
        <f>E87-D87</f>
        <v>-0.12273352475386901</v>
      </c>
      <c r="G87" s="863">
        <f>F87/D87</f>
        <v>-1.2712835187830192E-3</v>
      </c>
    </row>
    <row r="88" spans="2:11">
      <c r="B88" s="852" t="str">
        <f>IF(ISBLANK(C88),"",MAX($B$61:B87)+1)</f>
        <v/>
      </c>
      <c r="C88" s="867"/>
      <c r="D88" s="862"/>
      <c r="E88" s="862"/>
      <c r="F88" s="862"/>
      <c r="G88" s="863"/>
      <c r="K88" s="859"/>
    </row>
    <row r="89" spans="2:11">
      <c r="B89" s="852">
        <f>IF(ISBLANK(C89),"",MAX($B$61:B88)+1)</f>
        <v>11</v>
      </c>
      <c r="C89" s="867">
        <v>110</v>
      </c>
      <c r="D89" s="862">
        <f t="shared" si="2"/>
        <v>104.89729999999999</v>
      </c>
      <c r="E89" s="862">
        <f>E$69+(E$71+E$73)*C89</f>
        <v>104.76229312277073</v>
      </c>
      <c r="F89" s="862">
        <f>E89-D89</f>
        <v>-0.13500687722925875</v>
      </c>
      <c r="G89" s="863">
        <f>F89/D89</f>
        <v>-1.287038629490547E-3</v>
      </c>
      <c r="K89" s="859"/>
    </row>
    <row r="90" spans="2:11">
      <c r="B90" s="852">
        <f>IF(ISBLANK(C90),"",MAX($B$61:B89)+1)</f>
        <v>12</v>
      </c>
      <c r="C90" s="867">
        <v>120</v>
      </c>
      <c r="D90" s="862">
        <f t="shared" si="2"/>
        <v>113.25159999999998</v>
      </c>
      <c r="E90" s="862">
        <f>E$69+(E$71+E$73)*C90</f>
        <v>113.10431977029535</v>
      </c>
      <c r="F90" s="862">
        <f>E90-D90</f>
        <v>-0.14728022970463428</v>
      </c>
      <c r="G90" s="863">
        <f>F90/D90</f>
        <v>-1.3004693064348257E-3</v>
      </c>
      <c r="K90" s="859"/>
    </row>
    <row r="91" spans="2:11">
      <c r="B91" s="852">
        <f>IF(ISBLANK(C91),"",MAX($B$61:B90)+1)</f>
        <v>13</v>
      </c>
      <c r="C91" s="867">
        <v>130</v>
      </c>
      <c r="D91" s="862">
        <f t="shared" si="2"/>
        <v>121.60589999999999</v>
      </c>
      <c r="E91" s="862">
        <f>E$69+(E$71+E$73)*C91</f>
        <v>121.44634641781995</v>
      </c>
      <c r="F91" s="862">
        <f>E91-D91</f>
        <v>-0.15955358218003823</v>
      </c>
      <c r="G91" s="863">
        <f>F91/D91</f>
        <v>-1.3120546139623016E-3</v>
      </c>
      <c r="K91" s="859"/>
    </row>
    <row r="92" spans="2:11">
      <c r="B92" s="852">
        <f>IF(ISBLANK(C92),"",MAX($B$61:B91)+1)</f>
        <v>14</v>
      </c>
      <c r="C92" s="867">
        <v>140</v>
      </c>
      <c r="D92" s="862">
        <f t="shared" si="2"/>
        <v>129.96019999999999</v>
      </c>
      <c r="E92" s="862">
        <f>E$69+(E$71+E$73)*C92</f>
        <v>129.78837306534456</v>
      </c>
      <c r="F92" s="862">
        <f>E92-D92</f>
        <v>-0.17182693465542798</v>
      </c>
      <c r="G92" s="863">
        <f>F92/D92</f>
        <v>-1.3221504326357454E-3</v>
      </c>
      <c r="K92" s="859"/>
    </row>
    <row r="93" spans="2:11">
      <c r="B93" s="852">
        <f>IF(ISBLANK(C93),"",MAX($B$61:B92)+1)</f>
        <v>15</v>
      </c>
      <c r="C93" s="867">
        <v>150</v>
      </c>
      <c r="D93" s="862">
        <f t="shared" si="2"/>
        <v>138.31449999999998</v>
      </c>
      <c r="E93" s="862">
        <f>E$69+(E$71+E$73)*C93</f>
        <v>138.13039971286918</v>
      </c>
      <c r="F93" s="862">
        <f>E93-D93</f>
        <v>-0.18410028713080351</v>
      </c>
      <c r="G93" s="863">
        <f>F93/D93</f>
        <v>-1.3310266612018519E-3</v>
      </c>
      <c r="K93" s="859"/>
    </row>
    <row r="94" spans="2:11">
      <c r="B94" s="852" t="str">
        <f>IF(ISBLANK(C94),"",MAX($B$61:B93)+1)</f>
        <v/>
      </c>
      <c r="C94" s="867"/>
      <c r="D94" s="862"/>
      <c r="E94" s="862"/>
      <c r="F94" s="862"/>
      <c r="G94" s="863"/>
      <c r="K94" s="859"/>
    </row>
    <row r="95" spans="2:11">
      <c r="B95" s="852">
        <f>IF(ISBLANK(C95),"",MAX($B$61:B94)+1)</f>
        <v>16</v>
      </c>
      <c r="C95" s="867">
        <v>160</v>
      </c>
      <c r="D95" s="862">
        <f t="shared" si="2"/>
        <v>146.66879999999998</v>
      </c>
      <c r="E95" s="862">
        <f>E$69+(E$71+E$73)*C95</f>
        <v>146.4724263603938</v>
      </c>
      <c r="F95" s="862">
        <f>E95-D95</f>
        <v>-0.19637363960617904</v>
      </c>
      <c r="G95" s="863">
        <f>F95/D95</f>
        <v>-1.3388917043446124E-3</v>
      </c>
      <c r="K95" s="859"/>
    </row>
    <row r="96" spans="2:11">
      <c r="B96" s="852">
        <f>IF(ISBLANK(C96),"",MAX($B$61:B95)+1)</f>
        <v>17</v>
      </c>
      <c r="C96" s="867">
        <v>170</v>
      </c>
      <c r="D96" s="862">
        <f t="shared" si="2"/>
        <v>155.02309999999997</v>
      </c>
      <c r="E96" s="862">
        <f>E$69+(E$71+E$73)*C96</f>
        <v>154.81445300791839</v>
      </c>
      <c r="F96" s="862">
        <f>E96-D96</f>
        <v>-0.20864699208158299</v>
      </c>
      <c r="G96" s="863">
        <f>F96/D96</f>
        <v>-1.3459090424690452E-3</v>
      </c>
      <c r="K96" s="859"/>
    </row>
    <row r="97" spans="2:11">
      <c r="B97" s="852">
        <f>IF(ISBLANK(C97),"",MAX($B$61:B96)+1)</f>
        <v>18</v>
      </c>
      <c r="C97" s="867">
        <v>180</v>
      </c>
      <c r="D97" s="862">
        <f t="shared" si="2"/>
        <v>163.37739999999999</v>
      </c>
      <c r="E97" s="862">
        <f>E$69+(E$71+E$73)*C97</f>
        <v>163.15647965544301</v>
      </c>
      <c r="F97" s="862">
        <f>E97-D97</f>
        <v>-0.22092034455698695</v>
      </c>
      <c r="G97" s="863">
        <f>F97/D97</f>
        <v>-1.3522087177111825E-3</v>
      </c>
      <c r="K97" s="859"/>
    </row>
    <row r="98" spans="2:11">
      <c r="B98" s="852">
        <f>IF(ISBLANK(C98),"",MAX($B$61:B97)+1)</f>
        <v>19</v>
      </c>
      <c r="C98" s="867">
        <v>190</v>
      </c>
      <c r="D98" s="862">
        <f t="shared" si="2"/>
        <v>171.73169999999999</v>
      </c>
      <c r="E98" s="862">
        <f>E$69+(E$71+E$73)*C98</f>
        <v>171.49850630296763</v>
      </c>
      <c r="F98" s="862">
        <f>E98-D98</f>
        <v>-0.23319369703236248</v>
      </c>
      <c r="G98" s="863">
        <f>F98/D98</f>
        <v>-1.3578954673619517E-3</v>
      </c>
      <c r="K98" s="859"/>
    </row>
    <row r="99" spans="2:11">
      <c r="B99" s="852">
        <f>IF(ISBLANK(C99),"",MAX($B$61:B98)+1)</f>
        <v>20</v>
      </c>
      <c r="C99" s="867">
        <v>200</v>
      </c>
      <c r="D99" s="862">
        <f t="shared" si="2"/>
        <v>180.08599999999998</v>
      </c>
      <c r="E99" s="862">
        <f>E$69+(E$71+E$73)*C99</f>
        <v>179.84053295049225</v>
      </c>
      <c r="F99" s="862">
        <f>E99-D99</f>
        <v>-0.24546704950773801</v>
      </c>
      <c r="G99" s="863">
        <f>F99/D99</f>
        <v>-1.3630545934039183E-3</v>
      </c>
      <c r="K99" s="859"/>
    </row>
    <row r="100" spans="2:11">
      <c r="B100" s="852" t="str">
        <f>IF(ISBLANK(C100),"",MAX($B$61:B99)+1)</f>
        <v/>
      </c>
      <c r="C100" s="867"/>
      <c r="D100" s="862"/>
      <c r="E100" s="862"/>
      <c r="F100" s="862"/>
      <c r="G100" s="863"/>
      <c r="K100" s="859"/>
    </row>
    <row r="101" spans="2:11">
      <c r="B101" s="852">
        <f>IF(ISBLANK(C101),"",MAX($B$61:B100)+1)</f>
        <v>21</v>
      </c>
      <c r="C101" s="867">
        <v>250</v>
      </c>
      <c r="D101" s="862">
        <f t="shared" si="2"/>
        <v>221.85749999999999</v>
      </c>
      <c r="E101" s="862">
        <f>E$69+(E$71+E$73)*C101</f>
        <v>221.55066618811529</v>
      </c>
      <c r="F101" s="862">
        <f>E101-D101</f>
        <v>-0.30683381188470094</v>
      </c>
      <c r="G101" s="863">
        <f>F101/D101</f>
        <v>-1.383022038401681E-3</v>
      </c>
      <c r="K101" s="859"/>
    </row>
    <row r="102" spans="2:11">
      <c r="B102" s="852">
        <f>IF(ISBLANK(C102),"",MAX($B$61:B101)+1)</f>
        <v>22</v>
      </c>
      <c r="C102" s="867">
        <v>300</v>
      </c>
      <c r="D102" s="862">
        <f t="shared" si="2"/>
        <v>263.62899999999996</v>
      </c>
      <c r="E102" s="862">
        <f>E$69+(E$71+E$73)*C102</f>
        <v>263.26079942573836</v>
      </c>
      <c r="F102" s="862">
        <f>E102-D102</f>
        <v>-0.36820057426160702</v>
      </c>
      <c r="G102" s="863">
        <f>F102/D102</f>
        <v>-1.3966618780999324E-3</v>
      </c>
      <c r="K102" s="859"/>
    </row>
    <row r="103" spans="2:11">
      <c r="B103" s="852">
        <f>IF(ISBLANK(C103),"",MAX($B$61:B102)+1)</f>
        <v>23</v>
      </c>
      <c r="C103" s="867">
        <v>350</v>
      </c>
      <c r="D103" s="862">
        <f t="shared" si="2"/>
        <v>305.40049999999997</v>
      </c>
      <c r="E103" s="862">
        <f>E$69+(E$71+E$73)*C103</f>
        <v>304.9709326633614</v>
      </c>
      <c r="F103" s="862">
        <f>E103-D103</f>
        <v>-0.42956733663856994</v>
      </c>
      <c r="G103" s="863">
        <f>F103/D103</f>
        <v>-1.4065705086880014E-3</v>
      </c>
      <c r="K103" s="859"/>
    </row>
    <row r="104" spans="2:11">
      <c r="B104" s="852">
        <f>IF(ISBLANK(C104),"",MAX($B$61:B103)+1)</f>
        <v>24</v>
      </c>
      <c r="C104" s="867">
        <v>400</v>
      </c>
      <c r="D104" s="862">
        <f t="shared" si="2"/>
        <v>347.17199999999997</v>
      </c>
      <c r="E104" s="862">
        <f>E$69+(E$71+E$73)*C104</f>
        <v>346.68106590098449</v>
      </c>
      <c r="F104" s="862">
        <f>E104-D104</f>
        <v>-0.49093409901547602</v>
      </c>
      <c r="G104" s="863">
        <f>F104/D104</f>
        <v>-1.4140947398277397E-3</v>
      </c>
      <c r="K104" s="859"/>
    </row>
    <row r="105" spans="2:11">
      <c r="B105" s="852">
        <f>IF(ISBLANK(C105),"",MAX($B$61:B104)+1)</f>
        <v>25</v>
      </c>
      <c r="C105" s="867">
        <v>450</v>
      </c>
      <c r="D105" s="862">
        <f t="shared" si="2"/>
        <v>388.94349999999997</v>
      </c>
      <c r="E105" s="862">
        <f>E$69+(E$71+E$73)*C105</f>
        <v>388.39119913860753</v>
      </c>
      <c r="F105" s="862">
        <f>E105-D105</f>
        <v>-0.55230086139243895</v>
      </c>
      <c r="G105" s="863">
        <f>F105/D105</f>
        <v>-1.4200028060436516E-3</v>
      </c>
      <c r="K105" s="859"/>
    </row>
    <row r="106" spans="2:11">
      <c r="B106" s="852" t="str">
        <f>IF(ISBLANK(C106),"",MAX($B$61:B105)+1)</f>
        <v/>
      </c>
      <c r="C106" s="867"/>
      <c r="D106" s="862"/>
      <c r="E106" s="862"/>
      <c r="F106" s="862"/>
      <c r="G106" s="863"/>
      <c r="K106" s="859"/>
    </row>
    <row r="107" spans="2:11">
      <c r="B107" s="852">
        <f>IF(ISBLANK(C107),"",MAX($B$61:B106)+1)</f>
        <v>26</v>
      </c>
      <c r="C107" s="867">
        <v>500</v>
      </c>
      <c r="D107" s="862">
        <f t="shared" si="2"/>
        <v>430.71499999999997</v>
      </c>
      <c r="E107" s="862">
        <f>E$69+(E$71+E$73)*C107</f>
        <v>430.10133237623057</v>
      </c>
      <c r="F107" s="862">
        <f>E107-D107</f>
        <v>-0.61366762376940187</v>
      </c>
      <c r="G107" s="863">
        <f>F107/D107</f>
        <v>-1.4247649229058702E-3</v>
      </c>
      <c r="K107" s="859"/>
    </row>
    <row r="108" spans="2:11">
      <c r="B108" s="852">
        <f>IF(ISBLANK(C108),"",MAX($B$61:B107)+1)</f>
        <v>27</v>
      </c>
      <c r="C108" s="867">
        <v>600</v>
      </c>
      <c r="D108" s="862">
        <f t="shared" si="2"/>
        <v>514.25799999999992</v>
      </c>
      <c r="E108" s="862">
        <f>E$69+(E$71+E$73)*C108</f>
        <v>513.52159885147671</v>
      </c>
      <c r="F108" s="862">
        <f>E108-D108</f>
        <v>-0.73640114852321403</v>
      </c>
      <c r="G108" s="863">
        <f>F108/D108</f>
        <v>-1.4319682893085069E-3</v>
      </c>
      <c r="K108" s="859"/>
    </row>
    <row r="109" spans="2:11">
      <c r="B109" s="852">
        <f>IF(ISBLANK(C109),"",MAX($B$61:B108)+1)</f>
        <v>28</v>
      </c>
      <c r="C109" s="867">
        <v>700</v>
      </c>
      <c r="D109" s="862">
        <f t="shared" si="2"/>
        <v>597.80099999999993</v>
      </c>
      <c r="E109" s="862">
        <f>E$69+(E$71+E$73)*C109</f>
        <v>596.94186532672279</v>
      </c>
      <c r="F109" s="862">
        <f>E109-D109</f>
        <v>-0.85913467327713988</v>
      </c>
      <c r="G109" s="863">
        <f>F109/D109</f>
        <v>-1.4371583073249125E-3</v>
      </c>
      <c r="K109" s="859"/>
    </row>
    <row r="110" spans="2:11">
      <c r="B110" s="852">
        <f>IF(ISBLANK(C110),"",MAX($B$61:B109)+1)</f>
        <v>29</v>
      </c>
      <c r="C110" s="867">
        <v>800</v>
      </c>
      <c r="D110" s="862">
        <f t="shared" si="2"/>
        <v>681.34399999999994</v>
      </c>
      <c r="E110" s="862">
        <f>E$69+(E$71+E$73)*C110</f>
        <v>680.36213180196899</v>
      </c>
      <c r="F110" s="862">
        <f>E110-D110</f>
        <v>-0.98186819803095204</v>
      </c>
      <c r="G110" s="863">
        <f>F110/D110</f>
        <v>-1.4410755771401115E-3</v>
      </c>
      <c r="K110" s="859"/>
    </row>
    <row r="111" spans="2:11">
      <c r="B111" s="852">
        <f>IF(ISBLANK(C111),"",MAX($B$61:B110)+1)</f>
        <v>30</v>
      </c>
      <c r="C111" s="867">
        <v>1000</v>
      </c>
      <c r="D111" s="862">
        <f t="shared" si="2"/>
        <v>848.43</v>
      </c>
      <c r="E111" s="862">
        <f>E$69+(E$71+E$73)*C111</f>
        <v>847.20266475246115</v>
      </c>
      <c r="F111" s="862">
        <f>E111-D111</f>
        <v>-1.2273352475388037</v>
      </c>
      <c r="G111" s="863">
        <f>F111/D111</f>
        <v>-1.4465957681114574E-3</v>
      </c>
      <c r="K111" s="859"/>
    </row>
    <row r="112" spans="2:11">
      <c r="B112" s="852" t="str">
        <f>IF(ISBLANK(C112),"",MAX($B$61:B111)+1)</f>
        <v/>
      </c>
      <c r="C112" s="867"/>
      <c r="D112" s="862"/>
      <c r="E112" s="862"/>
      <c r="F112" s="862"/>
      <c r="G112" s="863"/>
      <c r="K112" s="859"/>
    </row>
    <row r="113" spans="1:11">
      <c r="B113" s="852">
        <f>IF(ISBLANK(C113),"",MAX($B$61:B112)+1)</f>
        <v>31</v>
      </c>
      <c r="C113" s="867">
        <v>1250</v>
      </c>
      <c r="D113" s="862">
        <f t="shared" si="2"/>
        <v>1057.2874999999999</v>
      </c>
      <c r="E113" s="862">
        <f>E$69+(E$71+E$73)*C113</f>
        <v>1055.7533309405765</v>
      </c>
      <c r="F113" s="862">
        <f>E113-D113</f>
        <v>-1.5341690594234478</v>
      </c>
      <c r="G113" s="863">
        <f>F113/D113</f>
        <v>-1.4510424642525785E-3</v>
      </c>
      <c r="K113" s="859"/>
    </row>
    <row r="114" spans="1:11">
      <c r="B114" s="852">
        <f>IF(ISBLANK(C114),"",MAX($B$61:B113)+1)</f>
        <v>32</v>
      </c>
      <c r="C114" s="867">
        <v>1500</v>
      </c>
      <c r="D114" s="862">
        <f t="shared" si="2"/>
        <v>1266.1449999999998</v>
      </c>
      <c r="E114" s="862">
        <f>E$69+(E$71+E$73)*C114</f>
        <v>1264.3039971286919</v>
      </c>
      <c r="F114" s="862">
        <f>E114-D114</f>
        <v>-1.8410028713078646</v>
      </c>
      <c r="G114" s="863">
        <f>F114/D114</f>
        <v>-1.4540221469956955E-3</v>
      </c>
      <c r="K114" s="859"/>
    </row>
    <row r="115" spans="1:11">
      <c r="B115" s="852">
        <f>IF(ISBLANK(C115),"",MAX($B$61:B114)+1)</f>
        <v>33</v>
      </c>
      <c r="C115" s="867">
        <v>1750</v>
      </c>
      <c r="D115" s="862">
        <f t="shared" si="2"/>
        <v>1475.0024999999998</v>
      </c>
      <c r="E115" s="862">
        <f>E$69+(E$71+E$73)*C115</f>
        <v>1472.8546633168071</v>
      </c>
      <c r="F115" s="862">
        <f>E115-D115</f>
        <v>-2.147836683192736</v>
      </c>
      <c r="G115" s="863">
        <f>F115/D115</f>
        <v>-1.4561579951171176E-3</v>
      </c>
      <c r="K115" s="859"/>
    </row>
    <row r="116" spans="1:11">
      <c r="B116" s="852">
        <f>IF(ISBLANK(C116),"",MAX($B$61:B115)+1)</f>
        <v>34</v>
      </c>
      <c r="C116" s="867">
        <v>2000</v>
      </c>
      <c r="D116" s="862">
        <f t="shared" si="2"/>
        <v>1683.86</v>
      </c>
      <c r="E116" s="862">
        <f>E$69+(E$71+E$73)*C116</f>
        <v>1681.4053295049223</v>
      </c>
      <c r="F116" s="862">
        <f>E116-D116</f>
        <v>-2.4546704950776075</v>
      </c>
      <c r="G116" s="863">
        <f>F116/D116</f>
        <v>-1.4577640035855757E-3</v>
      </c>
      <c r="K116" s="859"/>
    </row>
    <row r="117" spans="1:11">
      <c r="B117" s="852" t="str">
        <f>IF(ISBLANK(C117),"",MAX($B$61:B116)+1)</f>
        <v/>
      </c>
      <c r="C117" s="867"/>
      <c r="D117" s="862"/>
      <c r="E117" s="862"/>
      <c r="F117" s="862"/>
      <c r="G117" s="863"/>
      <c r="K117" s="859"/>
    </row>
    <row r="118" spans="1:11">
      <c r="B118" s="852">
        <f>IF(ISBLANK(C118),"",MAX($B$61:B117)+1)</f>
        <v>35</v>
      </c>
      <c r="C118" s="867">
        <v>2500</v>
      </c>
      <c r="D118" s="862">
        <f t="shared" si="2"/>
        <v>2101.5749999999998</v>
      </c>
      <c r="E118" s="862">
        <f>E$69+(E$71+E$73)*C118</f>
        <v>2098.5066618811529</v>
      </c>
      <c r="F118" s="862">
        <f>E118-D118</f>
        <v>-3.0683381188468957</v>
      </c>
      <c r="G118" s="863">
        <f>F118/D118</f>
        <v>-1.4600183761449845E-3</v>
      </c>
      <c r="K118" s="859"/>
    </row>
    <row r="119" spans="1:11">
      <c r="B119" s="852">
        <f>IF(ISBLANK(C119),"",MAX($B$61:B118)+1)</f>
        <v>36</v>
      </c>
      <c r="C119" s="867">
        <v>3000</v>
      </c>
      <c r="D119" s="862">
        <f t="shared" si="2"/>
        <v>2519.2899999999995</v>
      </c>
      <c r="E119" s="862">
        <f>E$69+(E$71+E$73)*C119</f>
        <v>2515.6079942573838</v>
      </c>
      <c r="F119" s="862">
        <f>E119-D119</f>
        <v>-3.6820057426157291</v>
      </c>
      <c r="G119" s="863">
        <f>F119/D119</f>
        <v>-1.4615251688434956E-3</v>
      </c>
      <c r="K119" s="859"/>
    </row>
    <row r="120" spans="1:11">
      <c r="B120" s="852">
        <f>IF(ISBLANK(C120),"",MAX($B$61:B119)+1)</f>
        <v>37</v>
      </c>
      <c r="C120" s="867">
        <v>3500</v>
      </c>
      <c r="D120" s="862">
        <f t="shared" si="2"/>
        <v>2937.0049999999997</v>
      </c>
      <c r="E120" s="862">
        <f>E$69+(E$71+E$73)*C120</f>
        <v>2932.7093266336142</v>
      </c>
      <c r="F120" s="862">
        <f>E120-D120</f>
        <v>-4.295673366385472</v>
      </c>
      <c r="G120" s="863">
        <f>F120/D120</f>
        <v>-1.4626033549093285E-3</v>
      </c>
      <c r="K120" s="859"/>
    </row>
    <row r="121" spans="1:11">
      <c r="B121" s="852">
        <f>IF(ISBLANK(C121),"",MAX($B$61:B120)+1)</f>
        <v>38</v>
      </c>
      <c r="C121" s="867">
        <v>4000</v>
      </c>
      <c r="D121" s="862">
        <f t="shared" si="2"/>
        <v>3354.72</v>
      </c>
      <c r="E121" s="862">
        <f>E$69+(E$71+E$73)*C121</f>
        <v>3349.8106590098446</v>
      </c>
      <c r="F121" s="862">
        <f>E121-D121</f>
        <v>-4.909340990155215</v>
      </c>
      <c r="G121" s="863">
        <f>F121/D121</f>
        <v>-1.4634130389884149E-3</v>
      </c>
    </row>
    <row r="122" spans="1:11">
      <c r="D122" s="852"/>
      <c r="E122" s="852"/>
      <c r="F122" s="852"/>
      <c r="G122" s="852"/>
    </row>
    <row r="123" spans="1:11">
      <c r="D123" s="852"/>
      <c r="E123" s="852"/>
      <c r="F123" s="852"/>
      <c r="G123" s="852"/>
    </row>
    <row r="127" spans="1:11">
      <c r="A127" s="849" t="str">
        <f>$A$1</f>
        <v>Cascade Natural Gas Corporation</v>
      </c>
      <c r="H127" s="847" t="str">
        <f>$H$1</f>
        <v>CNGC/508</v>
      </c>
    </row>
    <row r="128" spans="1:11">
      <c r="A128" s="849" t="str">
        <f>$A$2</f>
        <v>Washington Jurisdiction</v>
      </c>
      <c r="H128" s="847" t="s">
        <v>2536</v>
      </c>
    </row>
    <row r="129" spans="1:10">
      <c r="A129" s="849" t="str">
        <f>$A$3</f>
        <v>Test Year Ended December 31, 2019</v>
      </c>
      <c r="H129" s="850" t="str">
        <f>$H$3</f>
        <v>Impact of Recommended Rate Changes</v>
      </c>
    </row>
    <row r="130" spans="1:10">
      <c r="A130" s="849"/>
    </row>
    <row r="131" spans="1:10">
      <c r="B131" s="851" t="str">
        <f>'Exh 18, Class Rates'!C20</f>
        <v>General Industrial - 505</v>
      </c>
    </row>
    <row r="133" spans="1:10">
      <c r="B133" s="852" t="s">
        <v>2502</v>
      </c>
    </row>
    <row r="134" spans="1:10" ht="16.2">
      <c r="B134" s="853" t="s">
        <v>2503</v>
      </c>
      <c r="C134" s="853" t="s">
        <v>97</v>
      </c>
      <c r="D134" s="853" t="s">
        <v>98</v>
      </c>
      <c r="E134" s="853" t="s">
        <v>1098</v>
      </c>
      <c r="F134" s="853" t="s">
        <v>2505</v>
      </c>
      <c r="G134" s="853" t="s">
        <v>1100</v>
      </c>
    </row>
    <row r="135" spans="1:10">
      <c r="B135" s="852"/>
      <c r="C135" s="854"/>
      <c r="D135" s="855" t="s">
        <v>2506</v>
      </c>
      <c r="E135" s="856" t="s">
        <v>2314</v>
      </c>
    </row>
    <row r="136" spans="1:10" ht="16.2">
      <c r="B136" s="852"/>
      <c r="C136" s="857"/>
      <c r="D136" s="853" t="s">
        <v>2324</v>
      </c>
      <c r="E136" s="858" t="s">
        <v>2324</v>
      </c>
    </row>
    <row r="137" spans="1:10">
      <c r="B137" s="852">
        <f>MAX(B127:B136)+1</f>
        <v>1</v>
      </c>
      <c r="C137" s="857" t="s">
        <v>2462</v>
      </c>
      <c r="D137" s="859">
        <f>'Exh 18, Class Rates'!E21</f>
        <v>60</v>
      </c>
      <c r="E137" s="872">
        <f>'Exh 18, Class Rates'!H21</f>
        <v>60</v>
      </c>
    </row>
    <row r="138" spans="1:10">
      <c r="B138" s="852"/>
      <c r="C138" s="857"/>
      <c r="D138" s="859"/>
      <c r="E138" s="872"/>
    </row>
    <row r="139" spans="1:10">
      <c r="B139" s="852">
        <f>MAX(B129:B138)+1</f>
        <v>2</v>
      </c>
      <c r="C139" s="857" t="s">
        <v>2463</v>
      </c>
      <c r="D139" s="838" t="s">
        <v>49</v>
      </c>
      <c r="E139" s="1241" t="s">
        <v>49</v>
      </c>
    </row>
    <row r="140" spans="1:10">
      <c r="B140" s="852"/>
      <c r="C140" s="868" t="s">
        <v>2537</v>
      </c>
      <c r="D140" s="838">
        <f>'Exh 18, Class Rates'!E22</f>
        <v>0.20175999999999999</v>
      </c>
      <c r="E140" s="1241">
        <f>'Exh 18, Class Rates'!H22</f>
        <v>0.20081413613619778</v>
      </c>
      <c r="J140" s="848">
        <v>500</v>
      </c>
    </row>
    <row r="141" spans="1:10">
      <c r="B141" s="852"/>
      <c r="C141" s="868" t="s">
        <v>2538</v>
      </c>
      <c r="D141" s="838">
        <f>'Exh 18, Class Rates'!E23</f>
        <v>0.16481000000000001</v>
      </c>
      <c r="E141" s="1241">
        <f>'Exh 18, Class Rates'!H23</f>
        <v>0.16403736011403033</v>
      </c>
      <c r="J141" s="848">
        <v>3500</v>
      </c>
    </row>
    <row r="142" spans="1:10">
      <c r="B142" s="852"/>
      <c r="C142" s="868" t="s">
        <v>2539</v>
      </c>
      <c r="D142" s="838">
        <f>'Exh 18, Class Rates'!E24</f>
        <v>0.15923000000000001</v>
      </c>
      <c r="E142" s="1241">
        <f>'Exh 18, Class Rates'!H24</f>
        <v>0.15848351951311843</v>
      </c>
      <c r="J142" s="848">
        <v>4000</v>
      </c>
    </row>
    <row r="143" spans="1:10">
      <c r="B143" s="852"/>
      <c r="C143" s="857"/>
      <c r="D143" s="859"/>
      <c r="E143" s="835"/>
    </row>
    <row r="144" spans="1:10">
      <c r="B144" s="852">
        <f>MAX(B132:B143)+1</f>
        <v>3</v>
      </c>
      <c r="C144" s="860" t="s">
        <v>2507</v>
      </c>
      <c r="D144" s="869">
        <f>$D$15</f>
        <v>0.57362999999999997</v>
      </c>
      <c r="E144" s="866">
        <f>D144</f>
        <v>0.57362999999999997</v>
      </c>
    </row>
    <row r="145" spans="2:14">
      <c r="B145" s="852"/>
    </row>
    <row r="146" spans="2:14">
      <c r="B146" s="852"/>
      <c r="C146" s="852"/>
      <c r="D146" s="852"/>
      <c r="E146" s="852"/>
    </row>
    <row r="147" spans="2:14" ht="16.2">
      <c r="B147" s="852"/>
      <c r="C147" s="852" t="s">
        <v>2531</v>
      </c>
      <c r="D147" s="852" t="s">
        <v>2508</v>
      </c>
      <c r="E147" s="852" t="s">
        <v>2508</v>
      </c>
      <c r="F147" s="861" t="s">
        <v>2532</v>
      </c>
      <c r="G147" s="861"/>
    </row>
    <row r="148" spans="2:14" ht="16.2">
      <c r="B148" s="852"/>
      <c r="C148" s="853" t="s">
        <v>2533</v>
      </c>
      <c r="D148" s="853" t="s">
        <v>2534</v>
      </c>
      <c r="E148" s="853" t="s">
        <v>2477</v>
      </c>
      <c r="F148" s="853" t="s">
        <v>729</v>
      </c>
      <c r="G148" s="853" t="s">
        <v>2513</v>
      </c>
    </row>
    <row r="149" spans="2:14">
      <c r="B149" s="852"/>
    </row>
    <row r="150" spans="2:14">
      <c r="B150" s="852">
        <f>MAX(B138:B149)+1</f>
        <v>4</v>
      </c>
      <c r="C150" s="867">
        <v>0</v>
      </c>
      <c r="D150" s="862">
        <f>D$137+(D$140+D$144)*$C150</f>
        <v>60</v>
      </c>
      <c r="E150" s="862">
        <f>E$137+(E$140+E$144)*$C150</f>
        <v>60</v>
      </c>
      <c r="F150" s="862">
        <f>E150-D150</f>
        <v>0</v>
      </c>
      <c r="G150" s="863">
        <f>F150/D150</f>
        <v>0</v>
      </c>
      <c r="J150" s="870"/>
      <c r="K150" s="871"/>
      <c r="M150" s="871"/>
      <c r="N150" s="871"/>
    </row>
    <row r="151" spans="2:14">
      <c r="B151" s="852"/>
      <c r="C151" s="867"/>
      <c r="D151" s="862"/>
      <c r="E151" s="862"/>
      <c r="F151" s="862"/>
      <c r="G151" s="863"/>
    </row>
    <row r="152" spans="2:14">
      <c r="B152" s="852">
        <f t="shared" ref="B152:B199" si="3">MAX(B143:B151)+1</f>
        <v>5</v>
      </c>
      <c r="C152" s="867">
        <v>100</v>
      </c>
      <c r="D152" s="862">
        <f>D$137+(D$140+D$144)*$C152</f>
        <v>137.53899999999999</v>
      </c>
      <c r="E152" s="862">
        <f>E$137+(E$140+E$144)*$C152</f>
        <v>137.44441361361976</v>
      </c>
      <c r="F152" s="862">
        <f>E152-D152</f>
        <v>-9.458638638022876E-2</v>
      </c>
      <c r="G152" s="863">
        <f>F152/D152</f>
        <v>-6.8770593344599546E-4</v>
      </c>
      <c r="M152" s="859"/>
    </row>
    <row r="153" spans="2:14">
      <c r="B153" s="852">
        <f t="shared" si="3"/>
        <v>6</v>
      </c>
      <c r="C153" s="867">
        <f>+C152+100</f>
        <v>200</v>
      </c>
      <c r="D153" s="862">
        <f t="shared" ref="D153:E156" si="4">D$137+(D$140+D$144)*$C153</f>
        <v>215.078</v>
      </c>
      <c r="E153" s="862">
        <f t="shared" si="4"/>
        <v>214.88882722723955</v>
      </c>
      <c r="F153" s="862">
        <f>E153-D153</f>
        <v>-0.18917277276045752</v>
      </c>
      <c r="G153" s="863">
        <f>F153/D153</f>
        <v>-8.7955426757017235E-4</v>
      </c>
      <c r="M153" s="859"/>
    </row>
    <row r="154" spans="2:14">
      <c r="B154" s="852">
        <f t="shared" si="3"/>
        <v>7</v>
      </c>
      <c r="C154" s="867">
        <f t="shared" ref="C154:C168" si="5">+C153+100</f>
        <v>300</v>
      </c>
      <c r="D154" s="862">
        <f t="shared" si="4"/>
        <v>292.61700000000002</v>
      </c>
      <c r="E154" s="862">
        <f t="shared" si="4"/>
        <v>292.33324084085933</v>
      </c>
      <c r="F154" s="862">
        <f>E154-D154</f>
        <v>-0.28375915914068628</v>
      </c>
      <c r="G154" s="863">
        <f>F154/D154</f>
        <v>-9.6972889183022945E-4</v>
      </c>
      <c r="M154" s="859"/>
    </row>
    <row r="155" spans="2:14">
      <c r="B155" s="852">
        <f t="shared" si="3"/>
        <v>8</v>
      </c>
      <c r="C155" s="867">
        <f t="shared" si="5"/>
        <v>400</v>
      </c>
      <c r="D155" s="862">
        <f t="shared" si="4"/>
        <v>370.15600000000001</v>
      </c>
      <c r="E155" s="862">
        <f t="shared" si="4"/>
        <v>369.77765445447909</v>
      </c>
      <c r="F155" s="862">
        <f>E155-D155</f>
        <v>-0.37834554552091504</v>
      </c>
      <c r="G155" s="863">
        <f>F155/D155</f>
        <v>-1.0221245786125716E-3</v>
      </c>
      <c r="M155" s="859"/>
    </row>
    <row r="156" spans="2:14">
      <c r="B156" s="852">
        <f t="shared" si="3"/>
        <v>9</v>
      </c>
      <c r="C156" s="867">
        <f t="shared" si="5"/>
        <v>500</v>
      </c>
      <c r="D156" s="862">
        <f t="shared" si="4"/>
        <v>447.69499999999999</v>
      </c>
      <c r="E156" s="862">
        <f t="shared" si="4"/>
        <v>447.22206806809891</v>
      </c>
      <c r="F156" s="862">
        <f>E156-D156</f>
        <v>-0.47293193190108695</v>
      </c>
      <c r="G156" s="863">
        <f>F156/D156</f>
        <v>-1.0563708147312053E-3</v>
      </c>
      <c r="M156" s="859"/>
    </row>
    <row r="157" spans="2:14">
      <c r="B157" s="852"/>
      <c r="C157" s="867"/>
      <c r="D157" s="862"/>
      <c r="E157" s="862"/>
      <c r="F157" s="862"/>
      <c r="G157" s="863"/>
    </row>
    <row r="158" spans="2:14">
      <c r="B158" s="852">
        <f t="shared" si="3"/>
        <v>10</v>
      </c>
      <c r="C158" s="867">
        <f>+C156+100</f>
        <v>600</v>
      </c>
      <c r="D158" s="862">
        <f t="shared" ref="D158:E162" si="6">D$137+(D$144*$C158)+D$141*($C158-$J$140)+D$140*$J$140</f>
        <v>521.53899999999999</v>
      </c>
      <c r="E158" s="862">
        <f t="shared" si="6"/>
        <v>520.98880407950196</v>
      </c>
      <c r="F158" s="862">
        <f>E158-D158</f>
        <v>-0.55019592049802668</v>
      </c>
      <c r="G158" s="863">
        <f>F158/D158</f>
        <v>-1.0549468409803038E-3</v>
      </c>
      <c r="M158" s="859"/>
    </row>
    <row r="159" spans="2:14">
      <c r="B159" s="852">
        <f t="shared" si="3"/>
        <v>11</v>
      </c>
      <c r="C159" s="867">
        <f t="shared" si="5"/>
        <v>700</v>
      </c>
      <c r="D159" s="862">
        <f t="shared" si="6"/>
        <v>595.38300000000004</v>
      </c>
      <c r="E159" s="862">
        <f t="shared" si="6"/>
        <v>594.7555400909049</v>
      </c>
      <c r="F159" s="862">
        <f>E159-D159</f>
        <v>-0.62745990909513694</v>
      </c>
      <c r="G159" s="863">
        <f>F159/D159</f>
        <v>-1.0538760916840705E-3</v>
      </c>
      <c r="M159" s="859"/>
    </row>
    <row r="160" spans="2:14">
      <c r="B160" s="852">
        <f>MAX(B150:B159)+1</f>
        <v>12</v>
      </c>
      <c r="C160" s="867">
        <f t="shared" si="5"/>
        <v>800</v>
      </c>
      <c r="D160" s="862">
        <f t="shared" si="6"/>
        <v>669.22699999999998</v>
      </c>
      <c r="E160" s="862">
        <f t="shared" si="6"/>
        <v>668.52227610230796</v>
      </c>
      <c r="F160" s="862">
        <f>E160-D160</f>
        <v>-0.70472389769201982</v>
      </c>
      <c r="G160" s="863">
        <f>F160/D160</f>
        <v>-1.0530416401191521E-3</v>
      </c>
      <c r="M160" s="859"/>
    </row>
    <row r="161" spans="2:13">
      <c r="B161" s="852">
        <f>MAX(B151:B160)+1</f>
        <v>13</v>
      </c>
      <c r="C161" s="867">
        <f t="shared" si="5"/>
        <v>900</v>
      </c>
      <c r="D161" s="862">
        <f t="shared" si="6"/>
        <v>743.07099999999991</v>
      </c>
      <c r="E161" s="862">
        <f t="shared" si="6"/>
        <v>742.2890121137109</v>
      </c>
      <c r="F161" s="862">
        <f>E161-D161</f>
        <v>-0.78198788628901639</v>
      </c>
      <c r="G161" s="863">
        <f>F161/D161</f>
        <v>-1.0523730387661696E-3</v>
      </c>
      <c r="M161" s="859"/>
    </row>
    <row r="162" spans="2:13">
      <c r="B162" s="852">
        <f>MAX(B152:B161)+1</f>
        <v>14</v>
      </c>
      <c r="C162" s="867">
        <f t="shared" si="5"/>
        <v>1000</v>
      </c>
      <c r="D162" s="862">
        <f t="shared" si="6"/>
        <v>816.91499999999996</v>
      </c>
      <c r="E162" s="862">
        <f t="shared" si="6"/>
        <v>816.05574812511395</v>
      </c>
      <c r="F162" s="862">
        <f>E162-D162</f>
        <v>-0.85925187488601296</v>
      </c>
      <c r="G162" s="863">
        <f>F162/D162</f>
        <v>-1.0518253121634602E-3</v>
      </c>
      <c r="M162" s="859"/>
    </row>
    <row r="163" spans="2:13">
      <c r="B163" s="852"/>
      <c r="C163" s="867"/>
      <c r="D163" s="862"/>
      <c r="E163" s="862"/>
      <c r="F163" s="862"/>
      <c r="G163" s="863"/>
    </row>
    <row r="164" spans="2:13">
      <c r="B164" s="852">
        <f>MAX(B154:B163)+1</f>
        <v>15</v>
      </c>
      <c r="C164" s="867">
        <f>+C162+100</f>
        <v>1100</v>
      </c>
      <c r="D164" s="862">
        <f t="shared" ref="D164:E168" si="7">D$137+(D$144*$C164)+D$141*($C164-$J$140)+D$140*$J$140</f>
        <v>890.7589999999999</v>
      </c>
      <c r="E164" s="862">
        <f t="shared" si="7"/>
        <v>889.82248413651701</v>
      </c>
      <c r="F164" s="862">
        <f>E164-D164</f>
        <v>-0.93651586348289584</v>
      </c>
      <c r="G164" s="863">
        <f>F164/D164</f>
        <v>-1.0513683987283832E-3</v>
      </c>
      <c r="M164" s="859"/>
    </row>
    <row r="165" spans="2:13">
      <c r="B165" s="852">
        <f>MAX(B155:B164)+1</f>
        <v>16</v>
      </c>
      <c r="C165" s="867">
        <f t="shared" si="5"/>
        <v>1200</v>
      </c>
      <c r="D165" s="862">
        <f t="shared" si="7"/>
        <v>964.60299999999995</v>
      </c>
      <c r="E165" s="862">
        <f t="shared" si="7"/>
        <v>963.58922014792006</v>
      </c>
      <c r="F165" s="862">
        <f>E165-D165</f>
        <v>-1.0137798520798924</v>
      </c>
      <c r="G165" s="863">
        <f>F165/D165</f>
        <v>-1.0509814421890585E-3</v>
      </c>
      <c r="M165" s="859"/>
    </row>
    <row r="166" spans="2:13">
      <c r="B166" s="852">
        <f>MAX(B155:B165)+1</f>
        <v>17</v>
      </c>
      <c r="C166" s="867">
        <f t="shared" si="5"/>
        <v>1300</v>
      </c>
      <c r="D166" s="862">
        <f t="shared" si="7"/>
        <v>1038.4470000000001</v>
      </c>
      <c r="E166" s="862">
        <f t="shared" si="7"/>
        <v>1037.3559561593231</v>
      </c>
      <c r="F166" s="862">
        <f>E166-D166</f>
        <v>-1.0910438406770027</v>
      </c>
      <c r="G166" s="863">
        <f>F166/D166</f>
        <v>-1.0506495186340782E-3</v>
      </c>
      <c r="M166" s="859"/>
    </row>
    <row r="167" spans="2:13">
      <c r="B167" s="852">
        <f>MAX(B156:B166)+1</f>
        <v>18</v>
      </c>
      <c r="C167" s="867">
        <f t="shared" si="5"/>
        <v>1400</v>
      </c>
      <c r="D167" s="862">
        <f t="shared" si="7"/>
        <v>1112.2910000000002</v>
      </c>
      <c r="E167" s="862">
        <f t="shared" si="7"/>
        <v>1111.1226921707262</v>
      </c>
      <c r="F167" s="862">
        <f>E167-D167</f>
        <v>-1.1683078292739992</v>
      </c>
      <c r="G167" s="863">
        <f>F167/D167</f>
        <v>-1.0503616672921017E-3</v>
      </c>
      <c r="M167" s="859"/>
    </row>
    <row r="168" spans="2:13">
      <c r="B168" s="852">
        <f>MAX(B158:B167)+1</f>
        <v>19</v>
      </c>
      <c r="C168" s="867">
        <f t="shared" si="5"/>
        <v>1500</v>
      </c>
      <c r="D168" s="862">
        <f t="shared" si="7"/>
        <v>1186.1349999999998</v>
      </c>
      <c r="E168" s="862">
        <f t="shared" si="7"/>
        <v>1184.889428182129</v>
      </c>
      <c r="F168" s="862">
        <f>E168-D168</f>
        <v>-1.2455718178707684</v>
      </c>
      <c r="G168" s="863">
        <f>F168/D168</f>
        <v>-1.050109656886247E-3</v>
      </c>
      <c r="M168" s="859"/>
    </row>
    <row r="169" spans="2:13">
      <c r="B169" s="852"/>
      <c r="C169" s="867"/>
      <c r="D169" s="862"/>
      <c r="E169" s="862"/>
      <c r="F169" s="862"/>
      <c r="G169" s="863"/>
    </row>
    <row r="170" spans="2:13">
      <c r="B170" s="852">
        <f>MAX(B160:B169)+1</f>
        <v>20</v>
      </c>
      <c r="C170" s="867">
        <f>+C168+500</f>
        <v>2000</v>
      </c>
      <c r="D170" s="862">
        <f t="shared" ref="D170:E174" si="8">D$137+(D$144*$C170)+D$141*($C170-$J$140)+D$140*$J$140</f>
        <v>1555.355</v>
      </c>
      <c r="E170" s="862">
        <f t="shared" si="8"/>
        <v>1553.7231082391443</v>
      </c>
      <c r="F170" s="862">
        <f>E170-D170</f>
        <v>-1.6318917608557513</v>
      </c>
      <c r="G170" s="863">
        <f>F170/D170</f>
        <v>-1.0492085477950379E-3</v>
      </c>
      <c r="M170" s="859"/>
    </row>
    <row r="171" spans="2:13">
      <c r="B171" s="852">
        <f>MAX(B161:B170)+1</f>
        <v>21</v>
      </c>
      <c r="C171" s="867">
        <f>+C170+500</f>
        <v>2500</v>
      </c>
      <c r="D171" s="862">
        <f t="shared" si="8"/>
        <v>1924.5750000000003</v>
      </c>
      <c r="E171" s="862">
        <f t="shared" si="8"/>
        <v>1922.5567882961595</v>
      </c>
      <c r="F171" s="862">
        <f>E171-D171</f>
        <v>-2.0182117038407341</v>
      </c>
      <c r="G171" s="863">
        <f>F171/D171</f>
        <v>-1.0486531851659374E-3</v>
      </c>
      <c r="M171" s="859"/>
    </row>
    <row r="172" spans="2:13">
      <c r="B172" s="852">
        <f>MAX(B162:B171)+1</f>
        <v>22</v>
      </c>
      <c r="C172" s="867">
        <f>+C171+500</f>
        <v>3000</v>
      </c>
      <c r="D172" s="862">
        <f t="shared" si="8"/>
        <v>2293.7950000000001</v>
      </c>
      <c r="E172" s="862">
        <f t="shared" si="8"/>
        <v>2291.3904683531746</v>
      </c>
      <c r="F172" s="862">
        <f>E172-D172</f>
        <v>-2.4045316468254896</v>
      </c>
      <c r="G172" s="863">
        <f>F172/D172</f>
        <v>-1.0482766100830673E-3</v>
      </c>
      <c r="M172" s="859"/>
    </row>
    <row r="173" spans="2:13">
      <c r="B173" s="852">
        <f t="shared" si="3"/>
        <v>23</v>
      </c>
      <c r="C173" s="867">
        <f>+C172+500</f>
        <v>3500</v>
      </c>
      <c r="D173" s="862">
        <f t="shared" si="8"/>
        <v>2663.0150000000003</v>
      </c>
      <c r="E173" s="862">
        <f t="shared" si="8"/>
        <v>2660.2241484101896</v>
      </c>
      <c r="F173" s="862">
        <f>E173-D173</f>
        <v>-2.7908515898106998</v>
      </c>
      <c r="G173" s="863">
        <f>F173/D173</f>
        <v>-1.0480044572827038E-3</v>
      </c>
      <c r="M173" s="859"/>
    </row>
    <row r="174" spans="2:13">
      <c r="B174" s="852">
        <f t="shared" si="3"/>
        <v>24</v>
      </c>
      <c r="C174" s="867">
        <f>+C173+500</f>
        <v>4000</v>
      </c>
      <c r="D174" s="862">
        <f t="shared" si="8"/>
        <v>3032.2350000000001</v>
      </c>
      <c r="E174" s="862">
        <f t="shared" si="8"/>
        <v>3029.0578284672051</v>
      </c>
      <c r="F174" s="862">
        <f>E174-D174</f>
        <v>-3.1771715327950005</v>
      </c>
      <c r="G174" s="863">
        <f>F174/D174</f>
        <v>-1.0477985818365002E-3</v>
      </c>
      <c r="M174" s="859"/>
    </row>
    <row r="175" spans="2:13">
      <c r="B175" s="852"/>
      <c r="C175" s="867"/>
      <c r="D175" s="862"/>
      <c r="E175" s="862"/>
      <c r="F175" s="862"/>
      <c r="G175" s="863"/>
    </row>
    <row r="176" spans="2:13">
      <c r="B176" s="852">
        <f t="shared" si="3"/>
        <v>25</v>
      </c>
      <c r="C176" s="867">
        <f>+C174+1000</f>
        <v>5000</v>
      </c>
      <c r="D176" s="862">
        <f t="shared" ref="D176:E180" si="9">D$137+(D$144*$C176)+D$142*($C176-$J$140-$J$141)+D$140*$J$140+D$141*$J$141</f>
        <v>3765.0950000000003</v>
      </c>
      <c r="E176" s="862">
        <f t="shared" si="9"/>
        <v>3761.1713479803238</v>
      </c>
      <c r="F176" s="862">
        <f>E176-D176</f>
        <v>-3.9236520196764104</v>
      </c>
      <c r="G176" s="863">
        <f>F176/D176</f>
        <v>-1.0421123556447873E-3</v>
      </c>
    </row>
    <row r="177" spans="2:7">
      <c r="B177" s="852">
        <f t="shared" si="3"/>
        <v>26</v>
      </c>
      <c r="C177" s="867">
        <f>+C176+1000</f>
        <v>6000</v>
      </c>
      <c r="D177" s="862">
        <f t="shared" si="9"/>
        <v>4497.9549999999999</v>
      </c>
      <c r="E177" s="862">
        <f t="shared" si="9"/>
        <v>4493.2848674934412</v>
      </c>
      <c r="F177" s="862">
        <f>E177-D177</f>
        <v>-4.6701325065587298</v>
      </c>
      <c r="G177" s="863">
        <f>F177/D177</f>
        <v>-1.0382790638320592E-3</v>
      </c>
    </row>
    <row r="178" spans="2:7">
      <c r="B178" s="852">
        <f t="shared" si="3"/>
        <v>27</v>
      </c>
      <c r="C178" s="867">
        <f>+C177+1000</f>
        <v>7000</v>
      </c>
      <c r="D178" s="862">
        <f t="shared" si="9"/>
        <v>5230.8150000000005</v>
      </c>
      <c r="E178" s="862">
        <f t="shared" si="9"/>
        <v>5225.3983870065604</v>
      </c>
      <c r="F178" s="862">
        <f>E178-D178</f>
        <v>-5.4166129934401397</v>
      </c>
      <c r="G178" s="863">
        <f>F178/D178</f>
        <v>-1.0355198938291909E-3</v>
      </c>
    </row>
    <row r="179" spans="2:7">
      <c r="B179" s="852">
        <f t="shared" si="3"/>
        <v>28</v>
      </c>
      <c r="C179" s="867">
        <f>+C178+1000</f>
        <v>8000</v>
      </c>
      <c r="D179" s="862">
        <f t="shared" si="9"/>
        <v>5963.6750000000002</v>
      </c>
      <c r="E179" s="862">
        <f t="shared" si="9"/>
        <v>5957.5119065196786</v>
      </c>
      <c r="F179" s="862">
        <f>E179-D179</f>
        <v>-6.1630934803215496</v>
      </c>
      <c r="G179" s="863">
        <f>F179/D179</f>
        <v>-1.0334388578052208E-3</v>
      </c>
    </row>
    <row r="180" spans="2:7">
      <c r="B180" s="852">
        <f t="shared" si="3"/>
        <v>29</v>
      </c>
      <c r="C180" s="867">
        <f>+C179+1000</f>
        <v>9000</v>
      </c>
      <c r="D180" s="862">
        <f t="shared" si="9"/>
        <v>6696.5349999999999</v>
      </c>
      <c r="E180" s="862">
        <f t="shared" si="9"/>
        <v>6689.6254260327978</v>
      </c>
      <c r="F180" s="862">
        <f>E180-D180</f>
        <v>-6.90957396720205</v>
      </c>
      <c r="G180" s="863">
        <f>F180/D180</f>
        <v>-1.0318133134825773E-3</v>
      </c>
    </row>
    <row r="181" spans="2:7">
      <c r="B181" s="852"/>
      <c r="C181" s="867"/>
      <c r="D181" s="862"/>
      <c r="E181" s="862"/>
      <c r="F181" s="862"/>
      <c r="G181" s="863"/>
    </row>
    <row r="182" spans="2:7">
      <c r="B182" s="852">
        <f t="shared" si="3"/>
        <v>30</v>
      </c>
      <c r="C182" s="867">
        <f>+C180+1000</f>
        <v>10000</v>
      </c>
      <c r="D182" s="862">
        <f t="shared" ref="D182:E186" si="10">D$137+(D$144*$C182)+D$142*($C182-$J$140-$J$141)+D$140*$J$140+D$141*$J$141</f>
        <v>7429.3950000000004</v>
      </c>
      <c r="E182" s="862">
        <f t="shared" si="10"/>
        <v>7421.7389455459161</v>
      </c>
      <c r="F182" s="862">
        <f>E182-D182</f>
        <v>-7.6560544540843694</v>
      </c>
      <c r="G182" s="863">
        <f>F182/D182</f>
        <v>-1.0305084672553241E-3</v>
      </c>
    </row>
    <row r="183" spans="2:7">
      <c r="B183" s="852">
        <f t="shared" si="3"/>
        <v>31</v>
      </c>
      <c r="C183" s="867">
        <f>+C182+2500</f>
        <v>12500</v>
      </c>
      <c r="D183" s="862">
        <f t="shared" si="10"/>
        <v>9261.5449999999983</v>
      </c>
      <c r="E183" s="862">
        <f t="shared" si="10"/>
        <v>9252.0227443287131</v>
      </c>
      <c r="F183" s="862">
        <f>E183-D183</f>
        <v>-9.5222556712851656</v>
      </c>
      <c r="G183" s="863">
        <f>F183/D183</f>
        <v>-1.0281498034383212E-3</v>
      </c>
    </row>
    <row r="184" spans="2:7">
      <c r="B184" s="852">
        <f t="shared" si="3"/>
        <v>32</v>
      </c>
      <c r="C184" s="867">
        <f>+C183+2500</f>
        <v>15000</v>
      </c>
      <c r="D184" s="862">
        <f t="shared" si="10"/>
        <v>11093.695</v>
      </c>
      <c r="E184" s="862">
        <f t="shared" si="10"/>
        <v>11082.306543111508</v>
      </c>
      <c r="F184" s="862">
        <f>E184-D184</f>
        <v>-11.388456888491419</v>
      </c>
      <c r="G184" s="863">
        <f>F184/D184</f>
        <v>-1.0265702174515722E-3</v>
      </c>
    </row>
    <row r="185" spans="2:7">
      <c r="B185" s="852">
        <f t="shared" si="3"/>
        <v>33</v>
      </c>
      <c r="C185" s="867">
        <f>+C184+2500</f>
        <v>17500</v>
      </c>
      <c r="D185" s="862">
        <f t="shared" si="10"/>
        <v>12925.844999999998</v>
      </c>
      <c r="E185" s="862">
        <f t="shared" si="10"/>
        <v>12912.590341894303</v>
      </c>
      <c r="F185" s="862">
        <f>E185-D185</f>
        <v>-13.254658105694034</v>
      </c>
      <c r="G185" s="863">
        <f>F185/D185</f>
        <v>-1.0254384224547049E-3</v>
      </c>
    </row>
    <row r="186" spans="2:7">
      <c r="B186" s="852">
        <f t="shared" si="3"/>
        <v>34</v>
      </c>
      <c r="C186" s="867">
        <f>+C185+2500</f>
        <v>20000</v>
      </c>
      <c r="D186" s="862">
        <f t="shared" si="10"/>
        <v>14757.994999999999</v>
      </c>
      <c r="E186" s="862">
        <f t="shared" si="10"/>
        <v>14742.874140677102</v>
      </c>
      <c r="F186" s="862">
        <f>E186-D186</f>
        <v>-15.120859322896649</v>
      </c>
      <c r="G186" s="863">
        <f>F186/D186</f>
        <v>-1.0245876437074719E-3</v>
      </c>
    </row>
    <row r="187" spans="2:7">
      <c r="B187" s="852"/>
      <c r="C187" s="867"/>
      <c r="D187" s="862"/>
      <c r="E187" s="862"/>
      <c r="F187" s="862"/>
      <c r="G187" s="863"/>
    </row>
    <row r="188" spans="2:7">
      <c r="B188" s="852">
        <f t="shared" si="3"/>
        <v>35</v>
      </c>
      <c r="C188" s="867">
        <f>+C186+5000</f>
        <v>25000</v>
      </c>
      <c r="D188" s="862">
        <f t="shared" ref="D188:E192" si="11">D$137+(D$144*$C188)+D$142*($C188-$J$140-$J$141)+D$140*$J$140+D$141*$J$141</f>
        <v>18422.295000000002</v>
      </c>
      <c r="E188" s="862">
        <f t="shared" si="11"/>
        <v>18403.441738242691</v>
      </c>
      <c r="F188" s="862">
        <f>E188-D188</f>
        <v>-18.853261757310975</v>
      </c>
      <c r="G188" s="863">
        <f>F188/D188</f>
        <v>-1.0233937605119759E-3</v>
      </c>
    </row>
    <row r="189" spans="2:7">
      <c r="B189" s="852">
        <f t="shared" si="3"/>
        <v>36</v>
      </c>
      <c r="C189" s="867">
        <f>+C188+5000</f>
        <v>30000</v>
      </c>
      <c r="D189" s="862">
        <f t="shared" si="11"/>
        <v>22086.594999999998</v>
      </c>
      <c r="E189" s="862">
        <f t="shared" si="11"/>
        <v>22064.009335808281</v>
      </c>
      <c r="F189" s="862">
        <f>E189-D189</f>
        <v>-22.585664191716205</v>
      </c>
      <c r="G189" s="863">
        <f>F189/D189</f>
        <v>-1.0225960222350347E-3</v>
      </c>
    </row>
    <row r="190" spans="2:7">
      <c r="B190" s="852">
        <f t="shared" si="3"/>
        <v>37</v>
      </c>
      <c r="C190" s="867">
        <f>+C189+5000</f>
        <v>35000</v>
      </c>
      <c r="D190" s="862">
        <f t="shared" si="11"/>
        <v>25750.895</v>
      </c>
      <c r="E190" s="862">
        <f t="shared" si="11"/>
        <v>25724.576933373875</v>
      </c>
      <c r="F190" s="862">
        <f>E190-D190</f>
        <v>-26.318066626125074</v>
      </c>
      <c r="G190" s="863">
        <f>F190/D190</f>
        <v>-1.0220253170278187E-3</v>
      </c>
    </row>
    <row r="191" spans="2:7">
      <c r="B191" s="852">
        <f t="shared" si="3"/>
        <v>38</v>
      </c>
      <c r="C191" s="867">
        <f>+C190+5000</f>
        <v>40000</v>
      </c>
      <c r="D191" s="862">
        <f t="shared" si="11"/>
        <v>29415.195000000003</v>
      </c>
      <c r="E191" s="862">
        <f t="shared" si="11"/>
        <v>29385.144530939469</v>
      </c>
      <c r="F191" s="862">
        <f>E191-D191</f>
        <v>-30.050469060533942</v>
      </c>
      <c r="G191" s="863">
        <f>F191/D191</f>
        <v>-1.0215967992234605E-3</v>
      </c>
    </row>
    <row r="192" spans="2:7">
      <c r="B192" s="852">
        <f t="shared" si="3"/>
        <v>39</v>
      </c>
      <c r="C192" s="867">
        <f>+C191+5000</f>
        <v>45000</v>
      </c>
      <c r="D192" s="862">
        <f t="shared" si="11"/>
        <v>33079.495000000003</v>
      </c>
      <c r="E192" s="862">
        <f t="shared" si="11"/>
        <v>33045.71212850506</v>
      </c>
      <c r="F192" s="862">
        <f>E192-D192</f>
        <v>-33.78287149494281</v>
      </c>
      <c r="G192" s="863">
        <f>F192/D192</f>
        <v>-1.0212632174385614E-3</v>
      </c>
    </row>
    <row r="193" spans="1:8">
      <c r="B193" s="852"/>
      <c r="C193" s="867"/>
      <c r="D193" s="862"/>
      <c r="E193" s="862"/>
      <c r="F193" s="862"/>
      <c r="G193" s="863"/>
    </row>
    <row r="194" spans="1:8">
      <c r="B194" s="852">
        <f t="shared" si="3"/>
        <v>40</v>
      </c>
      <c r="C194" s="867">
        <f>+C192+5000</f>
        <v>50000</v>
      </c>
      <c r="D194" s="862">
        <f t="shared" ref="D194:E199" si="12">D$137+(D$144*$C194)+D$142*($C194-$J$140-$J$141)+D$140*$J$140+D$141*$J$141</f>
        <v>36743.794999999998</v>
      </c>
      <c r="E194" s="862">
        <f t="shared" si="12"/>
        <v>36706.27972607065</v>
      </c>
      <c r="F194" s="862">
        <f t="shared" ref="F194:F199" si="13">E194-D194</f>
        <v>-37.515273929348041</v>
      </c>
      <c r="G194" s="863">
        <f t="shared" ref="G194:G199" si="14">F194/D194</f>
        <v>-1.0209961689952832E-3</v>
      </c>
    </row>
    <row r="195" spans="1:8">
      <c r="B195" s="852">
        <f t="shared" si="3"/>
        <v>41</v>
      </c>
      <c r="C195" s="867">
        <f>+C194+10000</f>
        <v>60000</v>
      </c>
      <c r="D195" s="862">
        <f t="shared" si="12"/>
        <v>44072.39499999999</v>
      </c>
      <c r="E195" s="862">
        <f t="shared" si="12"/>
        <v>44027.414921201831</v>
      </c>
      <c r="F195" s="862">
        <f t="shared" si="13"/>
        <v>-44.980078798158502</v>
      </c>
      <c r="G195" s="863">
        <f t="shared" si="14"/>
        <v>-1.0205952909561305E-3</v>
      </c>
    </row>
    <row r="196" spans="1:8">
      <c r="B196" s="852">
        <f t="shared" si="3"/>
        <v>42</v>
      </c>
      <c r="C196" s="867">
        <f>+C195+10000</f>
        <v>70000</v>
      </c>
      <c r="D196" s="862">
        <f t="shared" si="12"/>
        <v>51400.994999999995</v>
      </c>
      <c r="E196" s="862">
        <f t="shared" si="12"/>
        <v>51348.550116333019</v>
      </c>
      <c r="F196" s="862">
        <f t="shared" si="13"/>
        <v>-52.444883666976239</v>
      </c>
      <c r="G196" s="863">
        <f t="shared" si="14"/>
        <v>-1.0203087248987347E-3</v>
      </c>
    </row>
    <row r="197" spans="1:8">
      <c r="B197" s="852">
        <f t="shared" si="3"/>
        <v>43</v>
      </c>
      <c r="C197" s="867">
        <f>+C196+10000</f>
        <v>80000</v>
      </c>
      <c r="D197" s="862">
        <f t="shared" si="12"/>
        <v>58729.595000000001</v>
      </c>
      <c r="E197" s="862">
        <f t="shared" si="12"/>
        <v>58669.685311464207</v>
      </c>
      <c r="F197" s="862">
        <f t="shared" si="13"/>
        <v>-59.909688535793975</v>
      </c>
      <c r="G197" s="863">
        <f t="shared" si="14"/>
        <v>-1.0200936774005334E-3</v>
      </c>
    </row>
    <row r="198" spans="1:8">
      <c r="B198" s="852">
        <f t="shared" si="3"/>
        <v>44</v>
      </c>
      <c r="C198" s="867">
        <f>+C197+10000</f>
        <v>90000</v>
      </c>
      <c r="D198" s="862">
        <f t="shared" si="12"/>
        <v>66058.194999999992</v>
      </c>
      <c r="E198" s="862">
        <f t="shared" si="12"/>
        <v>65990.820506595381</v>
      </c>
      <c r="F198" s="862">
        <f t="shared" si="13"/>
        <v>-67.374493404611712</v>
      </c>
      <c r="G198" s="863">
        <f t="shared" si="14"/>
        <v>-1.0199263453173632E-3</v>
      </c>
    </row>
    <row r="199" spans="1:8">
      <c r="B199" s="852">
        <f t="shared" si="3"/>
        <v>45</v>
      </c>
      <c r="C199" s="867">
        <f>+C198+10000</f>
        <v>100000</v>
      </c>
      <c r="D199" s="862">
        <f t="shared" si="12"/>
        <v>73386.795000000013</v>
      </c>
      <c r="E199" s="862">
        <f t="shared" si="12"/>
        <v>73311.955701726576</v>
      </c>
      <c r="F199" s="862">
        <f t="shared" si="13"/>
        <v>-74.839298273436725</v>
      </c>
      <c r="G199" s="863">
        <f t="shared" si="14"/>
        <v>-1.0197924336856066E-3</v>
      </c>
    </row>
    <row r="201" spans="1:8">
      <c r="A201" s="849" t="str">
        <f>$A$1</f>
        <v>Cascade Natural Gas Corporation</v>
      </c>
      <c r="H201" s="847" t="str">
        <f>$H$1</f>
        <v>CNGC/508</v>
      </c>
    </row>
    <row r="202" spans="1:8">
      <c r="A202" s="849" t="str">
        <f>$A$2</f>
        <v>Washington Jurisdiction</v>
      </c>
      <c r="H202" s="847" t="s">
        <v>2540</v>
      </c>
    </row>
    <row r="203" spans="1:8">
      <c r="A203" s="849" t="str">
        <f>$A$3</f>
        <v>Test Year Ended December 31, 2019</v>
      </c>
      <c r="H203" s="850" t="str">
        <f>$H$3</f>
        <v>Impact of Recommended Rate Changes</v>
      </c>
    </row>
    <row r="204" spans="1:8">
      <c r="A204" s="849"/>
    </row>
    <row r="205" spans="1:8">
      <c r="B205" s="851" t="str">
        <f>'Exh 18, Class Rates'!C28</f>
        <v>Large Volume General Service - 511</v>
      </c>
    </row>
    <row r="207" spans="1:8">
      <c r="B207" s="852" t="s">
        <v>2502</v>
      </c>
    </row>
    <row r="208" spans="1:8" ht="16.2">
      <c r="B208" s="853" t="s">
        <v>2503</v>
      </c>
      <c r="C208" s="853" t="s">
        <v>97</v>
      </c>
      <c r="D208" s="853" t="s">
        <v>98</v>
      </c>
      <c r="E208" s="853" t="s">
        <v>1098</v>
      </c>
      <c r="F208" s="853" t="s">
        <v>2505</v>
      </c>
      <c r="G208" s="853" t="s">
        <v>1100</v>
      </c>
    </row>
    <row r="209" spans="2:10">
      <c r="B209" s="852"/>
      <c r="C209" s="854"/>
      <c r="D209" s="855" t="s">
        <v>2506</v>
      </c>
      <c r="E209" s="856" t="s">
        <v>2314</v>
      </c>
    </row>
    <row r="210" spans="2:10" ht="16.2">
      <c r="B210" s="852"/>
      <c r="C210" s="857"/>
      <c r="D210" s="853" t="s">
        <v>2324</v>
      </c>
      <c r="E210" s="858" t="s">
        <v>2324</v>
      </c>
    </row>
    <row r="211" spans="2:10">
      <c r="B211" s="852">
        <f>MAX(B201:B210)+1</f>
        <v>1</v>
      </c>
      <c r="C211" s="857" t="s">
        <v>2462</v>
      </c>
      <c r="D211" s="859">
        <f>'Exh 18, Class Rates'!$E$29</f>
        <v>125</v>
      </c>
      <c r="E211" s="872">
        <f>'Exh 18, Class Rates'!$H$29</f>
        <v>125</v>
      </c>
    </row>
    <row r="212" spans="2:10">
      <c r="B212" s="852"/>
      <c r="C212" s="857"/>
      <c r="D212" s="859"/>
      <c r="E212" s="872"/>
    </row>
    <row r="213" spans="2:10">
      <c r="B213" s="852">
        <f>MAX(B203:B212)+1</f>
        <v>2</v>
      </c>
      <c r="C213" s="857" t="s">
        <v>2463</v>
      </c>
      <c r="D213" s="838" t="s">
        <v>49</v>
      </c>
      <c r="E213" s="1241" t="s">
        <v>49</v>
      </c>
    </row>
    <row r="214" spans="2:10">
      <c r="B214" s="852"/>
      <c r="C214" s="868" t="s">
        <v>2541</v>
      </c>
      <c r="D214" s="838">
        <f>'Exh 18, Class Rates'!$E$22</f>
        <v>0.20175999999999999</v>
      </c>
      <c r="E214" s="838">
        <f>'Exh 18, Class Rates'!$H$22</f>
        <v>0.20081413613619778</v>
      </c>
      <c r="J214" s="848">
        <v>20000</v>
      </c>
    </row>
    <row r="215" spans="2:10">
      <c r="B215" s="852"/>
      <c r="C215" s="868" t="s">
        <v>2542</v>
      </c>
      <c r="D215" s="838">
        <f>'Exh 18, Class Rates'!$E$23</f>
        <v>0.16481000000000001</v>
      </c>
      <c r="E215" s="838">
        <f>'Exh 18, Class Rates'!$H$23</f>
        <v>0.16403736011403033</v>
      </c>
      <c r="J215" s="848">
        <v>80000</v>
      </c>
    </row>
    <row r="216" spans="2:10">
      <c r="B216" s="852"/>
      <c r="C216" s="868" t="s">
        <v>2543</v>
      </c>
      <c r="D216" s="838">
        <f>'Exh 18, Class Rates'!$E$24</f>
        <v>0.15923000000000001</v>
      </c>
      <c r="E216" s="838">
        <f>'Exh 18, Class Rates'!$H$24</f>
        <v>0.15848351951311843</v>
      </c>
      <c r="J216" s="848">
        <v>100000</v>
      </c>
    </row>
    <row r="217" spans="2:10">
      <c r="B217" s="852"/>
      <c r="C217" s="857"/>
      <c r="D217" s="859"/>
      <c r="E217" s="835"/>
    </row>
    <row r="218" spans="2:10">
      <c r="B218" s="852">
        <f>MAX(B206:B217)+1</f>
        <v>3</v>
      </c>
      <c r="C218" s="860" t="s">
        <v>2507</v>
      </c>
      <c r="D218" s="869">
        <f>$D$15</f>
        <v>0.57362999999999997</v>
      </c>
      <c r="E218" s="866">
        <f>D218</f>
        <v>0.57362999999999997</v>
      </c>
    </row>
    <row r="219" spans="2:10">
      <c r="B219" s="852"/>
    </row>
    <row r="220" spans="2:10">
      <c r="B220" s="852"/>
      <c r="C220" s="852"/>
      <c r="D220" s="852"/>
      <c r="E220" s="852"/>
    </row>
    <row r="221" spans="2:10" ht="16.2">
      <c r="B221" s="852"/>
      <c r="C221" s="852" t="s">
        <v>2531</v>
      </c>
      <c r="D221" s="852" t="s">
        <v>2508</v>
      </c>
      <c r="E221" s="852" t="s">
        <v>2508</v>
      </c>
      <c r="F221" s="861" t="s">
        <v>2532</v>
      </c>
      <c r="G221" s="861"/>
    </row>
    <row r="222" spans="2:10" ht="16.2">
      <c r="B222" s="852"/>
      <c r="C222" s="853" t="s">
        <v>2533</v>
      </c>
      <c r="D222" s="853" t="s">
        <v>2534</v>
      </c>
      <c r="E222" s="853" t="s">
        <v>2477</v>
      </c>
      <c r="F222" s="853" t="s">
        <v>729</v>
      </c>
      <c r="G222" s="853" t="s">
        <v>2513</v>
      </c>
    </row>
    <row r="223" spans="2:10">
      <c r="B223" s="852"/>
    </row>
    <row r="224" spans="2:10">
      <c r="B224" s="852">
        <f>MAX(B212:B223)+1</f>
        <v>4</v>
      </c>
      <c r="C224" s="867">
        <v>0</v>
      </c>
      <c r="D224" s="862">
        <f>D$211+(D$214+D$218)*$C224</f>
        <v>125</v>
      </c>
      <c r="E224" s="862">
        <f>E$211+(E$214+E$218)*$C224</f>
        <v>125</v>
      </c>
      <c r="F224" s="862">
        <f>E224-D224</f>
        <v>0</v>
      </c>
      <c r="G224" s="863">
        <f>F224/D224</f>
        <v>0</v>
      </c>
    </row>
    <row r="225" spans="2:7">
      <c r="B225" s="852"/>
      <c r="C225" s="867"/>
      <c r="D225" s="862"/>
      <c r="E225" s="862"/>
      <c r="F225" s="862"/>
      <c r="G225" s="863"/>
    </row>
    <row r="226" spans="2:7">
      <c r="B226" s="852">
        <f>MAX(B217:B225)+1</f>
        <v>5</v>
      </c>
      <c r="C226" s="867">
        <v>1000</v>
      </c>
      <c r="D226" s="862">
        <f t="shared" ref="D226:E236" si="15">D$211+(D$214+D$218)*$C226</f>
        <v>900.39</v>
      </c>
      <c r="E226" s="862">
        <f t="shared" si="15"/>
        <v>899.44413613619781</v>
      </c>
      <c r="F226" s="862">
        <f>E226-D226</f>
        <v>-0.94586386380217391</v>
      </c>
      <c r="G226" s="863">
        <f>F226/D226</f>
        <v>-1.0505046299960838E-3</v>
      </c>
    </row>
    <row r="227" spans="2:7">
      <c r="B227" s="852">
        <f>MAX(B218:B226)+1</f>
        <v>6</v>
      </c>
      <c r="C227" s="867">
        <f>+C226+1000</f>
        <v>2000</v>
      </c>
      <c r="D227" s="862">
        <f t="shared" si="15"/>
        <v>1675.78</v>
      </c>
      <c r="E227" s="862">
        <f t="shared" si="15"/>
        <v>1673.8882722723956</v>
      </c>
      <c r="F227" s="862">
        <f>E227-D227</f>
        <v>-1.8917277276043478</v>
      </c>
      <c r="G227" s="863">
        <f>F227/D227</f>
        <v>-1.1288640081659573E-3</v>
      </c>
    </row>
    <row r="228" spans="2:7">
      <c r="B228" s="852">
        <f>MAX(B219:B227)+1</f>
        <v>7</v>
      </c>
      <c r="C228" s="867">
        <f>+C227+1000</f>
        <v>3000</v>
      </c>
      <c r="D228" s="862">
        <f t="shared" si="15"/>
        <v>2451.17</v>
      </c>
      <c r="E228" s="862">
        <f t="shared" si="15"/>
        <v>2448.3324084085934</v>
      </c>
      <c r="F228" s="862">
        <f>E228-D228</f>
        <v>-2.8375915914066354</v>
      </c>
      <c r="G228" s="863">
        <f>F228/D228</f>
        <v>-1.1576478136590426E-3</v>
      </c>
    </row>
    <row r="229" spans="2:7">
      <c r="B229" s="852">
        <f>MAX(B220:B228)+1</f>
        <v>8</v>
      </c>
      <c r="C229" s="867">
        <f>+C228+1000</f>
        <v>4000</v>
      </c>
      <c r="D229" s="862">
        <f t="shared" si="15"/>
        <v>3226.56</v>
      </c>
      <c r="E229" s="862">
        <f t="shared" si="15"/>
        <v>3222.7765445447912</v>
      </c>
      <c r="F229" s="862">
        <f>E229-D229</f>
        <v>-3.7834554552086956</v>
      </c>
      <c r="G229" s="863">
        <f>F229/D229</f>
        <v>-1.172597272391865E-3</v>
      </c>
    </row>
    <row r="230" spans="2:7">
      <c r="B230" s="852">
        <f>MAX(B221:B229)+1</f>
        <v>9</v>
      </c>
      <c r="C230" s="867">
        <f>+C229+1000</f>
        <v>5000</v>
      </c>
      <c r="D230" s="862">
        <f t="shared" si="15"/>
        <v>4001.9500000000003</v>
      </c>
      <c r="E230" s="862">
        <f t="shared" si="15"/>
        <v>3997.2206806809891</v>
      </c>
      <c r="F230" s="862">
        <f>E230-D230</f>
        <v>-4.7293193190112106</v>
      </c>
      <c r="G230" s="863">
        <f>F230/D230</f>
        <v>-1.1817537248119568E-3</v>
      </c>
    </row>
    <row r="231" spans="2:7">
      <c r="B231" s="852"/>
      <c r="C231" s="867"/>
      <c r="D231" s="862"/>
      <c r="E231" s="862"/>
      <c r="F231" s="862"/>
      <c r="G231" s="863"/>
    </row>
    <row r="232" spans="2:7">
      <c r="B232" s="852">
        <f t="shared" ref="B232:B273" si="16">MAX(B223:B231)+1</f>
        <v>10</v>
      </c>
      <c r="C232" s="867">
        <f>+C230+3000</f>
        <v>8000</v>
      </c>
      <c r="D232" s="862">
        <f t="shared" si="15"/>
        <v>6328.12</v>
      </c>
      <c r="E232" s="862">
        <f t="shared" si="15"/>
        <v>6320.5530890895825</v>
      </c>
      <c r="F232" s="862">
        <f>E232-D232</f>
        <v>-7.5669109104173913</v>
      </c>
      <c r="G232" s="863">
        <f>F232/D232</f>
        <v>-1.1957597059501703E-3</v>
      </c>
    </row>
    <row r="233" spans="2:7">
      <c r="B233" s="852">
        <f t="shared" si="16"/>
        <v>11</v>
      </c>
      <c r="C233" s="867">
        <f>+C232+3000</f>
        <v>11000</v>
      </c>
      <c r="D233" s="862">
        <f t="shared" si="15"/>
        <v>8654.2900000000009</v>
      </c>
      <c r="E233" s="862">
        <f t="shared" si="15"/>
        <v>8643.885497498175</v>
      </c>
      <c r="F233" s="862">
        <f>E233-D233</f>
        <v>-10.404502501825846</v>
      </c>
      <c r="G233" s="863">
        <f>F233/D233</f>
        <v>-1.2022364055082329E-3</v>
      </c>
    </row>
    <row r="234" spans="2:7">
      <c r="B234" s="852">
        <f t="shared" si="16"/>
        <v>12</v>
      </c>
      <c r="C234" s="867">
        <f>+C233+3000</f>
        <v>14000</v>
      </c>
      <c r="D234" s="862">
        <f t="shared" si="15"/>
        <v>10980.460000000001</v>
      </c>
      <c r="E234" s="862">
        <f t="shared" si="15"/>
        <v>10967.217905906769</v>
      </c>
      <c r="F234" s="862">
        <f>E234-D234</f>
        <v>-13.242094093231572</v>
      </c>
      <c r="G234" s="863">
        <f>F234/D234</f>
        <v>-1.2059689751824213E-3</v>
      </c>
    </row>
    <row r="235" spans="2:7">
      <c r="B235" s="852">
        <f t="shared" si="16"/>
        <v>13</v>
      </c>
      <c r="C235" s="867">
        <f>+C234+3000</f>
        <v>17000</v>
      </c>
      <c r="D235" s="862">
        <f t="shared" si="15"/>
        <v>13306.630000000001</v>
      </c>
      <c r="E235" s="862">
        <f t="shared" si="15"/>
        <v>13290.550314315362</v>
      </c>
      <c r="F235" s="862">
        <f>E235-D235</f>
        <v>-16.079685684639117</v>
      </c>
      <c r="G235" s="863">
        <f>F235/D235</f>
        <v>-1.2083965425234726E-3</v>
      </c>
    </row>
    <row r="236" spans="2:7">
      <c r="B236" s="852">
        <f t="shared" si="16"/>
        <v>14</v>
      </c>
      <c r="C236" s="867">
        <f>+C235+3000</f>
        <v>20000</v>
      </c>
      <c r="D236" s="862">
        <f t="shared" si="15"/>
        <v>15632.800000000001</v>
      </c>
      <c r="E236" s="862">
        <f t="shared" si="15"/>
        <v>15613.882722723956</v>
      </c>
      <c r="F236" s="862">
        <f>E236-D236</f>
        <v>-18.917277276044842</v>
      </c>
      <c r="G236" s="863">
        <f>F236/D236</f>
        <v>-1.2101016629167418E-3</v>
      </c>
    </row>
    <row r="237" spans="2:7">
      <c r="B237" s="852"/>
      <c r="C237" s="867"/>
      <c r="D237" s="862"/>
      <c r="E237" s="862"/>
      <c r="F237" s="862"/>
      <c r="G237" s="863"/>
    </row>
    <row r="238" spans="2:7">
      <c r="B238" s="852">
        <f t="shared" si="16"/>
        <v>15</v>
      </c>
      <c r="C238" s="867">
        <f>+C236+3000</f>
        <v>23000</v>
      </c>
      <c r="D238" s="862">
        <f t="shared" ref="D238:E242" si="17">D$211+(D$218*$C238)+D$215*($C238-$J$214)+D$214*$J$214</f>
        <v>17848.12</v>
      </c>
      <c r="E238" s="862">
        <f t="shared" si="17"/>
        <v>17826.884803066045</v>
      </c>
      <c r="F238" s="862">
        <f>E238-D238</f>
        <v>-21.235196933954285</v>
      </c>
      <c r="G238" s="863">
        <f>F238/D238</f>
        <v>-1.1897721963968354E-3</v>
      </c>
    </row>
    <row r="239" spans="2:7">
      <c r="B239" s="852">
        <f t="shared" si="16"/>
        <v>16</v>
      </c>
      <c r="C239" s="867">
        <f>+C238+3000</f>
        <v>26000</v>
      </c>
      <c r="D239" s="862">
        <f t="shared" si="17"/>
        <v>20063.439999999999</v>
      </c>
      <c r="E239" s="862">
        <f t="shared" si="17"/>
        <v>20039.886883408137</v>
      </c>
      <c r="F239" s="862">
        <f>E239-D239</f>
        <v>-23.553116591861908</v>
      </c>
      <c r="G239" s="863">
        <f>F239/D239</f>
        <v>-1.1739321169182309E-3</v>
      </c>
    </row>
    <row r="240" spans="2:7">
      <c r="B240" s="852">
        <f t="shared" si="16"/>
        <v>17</v>
      </c>
      <c r="C240" s="867">
        <f>+C239+3000</f>
        <v>29000</v>
      </c>
      <c r="D240" s="862">
        <f t="shared" si="17"/>
        <v>22278.760000000002</v>
      </c>
      <c r="E240" s="862">
        <f t="shared" si="17"/>
        <v>22252.888963750229</v>
      </c>
      <c r="F240" s="862">
        <f>E240-D240</f>
        <v>-25.871036249773169</v>
      </c>
      <c r="G240" s="863">
        <f>F240/D240</f>
        <v>-1.1612421988375101E-3</v>
      </c>
    </row>
    <row r="241" spans="2:7">
      <c r="B241" s="852">
        <f t="shared" si="16"/>
        <v>18</v>
      </c>
      <c r="C241" s="867">
        <f>+C240+3000</f>
        <v>32000</v>
      </c>
      <c r="D241" s="862">
        <f t="shared" si="17"/>
        <v>24494.080000000002</v>
      </c>
      <c r="E241" s="862">
        <f t="shared" si="17"/>
        <v>24465.891044092317</v>
      </c>
      <c r="F241" s="862">
        <f>E241-D241</f>
        <v>-28.188955907684431</v>
      </c>
      <c r="G241" s="863">
        <f>F241/D241</f>
        <v>-1.1508477112708226E-3</v>
      </c>
    </row>
    <row r="242" spans="2:7">
      <c r="B242" s="852">
        <f t="shared" si="16"/>
        <v>19</v>
      </c>
      <c r="C242" s="867">
        <f>+C241+3000</f>
        <v>35000</v>
      </c>
      <c r="D242" s="862">
        <f t="shared" si="17"/>
        <v>26709.4</v>
      </c>
      <c r="E242" s="862">
        <f t="shared" si="17"/>
        <v>26678.893124434409</v>
      </c>
      <c r="F242" s="862">
        <f>E242-D242</f>
        <v>-30.506875565592054</v>
      </c>
      <c r="G242" s="863">
        <f>F242/D242</f>
        <v>-1.1421774942751261E-3</v>
      </c>
    </row>
    <row r="243" spans="2:7">
      <c r="B243" s="852"/>
      <c r="C243" s="867"/>
      <c r="D243" s="862"/>
      <c r="E243" s="862"/>
      <c r="F243" s="862"/>
      <c r="G243" s="863"/>
    </row>
    <row r="244" spans="2:7">
      <c r="B244" s="852">
        <f t="shared" si="16"/>
        <v>20</v>
      </c>
      <c r="C244" s="867">
        <f>+C242+5000</f>
        <v>40000</v>
      </c>
      <c r="D244" s="862">
        <f t="shared" ref="D244:E248" si="18">D$211+(D$218*$C244)+D$215*($C244-$J$214)+D$214*$J$214</f>
        <v>30401.600000000002</v>
      </c>
      <c r="E244" s="862">
        <f t="shared" si="18"/>
        <v>30367.229925004562</v>
      </c>
      <c r="F244" s="862">
        <f>E244-D244</f>
        <v>-34.370074995440518</v>
      </c>
      <c r="G244" s="863">
        <f>F244/D244</f>
        <v>-1.130535070372629E-3</v>
      </c>
    </row>
    <row r="245" spans="2:7">
      <c r="B245" s="852">
        <f t="shared" si="16"/>
        <v>21</v>
      </c>
      <c r="C245" s="867">
        <f>+C244+5000</f>
        <v>45000</v>
      </c>
      <c r="D245" s="862">
        <f t="shared" si="18"/>
        <v>34093.799999999996</v>
      </c>
      <c r="E245" s="862">
        <f t="shared" si="18"/>
        <v>34055.56672557471</v>
      </c>
      <c r="F245" s="862">
        <f>E245-D245</f>
        <v>-38.233274425285344</v>
      </c>
      <c r="G245" s="863">
        <f>F245/D245</f>
        <v>-1.1214142872101481E-3</v>
      </c>
    </row>
    <row r="246" spans="2:7">
      <c r="B246" s="852">
        <f t="shared" si="16"/>
        <v>22</v>
      </c>
      <c r="C246" s="867">
        <f>+C245+5000</f>
        <v>50000</v>
      </c>
      <c r="D246" s="862">
        <f t="shared" si="18"/>
        <v>37786</v>
      </c>
      <c r="E246" s="862">
        <f t="shared" si="18"/>
        <v>37743.903526144866</v>
      </c>
      <c r="F246" s="862">
        <f>E246-D246</f>
        <v>-42.096473855133809</v>
      </c>
      <c r="G246" s="863">
        <f>F246/D246</f>
        <v>-1.1140759502231993E-3</v>
      </c>
    </row>
    <row r="247" spans="2:7">
      <c r="B247" s="852">
        <f t="shared" si="16"/>
        <v>23</v>
      </c>
      <c r="C247" s="867">
        <f>+C246+5000</f>
        <v>55000</v>
      </c>
      <c r="D247" s="862">
        <f t="shared" si="18"/>
        <v>41478.199999999997</v>
      </c>
      <c r="E247" s="862">
        <f t="shared" si="18"/>
        <v>41432.240326715015</v>
      </c>
      <c r="F247" s="862">
        <f>E247-D247</f>
        <v>-45.959673284982273</v>
      </c>
      <c r="G247" s="863">
        <f>F247/D247</f>
        <v>-1.1080440637487227E-3</v>
      </c>
    </row>
    <row r="248" spans="2:7">
      <c r="B248" s="852">
        <f t="shared" si="16"/>
        <v>24</v>
      </c>
      <c r="C248" s="867">
        <f>+C247+5000</f>
        <v>60000</v>
      </c>
      <c r="D248" s="862">
        <f t="shared" si="18"/>
        <v>45170.399999999994</v>
      </c>
      <c r="E248" s="862">
        <f t="shared" si="18"/>
        <v>45120.577127285163</v>
      </c>
      <c r="F248" s="862">
        <f>E248-D248</f>
        <v>-49.822872714830737</v>
      </c>
      <c r="G248" s="863">
        <f>F248/D248</f>
        <v>-1.102998262464595E-3</v>
      </c>
    </row>
    <row r="249" spans="2:7">
      <c r="B249" s="852"/>
      <c r="C249" s="867"/>
      <c r="D249" s="862"/>
      <c r="E249" s="862"/>
      <c r="F249" s="862"/>
      <c r="G249" s="863"/>
    </row>
    <row r="250" spans="2:7">
      <c r="B250" s="852">
        <f t="shared" si="16"/>
        <v>25</v>
      </c>
      <c r="C250" s="867">
        <f>+C248+7500</f>
        <v>67500</v>
      </c>
      <c r="D250" s="862">
        <f t="shared" ref="D250:E254" si="19">D$211+(D$218*$C250)+D$215*($C250-$J$214)+D$214*$J$214</f>
        <v>50708.7</v>
      </c>
      <c r="E250" s="862">
        <f t="shared" si="19"/>
        <v>50653.082328140394</v>
      </c>
      <c r="F250" s="862">
        <f>E250-D250</f>
        <v>-55.617671859603433</v>
      </c>
      <c r="G250" s="863">
        <f>F250/D250</f>
        <v>-1.0968072906543341E-3</v>
      </c>
    </row>
    <row r="251" spans="2:7">
      <c r="B251" s="852">
        <f t="shared" si="16"/>
        <v>26</v>
      </c>
      <c r="C251" s="867">
        <f>+C250+7500</f>
        <v>75000</v>
      </c>
      <c r="D251" s="862">
        <f t="shared" si="19"/>
        <v>56247</v>
      </c>
      <c r="E251" s="862">
        <f t="shared" si="19"/>
        <v>56185.587528995624</v>
      </c>
      <c r="F251" s="862">
        <f>E251-D251</f>
        <v>-61.41247100437613</v>
      </c>
      <c r="G251" s="863">
        <f>F251/D251</f>
        <v>-1.0918354935263415E-3</v>
      </c>
    </row>
    <row r="252" spans="2:7">
      <c r="B252" s="852">
        <f t="shared" si="16"/>
        <v>27</v>
      </c>
      <c r="C252" s="867">
        <f>+C251+7500</f>
        <v>82500</v>
      </c>
      <c r="D252" s="862">
        <f t="shared" si="19"/>
        <v>61785.299999999996</v>
      </c>
      <c r="E252" s="862">
        <f t="shared" si="19"/>
        <v>61718.092729850847</v>
      </c>
      <c r="F252" s="862">
        <f>E252-D252</f>
        <v>-67.207270149148826</v>
      </c>
      <c r="G252" s="863">
        <f>F252/D252</f>
        <v>-1.0877550185747877E-3</v>
      </c>
    </row>
    <row r="253" spans="2:7">
      <c r="B253" s="852">
        <f t="shared" si="16"/>
        <v>28</v>
      </c>
      <c r="C253" s="867">
        <f>+C252+7500</f>
        <v>90000</v>
      </c>
      <c r="D253" s="862">
        <f t="shared" si="19"/>
        <v>67323.599999999991</v>
      </c>
      <c r="E253" s="862">
        <f t="shared" si="19"/>
        <v>67250.597930706077</v>
      </c>
      <c r="F253" s="862">
        <f>E253-D253</f>
        <v>-73.002069293914246</v>
      </c>
      <c r="G253" s="863">
        <f>F253/D253</f>
        <v>-1.0843458949597801E-3</v>
      </c>
    </row>
    <row r="254" spans="2:7">
      <c r="B254" s="852">
        <f t="shared" si="16"/>
        <v>29</v>
      </c>
      <c r="C254" s="867">
        <f>+C253+10000</f>
        <v>100000</v>
      </c>
      <c r="D254" s="862">
        <f t="shared" si="19"/>
        <v>74708</v>
      </c>
      <c r="E254" s="862">
        <f t="shared" si="19"/>
        <v>74627.271531846389</v>
      </c>
      <c r="F254" s="862">
        <f>E254-D254</f>
        <v>-80.728468153611175</v>
      </c>
      <c r="G254" s="863">
        <f>F254/D254</f>
        <v>-1.0805866594422442E-3</v>
      </c>
    </row>
    <row r="255" spans="2:7">
      <c r="B255" s="852"/>
      <c r="C255" s="867"/>
      <c r="D255" s="862"/>
      <c r="E255" s="862"/>
      <c r="F255" s="862"/>
      <c r="G255" s="863"/>
    </row>
    <row r="256" spans="2:7">
      <c r="B256" s="852">
        <f t="shared" si="16"/>
        <v>30</v>
      </c>
      <c r="C256" s="867">
        <f>+C254+10000</f>
        <v>110000</v>
      </c>
      <c r="D256" s="862">
        <f t="shared" ref="D256:E260" si="20">D$211+(D$218*$C256)+D$216*($C256-$J$214-$J$215)+D$214*$J$214+D$215*$J$215</f>
        <v>82036.600000000006</v>
      </c>
      <c r="E256" s="862">
        <f t="shared" si="20"/>
        <v>81948.40672697757</v>
      </c>
      <c r="F256" s="862">
        <f>E256-D256</f>
        <v>-88.193273022436188</v>
      </c>
      <c r="G256" s="863">
        <f>F256/D256</f>
        <v>-1.0750478813412085E-3</v>
      </c>
    </row>
    <row r="257" spans="2:7">
      <c r="B257" s="852">
        <f t="shared" si="16"/>
        <v>31</v>
      </c>
      <c r="C257" s="867">
        <f>+C256+10000</f>
        <v>120000</v>
      </c>
      <c r="D257" s="862">
        <f t="shared" si="20"/>
        <v>89365.2</v>
      </c>
      <c r="E257" s="862">
        <f t="shared" si="20"/>
        <v>89269.54192210875</v>
      </c>
      <c r="F257" s="862">
        <f>E257-D257</f>
        <v>-95.658077891246649</v>
      </c>
      <c r="G257" s="863">
        <f>F257/D257</f>
        <v>-1.0704175438677097E-3</v>
      </c>
    </row>
    <row r="258" spans="2:7">
      <c r="B258" s="852">
        <f t="shared" si="16"/>
        <v>32</v>
      </c>
      <c r="C258" s="867">
        <f>+C257+10000</f>
        <v>130000</v>
      </c>
      <c r="D258" s="862">
        <f t="shared" si="20"/>
        <v>96693.799999999988</v>
      </c>
      <c r="E258" s="862">
        <f t="shared" si="20"/>
        <v>96590.677117239931</v>
      </c>
      <c r="F258" s="862">
        <f>E258-D258</f>
        <v>-103.12288276005711</v>
      </c>
      <c r="G258" s="863">
        <f>F258/D258</f>
        <v>-1.066489089890532E-3</v>
      </c>
    </row>
    <row r="259" spans="2:7">
      <c r="B259" s="852">
        <f t="shared" si="16"/>
        <v>33</v>
      </c>
      <c r="C259" s="867">
        <f>+C258+10000</f>
        <v>140000</v>
      </c>
      <c r="D259" s="862">
        <f t="shared" si="20"/>
        <v>104022.39999999999</v>
      </c>
      <c r="E259" s="862">
        <f t="shared" si="20"/>
        <v>103911.81231237113</v>
      </c>
      <c r="F259" s="862">
        <f>E259-D259</f>
        <v>-110.58768762886757</v>
      </c>
      <c r="G259" s="863">
        <f>F259/D259</f>
        <v>-1.0631141718405611E-3</v>
      </c>
    </row>
    <row r="260" spans="2:7">
      <c r="B260" s="852">
        <f t="shared" si="16"/>
        <v>34</v>
      </c>
      <c r="C260" s="867">
        <f>+C259+10000</f>
        <v>150000</v>
      </c>
      <c r="D260" s="862">
        <f t="shared" si="20"/>
        <v>111351</v>
      </c>
      <c r="E260" s="862">
        <f t="shared" si="20"/>
        <v>111232.94750750231</v>
      </c>
      <c r="F260" s="862">
        <f>E260-D260</f>
        <v>-118.05249249769258</v>
      </c>
      <c r="G260" s="863">
        <f>F260/D260</f>
        <v>-1.0601834963106984E-3</v>
      </c>
    </row>
    <row r="261" spans="2:7">
      <c r="B261" s="852"/>
      <c r="C261" s="867"/>
      <c r="D261" s="862"/>
      <c r="E261" s="862"/>
      <c r="F261" s="862"/>
      <c r="G261" s="863"/>
    </row>
    <row r="262" spans="2:7">
      <c r="B262" s="852">
        <f t="shared" si="16"/>
        <v>35</v>
      </c>
      <c r="C262" s="867">
        <f>+C260+15000</f>
        <v>165000</v>
      </c>
      <c r="D262" s="862">
        <f t="shared" ref="D262:E266" si="21">D$211+(D$218*$C262)+D$216*($C262-$J$214-$J$215)+D$214*$J$214+D$215*$J$215</f>
        <v>122343.9</v>
      </c>
      <c r="E262" s="862">
        <f t="shared" si="21"/>
        <v>122214.65030019908</v>
      </c>
      <c r="F262" s="862">
        <f>E262-D262</f>
        <v>-129.24969980091555</v>
      </c>
      <c r="G262" s="863">
        <f>F262/D262</f>
        <v>-1.0564458040075195E-3</v>
      </c>
    </row>
    <row r="263" spans="2:7">
      <c r="B263" s="852">
        <f t="shared" si="16"/>
        <v>36</v>
      </c>
      <c r="C263" s="867">
        <f>+C262+15000</f>
        <v>180000</v>
      </c>
      <c r="D263" s="862">
        <f t="shared" si="21"/>
        <v>133336.79999999999</v>
      </c>
      <c r="E263" s="862">
        <f t="shared" si="21"/>
        <v>133196.35309289588</v>
      </c>
      <c r="F263" s="862">
        <f>E263-D263</f>
        <v>-140.44690710410941</v>
      </c>
      <c r="G263" s="863">
        <f>F263/D263</f>
        <v>-1.0533244168459827E-3</v>
      </c>
    </row>
    <row r="264" spans="2:7">
      <c r="B264" s="852">
        <f t="shared" si="16"/>
        <v>37</v>
      </c>
      <c r="C264" s="867">
        <f>+C263+15000</f>
        <v>195000</v>
      </c>
      <c r="D264" s="862">
        <f t="shared" si="21"/>
        <v>144329.69999999998</v>
      </c>
      <c r="E264" s="862">
        <f t="shared" si="21"/>
        <v>144178.05588559265</v>
      </c>
      <c r="F264" s="862">
        <f>E264-D264</f>
        <v>-151.64411440733238</v>
      </c>
      <c r="G264" s="863">
        <f>F264/D264</f>
        <v>-1.0506785118193443E-3</v>
      </c>
    </row>
    <row r="265" spans="2:7">
      <c r="B265" s="852">
        <f t="shared" si="16"/>
        <v>38</v>
      </c>
      <c r="C265" s="867">
        <f>+C264+15000</f>
        <v>210000</v>
      </c>
      <c r="D265" s="862">
        <f t="shared" si="21"/>
        <v>155322.59999999998</v>
      </c>
      <c r="E265" s="862">
        <f t="shared" si="21"/>
        <v>155159.75867828942</v>
      </c>
      <c r="F265" s="862">
        <f>E265-D265</f>
        <v>-162.84132171055535</v>
      </c>
      <c r="G265" s="863">
        <f>F265/D265</f>
        <v>-1.0484071327067366E-3</v>
      </c>
    </row>
    <row r="266" spans="2:7">
      <c r="B266" s="852">
        <f t="shared" si="16"/>
        <v>39</v>
      </c>
      <c r="C266" s="867">
        <f>+C265+15000</f>
        <v>225000</v>
      </c>
      <c r="D266" s="862">
        <f t="shared" si="21"/>
        <v>166315.5</v>
      </c>
      <c r="E266" s="862">
        <f t="shared" si="21"/>
        <v>166141.46147098619</v>
      </c>
      <c r="F266" s="862">
        <f>E266-D266</f>
        <v>-174.03852901380742</v>
      </c>
      <c r="G266" s="863">
        <f>F266/D266</f>
        <v>-1.0464360147659565E-3</v>
      </c>
    </row>
    <row r="267" spans="2:7">
      <c r="B267" s="852"/>
      <c r="C267" s="867"/>
      <c r="D267" s="862"/>
      <c r="E267" s="862"/>
      <c r="F267" s="862"/>
      <c r="G267" s="863"/>
    </row>
    <row r="268" spans="2:7">
      <c r="B268" s="852">
        <f t="shared" si="16"/>
        <v>40</v>
      </c>
      <c r="C268" s="867">
        <f>+C266+25000</f>
        <v>250000</v>
      </c>
      <c r="D268" s="862">
        <f t="shared" ref="D268:E273" si="22">D$211+(D$218*$C268)+D$216*($C268-$J$214-$J$215)+D$214*$J$214+D$215*$J$215</f>
        <v>184637</v>
      </c>
      <c r="E268" s="862">
        <f t="shared" si="22"/>
        <v>184444.29945881414</v>
      </c>
      <c r="F268" s="862">
        <f t="shared" ref="F268:F273" si="23">E268-D268</f>
        <v>-192.7005411858554</v>
      </c>
      <c r="G268" s="863">
        <f t="shared" ref="G268:G273" si="24">F268/D268</f>
        <v>-1.0436724014463807E-3</v>
      </c>
    </row>
    <row r="269" spans="2:7">
      <c r="B269" s="852">
        <f t="shared" si="16"/>
        <v>41</v>
      </c>
      <c r="C269" s="867">
        <f>+C268+25000</f>
        <v>275000</v>
      </c>
      <c r="D269" s="862">
        <f t="shared" si="22"/>
        <v>202958.5</v>
      </c>
      <c r="E269" s="862">
        <f t="shared" si="22"/>
        <v>202747.1374466421</v>
      </c>
      <c r="F269" s="862">
        <f t="shared" si="23"/>
        <v>-211.36255335790338</v>
      </c>
      <c r="G269" s="863">
        <f t="shared" si="24"/>
        <v>-1.0414077427548163E-3</v>
      </c>
    </row>
    <row r="270" spans="2:7">
      <c r="B270" s="852">
        <f t="shared" si="16"/>
        <v>42</v>
      </c>
      <c r="C270" s="867">
        <f>+C269+25000</f>
        <v>300000</v>
      </c>
      <c r="D270" s="862">
        <f t="shared" si="22"/>
        <v>221280</v>
      </c>
      <c r="E270" s="862">
        <f t="shared" si="22"/>
        <v>221049.97543447005</v>
      </c>
      <c r="F270" s="862">
        <f t="shared" si="23"/>
        <v>-230.02456552995136</v>
      </c>
      <c r="G270" s="863">
        <f t="shared" si="24"/>
        <v>-1.0395181016357165E-3</v>
      </c>
    </row>
    <row r="271" spans="2:7">
      <c r="B271" s="852">
        <f t="shared" si="16"/>
        <v>43</v>
      </c>
      <c r="C271" s="867">
        <f>+C270+25000</f>
        <v>325000</v>
      </c>
      <c r="D271" s="862">
        <f t="shared" si="22"/>
        <v>239601.5</v>
      </c>
      <c r="E271" s="862">
        <f t="shared" si="22"/>
        <v>239352.81342229806</v>
      </c>
      <c r="F271" s="862">
        <f t="shared" si="23"/>
        <v>-248.68657770194113</v>
      </c>
      <c r="G271" s="863">
        <f t="shared" si="24"/>
        <v>-1.0379174491893463E-3</v>
      </c>
    </row>
    <row r="272" spans="2:7">
      <c r="B272" s="852">
        <f t="shared" si="16"/>
        <v>44</v>
      </c>
      <c r="C272" s="867">
        <f>+C271+25000</f>
        <v>350000</v>
      </c>
      <c r="D272" s="862">
        <f t="shared" si="22"/>
        <v>257923</v>
      </c>
      <c r="E272" s="862">
        <f t="shared" si="22"/>
        <v>257655.65141012601</v>
      </c>
      <c r="F272" s="862">
        <f t="shared" si="23"/>
        <v>-267.34858987398911</v>
      </c>
      <c r="G272" s="863">
        <f t="shared" si="24"/>
        <v>-1.03654420068776E-3</v>
      </c>
    </row>
    <row r="273" spans="1:10">
      <c r="B273" s="852">
        <f t="shared" si="16"/>
        <v>45</v>
      </c>
      <c r="C273" s="867">
        <f>+C272+25000</f>
        <v>375000</v>
      </c>
      <c r="D273" s="862">
        <f t="shared" si="22"/>
        <v>276244.5</v>
      </c>
      <c r="E273" s="862">
        <f t="shared" si="22"/>
        <v>275958.4893979539</v>
      </c>
      <c r="F273" s="862">
        <f t="shared" si="23"/>
        <v>-286.0106020460953</v>
      </c>
      <c r="G273" s="863">
        <f t="shared" si="24"/>
        <v>-1.0353531094595379E-3</v>
      </c>
    </row>
    <row r="274" spans="1:10">
      <c r="B274" s="852"/>
      <c r="C274" s="867"/>
    </row>
    <row r="275" spans="1:10">
      <c r="A275" s="849" t="str">
        <f>$A$1</f>
        <v>Cascade Natural Gas Corporation</v>
      </c>
      <c r="H275" s="847" t="str">
        <f>$H$1</f>
        <v>CNGC/508</v>
      </c>
    </row>
    <row r="276" spans="1:10">
      <c r="A276" s="849" t="str">
        <f>$A$2</f>
        <v>Washington Jurisdiction</v>
      </c>
      <c r="H276" s="847" t="s">
        <v>2544</v>
      </c>
    </row>
    <row r="277" spans="1:10">
      <c r="A277" s="849" t="str">
        <f>$A$3</f>
        <v>Test Year Ended December 31, 2019</v>
      </c>
      <c r="H277" s="850" t="str">
        <f>$H$3</f>
        <v>Impact of Recommended Rate Changes</v>
      </c>
    </row>
    <row r="278" spans="1:10">
      <c r="A278" s="849"/>
    </row>
    <row r="279" spans="1:10">
      <c r="B279" s="851" t="str">
        <f>'Exh 18, Class Rates'!C48</f>
        <v>Interruptible Service - 570</v>
      </c>
    </row>
    <row r="281" spans="1:10">
      <c r="B281" s="852" t="s">
        <v>2502</v>
      </c>
    </row>
    <row r="282" spans="1:10" ht="16.2">
      <c r="B282" s="853" t="s">
        <v>2503</v>
      </c>
      <c r="C282" s="853" t="s">
        <v>97</v>
      </c>
      <c r="D282" s="853" t="s">
        <v>98</v>
      </c>
      <c r="E282" s="853" t="s">
        <v>1098</v>
      </c>
      <c r="F282" s="853" t="s">
        <v>2505</v>
      </c>
      <c r="G282" s="853" t="s">
        <v>1100</v>
      </c>
    </row>
    <row r="283" spans="1:10">
      <c r="B283" s="852"/>
      <c r="C283" s="854"/>
      <c r="D283" s="855" t="s">
        <v>2506</v>
      </c>
      <c r="E283" s="856" t="s">
        <v>2314</v>
      </c>
    </row>
    <row r="284" spans="1:10" ht="16.2">
      <c r="B284" s="852"/>
      <c r="C284" s="857"/>
      <c r="D284" s="853" t="s">
        <v>2324</v>
      </c>
      <c r="E284" s="858" t="s">
        <v>2324</v>
      </c>
    </row>
    <row r="285" spans="1:10">
      <c r="B285" s="852">
        <f>MAX(B275:B284)+1</f>
        <v>1</v>
      </c>
      <c r="C285" s="857" t="s">
        <v>2462</v>
      </c>
      <c r="D285" s="859">
        <f>'Exh 18, Class Rates'!$E$49</f>
        <v>163</v>
      </c>
      <c r="E285" s="872">
        <f>'Exh 18, Class Rates'!$H$49</f>
        <v>163</v>
      </c>
    </row>
    <row r="286" spans="1:10">
      <c r="B286" s="852"/>
      <c r="C286" s="857"/>
      <c r="D286" s="859"/>
      <c r="E286" s="872"/>
    </row>
    <row r="287" spans="1:10">
      <c r="B287" s="852">
        <f>MAX(B277:B286)+1</f>
        <v>2</v>
      </c>
      <c r="C287" s="857" t="s">
        <v>2463</v>
      </c>
      <c r="D287" s="838" t="s">
        <v>49</v>
      </c>
      <c r="E287" s="1241" t="s">
        <v>49</v>
      </c>
    </row>
    <row r="288" spans="1:10">
      <c r="B288" s="852"/>
      <c r="C288" s="868" t="s">
        <v>2545</v>
      </c>
      <c r="D288" s="838">
        <f>'Exh 18, Class Rates'!E50</f>
        <v>8.9639999999999997E-2</v>
      </c>
      <c r="E288" s="1241">
        <f>'Exh 18, Class Rates'!H50</f>
        <v>8.921976191142332E-2</v>
      </c>
      <c r="J288" s="848">
        <v>30000</v>
      </c>
    </row>
    <row r="289" spans="2:10">
      <c r="B289" s="852"/>
      <c r="C289" s="868" t="s">
        <v>2546</v>
      </c>
      <c r="D289" s="838">
        <f>'Exh 18, Class Rates'!E51</f>
        <v>2.8170000000000001E-2</v>
      </c>
      <c r="E289" s="1241">
        <f>'Exh 18, Class Rates'!H51</f>
        <v>2.8037937227184236E-2</v>
      </c>
      <c r="J289" s="848">
        <v>30000</v>
      </c>
    </row>
    <row r="291" spans="2:10">
      <c r="B291" s="852">
        <f>MAX(B280:B289)+1</f>
        <v>3</v>
      </c>
      <c r="C291" s="860" t="s">
        <v>2507</v>
      </c>
      <c r="D291" s="869">
        <f>$D$15</f>
        <v>0.57362999999999997</v>
      </c>
      <c r="E291" s="866">
        <f>D291</f>
        <v>0.57362999999999997</v>
      </c>
    </row>
    <row r="292" spans="2:10">
      <c r="B292" s="852"/>
    </row>
    <row r="293" spans="2:10">
      <c r="B293" s="852"/>
      <c r="C293" s="852"/>
      <c r="D293" s="852"/>
      <c r="E293" s="852"/>
    </row>
    <row r="294" spans="2:10" ht="16.2">
      <c r="B294" s="852"/>
      <c r="C294" s="852" t="s">
        <v>2531</v>
      </c>
      <c r="D294" s="852" t="s">
        <v>2508</v>
      </c>
      <c r="E294" s="852" t="s">
        <v>2508</v>
      </c>
      <c r="F294" s="861" t="s">
        <v>2532</v>
      </c>
      <c r="G294" s="861"/>
    </row>
    <row r="295" spans="2:10" ht="16.2">
      <c r="B295" s="852"/>
      <c r="C295" s="853" t="s">
        <v>2533</v>
      </c>
      <c r="D295" s="853" t="s">
        <v>2534</v>
      </c>
      <c r="E295" s="853" t="s">
        <v>2477</v>
      </c>
      <c r="F295" s="853" t="s">
        <v>729</v>
      </c>
      <c r="G295" s="853" t="s">
        <v>2513</v>
      </c>
    </row>
    <row r="296" spans="2:10">
      <c r="B296" s="852"/>
    </row>
    <row r="297" spans="2:10">
      <c r="B297" s="852">
        <f>MAX(B286:B296)+1</f>
        <v>4</v>
      </c>
      <c r="C297" s="867">
        <v>0</v>
      </c>
      <c r="D297" s="862">
        <f>D$285+(D$288+D$291)*$C297</f>
        <v>163</v>
      </c>
      <c r="E297" s="862">
        <f>E$285+(E$288+E$291)*$C297</f>
        <v>163</v>
      </c>
      <c r="F297" s="862">
        <f>E297-D297</f>
        <v>0</v>
      </c>
      <c r="G297" s="863">
        <f>F297/D297</f>
        <v>0</v>
      </c>
    </row>
    <row r="298" spans="2:10">
      <c r="B298" s="852"/>
      <c r="C298" s="867"/>
      <c r="D298" s="862"/>
      <c r="E298" s="862"/>
      <c r="F298" s="862"/>
      <c r="G298" s="863"/>
    </row>
    <row r="299" spans="2:10">
      <c r="B299" s="852">
        <f>MAX(B289:B298)+1</f>
        <v>5</v>
      </c>
      <c r="C299" s="867">
        <v>500</v>
      </c>
      <c r="D299" s="862">
        <f>D$285+(D$288+D$291)*$C299</f>
        <v>494.63499999999999</v>
      </c>
      <c r="E299" s="862">
        <f>E$285+(E$288+E$291)*$C299</f>
        <v>494.42488095571167</v>
      </c>
      <c r="F299" s="862">
        <f>E299-D299</f>
        <v>-0.2101190442883194</v>
      </c>
      <c r="G299" s="863">
        <f>F299/D299</f>
        <v>-4.2479615127987184E-4</v>
      </c>
    </row>
    <row r="300" spans="2:10">
      <c r="B300" s="852">
        <f>MAX(B291:B299)+1</f>
        <v>6</v>
      </c>
      <c r="C300" s="867">
        <f>+C299+500</f>
        <v>1000</v>
      </c>
      <c r="D300" s="862">
        <f t="shared" ref="D300:E303" si="25">D$285+(D$288+D$291)*$C300</f>
        <v>826.27</v>
      </c>
      <c r="E300" s="862">
        <f t="shared" si="25"/>
        <v>825.84976191142334</v>
      </c>
      <c r="F300" s="862">
        <f>E300-D300</f>
        <v>-0.4202380885766388</v>
      </c>
      <c r="G300" s="863">
        <f>F300/D300</f>
        <v>-5.0859657082629026E-4</v>
      </c>
    </row>
    <row r="301" spans="2:10">
      <c r="B301" s="852">
        <f>MAX(B291:B300)+1</f>
        <v>7</v>
      </c>
      <c r="C301" s="867">
        <f>+C300+500</f>
        <v>1500</v>
      </c>
      <c r="D301" s="862">
        <f t="shared" si="25"/>
        <v>1157.9050000000002</v>
      </c>
      <c r="E301" s="862">
        <f t="shared" si="25"/>
        <v>1157.2746428671348</v>
      </c>
      <c r="F301" s="862">
        <f>E301-D301</f>
        <v>-0.63035713286535611</v>
      </c>
      <c r="G301" s="863">
        <f>F301/D301</f>
        <v>-5.4439451670504574E-4</v>
      </c>
    </row>
    <row r="302" spans="2:10">
      <c r="B302" s="852">
        <f>MAX(B293:B301)+1</f>
        <v>8</v>
      </c>
      <c r="C302" s="867">
        <f>+C301+500</f>
        <v>2000</v>
      </c>
      <c r="D302" s="862">
        <f t="shared" si="25"/>
        <v>1489.54</v>
      </c>
      <c r="E302" s="862">
        <f t="shared" si="25"/>
        <v>1488.6995238228467</v>
      </c>
      <c r="F302" s="862">
        <f>E302-D302</f>
        <v>-0.8404761771532776</v>
      </c>
      <c r="G302" s="863">
        <f>F302/D302</f>
        <v>-5.642521699002898E-4</v>
      </c>
    </row>
    <row r="303" spans="2:10">
      <c r="B303" s="852">
        <f>MAX(B294:B302)+1</f>
        <v>9</v>
      </c>
      <c r="C303" s="867">
        <f>+C302+500</f>
        <v>2500</v>
      </c>
      <c r="D303" s="862">
        <f t="shared" si="25"/>
        <v>1821.175</v>
      </c>
      <c r="E303" s="862">
        <f t="shared" si="25"/>
        <v>1820.1244047785583</v>
      </c>
      <c r="F303" s="862">
        <f>E303-D303</f>
        <v>-1.0505952214416538</v>
      </c>
      <c r="G303" s="863">
        <f>F303/D303</f>
        <v>-5.7687768690084908E-4</v>
      </c>
    </row>
    <row r="304" spans="2:10">
      <c r="B304" s="852"/>
      <c r="C304" s="867"/>
      <c r="D304" s="862"/>
      <c r="E304" s="862"/>
      <c r="F304" s="862"/>
      <c r="G304" s="863"/>
    </row>
    <row r="305" spans="2:7">
      <c r="B305" s="852">
        <f>MAX(B296:B304)+1</f>
        <v>10</v>
      </c>
      <c r="C305" s="867">
        <f>+C303+500</f>
        <v>3000</v>
      </c>
      <c r="D305" s="862">
        <f>D$285+(D$288+D$291)*$C305</f>
        <v>2152.8100000000004</v>
      </c>
      <c r="E305" s="862">
        <f>E$285+(E$288+E$291)*$C305</f>
        <v>2151.5492857342697</v>
      </c>
      <c r="F305" s="862">
        <f>E305-D305</f>
        <v>-1.2607142657307122</v>
      </c>
      <c r="G305" s="863">
        <f>F305/D305</f>
        <v>-5.8561334522355061E-4</v>
      </c>
    </row>
    <row r="306" spans="2:7">
      <c r="B306" s="852">
        <f>MAX(B297:B305)+1</f>
        <v>11</v>
      </c>
      <c r="C306" s="867">
        <f>+C305+500</f>
        <v>3500</v>
      </c>
      <c r="D306" s="862">
        <f t="shared" ref="D306:E309" si="26">D$285+(D$288+D$291)*$C306</f>
        <v>2484.4450000000002</v>
      </c>
      <c r="E306" s="862">
        <f t="shared" si="26"/>
        <v>2482.9741666899818</v>
      </c>
      <c r="F306" s="862">
        <f>E306-D306</f>
        <v>-1.4708333100184063</v>
      </c>
      <c r="G306" s="863">
        <f>F306/D306</f>
        <v>-5.9201685286589412E-4</v>
      </c>
    </row>
    <row r="307" spans="2:7">
      <c r="B307" s="852">
        <f>MAX(B298:B306)+1</f>
        <v>12</v>
      </c>
      <c r="C307" s="867">
        <f>+C306+500</f>
        <v>4000</v>
      </c>
      <c r="D307" s="862">
        <f t="shared" si="26"/>
        <v>2816.08</v>
      </c>
      <c r="E307" s="862">
        <f t="shared" si="26"/>
        <v>2814.3990476456934</v>
      </c>
      <c r="F307" s="862">
        <f>E307-D307</f>
        <v>-1.6809523543065552</v>
      </c>
      <c r="G307" s="863">
        <f>F307/D307</f>
        <v>-5.9691214536041425E-4</v>
      </c>
    </row>
    <row r="308" spans="2:7">
      <c r="B308" s="852">
        <f>MAX(B299:B307)+1</f>
        <v>13</v>
      </c>
      <c r="C308" s="867">
        <f>+C307+500</f>
        <v>4500</v>
      </c>
      <c r="D308" s="862">
        <f t="shared" si="26"/>
        <v>3147.7150000000001</v>
      </c>
      <c r="E308" s="862">
        <f t="shared" si="26"/>
        <v>3145.823928601405</v>
      </c>
      <c r="F308" s="862">
        <f>E308-D308</f>
        <v>-1.8910713985951588</v>
      </c>
      <c r="G308" s="863">
        <f>F308/D308</f>
        <v>-6.0077592748872082E-4</v>
      </c>
    </row>
    <row r="309" spans="2:7">
      <c r="B309" s="852">
        <f>MAX(B300:B308)+1</f>
        <v>14</v>
      </c>
      <c r="C309" s="867">
        <f>+C308+500</f>
        <v>5000</v>
      </c>
      <c r="D309" s="862">
        <f t="shared" si="26"/>
        <v>3479.35</v>
      </c>
      <c r="E309" s="862">
        <f t="shared" si="26"/>
        <v>3477.2488095571166</v>
      </c>
      <c r="F309" s="862">
        <f>E309-D309</f>
        <v>-2.1011904428833077</v>
      </c>
      <c r="G309" s="863">
        <f>F309/D309</f>
        <v>-6.039031551534935E-4</v>
      </c>
    </row>
    <row r="310" spans="2:7">
      <c r="B310" s="852"/>
      <c r="C310" s="867"/>
      <c r="D310" s="862"/>
      <c r="E310" s="862"/>
      <c r="F310" s="862"/>
      <c r="G310" s="863"/>
    </row>
    <row r="311" spans="2:7">
      <c r="B311" s="852">
        <f>MAX(B302:B310)+1</f>
        <v>15</v>
      </c>
      <c r="C311" s="867">
        <f>+C309+1000</f>
        <v>6000</v>
      </c>
      <c r="D311" s="862">
        <f>D$285+(D$288+D$291)*$C311</f>
        <v>4142.6200000000008</v>
      </c>
      <c r="E311" s="862">
        <f>E$285+(E$288+E$291)*$C311</f>
        <v>4140.0985714685394</v>
      </c>
      <c r="F311" s="862">
        <f>E311-D311</f>
        <v>-2.5214285314614244</v>
      </c>
      <c r="G311" s="863">
        <f>F311/D311</f>
        <v>-6.0865552028943615E-4</v>
      </c>
    </row>
    <row r="312" spans="2:7">
      <c r="B312" s="852">
        <f>MAX(B303:B311)+1</f>
        <v>16</v>
      </c>
      <c r="C312" s="867">
        <f>+C311+1000</f>
        <v>7000</v>
      </c>
      <c r="D312" s="862">
        <f t="shared" ref="D312:E315" si="27">D$285+(D$288+D$291)*$C312</f>
        <v>4805.8900000000003</v>
      </c>
      <c r="E312" s="862">
        <f t="shared" si="27"/>
        <v>4802.9483333799635</v>
      </c>
      <c r="F312" s="862">
        <f>E312-D312</f>
        <v>-2.9416666200368127</v>
      </c>
      <c r="G312" s="863">
        <f>F312/D312</f>
        <v>-6.1209611956095805E-4</v>
      </c>
    </row>
    <row r="313" spans="2:7">
      <c r="B313" s="852">
        <f>MAX(B304:B312)+1</f>
        <v>17</v>
      </c>
      <c r="C313" s="867">
        <f>+C312+1000</f>
        <v>8000</v>
      </c>
      <c r="D313" s="862">
        <f t="shared" si="27"/>
        <v>5469.16</v>
      </c>
      <c r="E313" s="862">
        <f t="shared" si="27"/>
        <v>5465.7980952913867</v>
      </c>
      <c r="F313" s="862">
        <f>E313-D313</f>
        <v>-3.3619047086131104</v>
      </c>
      <c r="G313" s="863">
        <f>F313/D313</f>
        <v>-6.1470220447255343E-4</v>
      </c>
    </row>
    <row r="314" spans="2:7">
      <c r="B314" s="852">
        <f>MAX(B305:B313)+1</f>
        <v>18</v>
      </c>
      <c r="C314" s="867">
        <f>+C313+1000</f>
        <v>9000</v>
      </c>
      <c r="D314" s="862">
        <f t="shared" si="27"/>
        <v>6132.43</v>
      </c>
      <c r="E314" s="862">
        <f t="shared" si="27"/>
        <v>6128.64785720281</v>
      </c>
      <c r="F314" s="862">
        <f>E314-D314</f>
        <v>-3.7821427971903177</v>
      </c>
      <c r="G314" s="863">
        <f>F314/D314</f>
        <v>-6.1674455267982141E-4</v>
      </c>
    </row>
    <row r="315" spans="2:7">
      <c r="B315" s="852">
        <f>MAX(B306:B314)+1</f>
        <v>19</v>
      </c>
      <c r="C315" s="867">
        <f>+C314+1000</f>
        <v>10000</v>
      </c>
      <c r="D315" s="862">
        <f t="shared" si="27"/>
        <v>6795.7</v>
      </c>
      <c r="E315" s="862">
        <f t="shared" si="27"/>
        <v>6791.4976191142332</v>
      </c>
      <c r="F315" s="862">
        <f>E315-D315</f>
        <v>-4.2023808857666154</v>
      </c>
      <c r="G315" s="863">
        <f>F315/D315</f>
        <v>-6.1838822869853221E-4</v>
      </c>
    </row>
    <row r="316" spans="2:7">
      <c r="B316" s="852"/>
      <c r="C316" s="867"/>
      <c r="D316" s="862"/>
      <c r="E316" s="862"/>
      <c r="F316" s="862"/>
      <c r="G316" s="863"/>
    </row>
    <row r="317" spans="2:7">
      <c r="B317" s="852">
        <f>MAX(B308:B316)+1</f>
        <v>20</v>
      </c>
      <c r="C317" s="867">
        <f>+C315+1000</f>
        <v>11000</v>
      </c>
      <c r="D317" s="862">
        <f>D$285+(D$288+D$291)*$C317</f>
        <v>7458.97</v>
      </c>
      <c r="E317" s="862">
        <f>E$285+(E$288+E$291)*$C317</f>
        <v>7454.3473810256564</v>
      </c>
      <c r="F317" s="862">
        <f>E317-D317</f>
        <v>-4.6226189743438226</v>
      </c>
      <c r="G317" s="863">
        <f>F317/D317</f>
        <v>-6.1973958527032852E-4</v>
      </c>
    </row>
    <row r="318" spans="2:7">
      <c r="B318" s="852">
        <f>MAX(B309:B317)+1</f>
        <v>21</v>
      </c>
      <c r="C318" s="867">
        <f>+C317+1000</f>
        <v>12000</v>
      </c>
      <c r="D318" s="862">
        <f t="shared" ref="D318:E321" si="28">D$285+(D$288+D$291)*$C318</f>
        <v>8122.2400000000007</v>
      </c>
      <c r="E318" s="862">
        <f t="shared" si="28"/>
        <v>8117.1971429370797</v>
      </c>
      <c r="F318" s="862">
        <f>E318-D318</f>
        <v>-5.0428570629210299</v>
      </c>
      <c r="G318" s="863">
        <f>F318/D318</f>
        <v>-6.2087023566418005E-4</v>
      </c>
    </row>
    <row r="319" spans="2:7">
      <c r="B319" s="852">
        <f>MAX(B310:B318)+1</f>
        <v>22</v>
      </c>
      <c r="C319" s="867">
        <f>+C318+1000</f>
        <v>13000</v>
      </c>
      <c r="D319" s="862">
        <f t="shared" si="28"/>
        <v>8785.51</v>
      </c>
      <c r="E319" s="862">
        <f t="shared" si="28"/>
        <v>8780.0469048485029</v>
      </c>
      <c r="F319" s="862">
        <f>E319-D319</f>
        <v>-5.4630951514973276</v>
      </c>
      <c r="G319" s="863">
        <f>F319/D319</f>
        <v>-6.218301671157767E-4</v>
      </c>
    </row>
    <row r="320" spans="2:7">
      <c r="B320" s="852">
        <f>MAX(B311:B319)+1</f>
        <v>23</v>
      </c>
      <c r="C320" s="867">
        <f>+C319+1000</f>
        <v>14000</v>
      </c>
      <c r="D320" s="862">
        <f t="shared" si="28"/>
        <v>9448.7800000000007</v>
      </c>
      <c r="E320" s="862">
        <f t="shared" si="28"/>
        <v>9442.896666759927</v>
      </c>
      <c r="F320" s="862">
        <f>E320-D320</f>
        <v>-5.8833332400736253</v>
      </c>
      <c r="G320" s="863">
        <f>F320/D320</f>
        <v>-6.2265533117223867E-4</v>
      </c>
    </row>
    <row r="321" spans="2:7">
      <c r="B321" s="852">
        <f>MAX(B312:B320)+1</f>
        <v>24</v>
      </c>
      <c r="C321" s="867">
        <f>+C320+1000</f>
        <v>15000</v>
      </c>
      <c r="D321" s="862">
        <f t="shared" si="28"/>
        <v>10112.050000000001</v>
      </c>
      <c r="E321" s="862">
        <f t="shared" si="28"/>
        <v>10105.746428671349</v>
      </c>
      <c r="F321" s="862">
        <f>E321-D321</f>
        <v>-6.3035713286517421</v>
      </c>
      <c r="G321" s="863">
        <f>F321/D321</f>
        <v>-6.233722468393393E-4</v>
      </c>
    </row>
    <row r="322" spans="2:7">
      <c r="B322" s="852"/>
      <c r="C322" s="867"/>
      <c r="D322" s="862"/>
      <c r="E322" s="862"/>
      <c r="F322" s="862"/>
      <c r="G322" s="863"/>
    </row>
    <row r="323" spans="2:7">
      <c r="B323" s="852">
        <f>MAX(B314:B322)+1</f>
        <v>25</v>
      </c>
      <c r="C323" s="867">
        <f>+C321+2000</f>
        <v>17000</v>
      </c>
      <c r="D323" s="862">
        <f>D$285+(D$288+D$291)*$C323</f>
        <v>11438.59</v>
      </c>
      <c r="E323" s="862">
        <f>E$285+(E$288+E$291)*$C323</f>
        <v>11431.445952494196</v>
      </c>
      <c r="F323" s="862">
        <f>E323-D323</f>
        <v>-7.1440475058043376</v>
      </c>
      <c r="G323" s="863">
        <f>F323/D323</f>
        <v>-6.2455665478038265E-4</v>
      </c>
    </row>
    <row r="324" spans="2:7">
      <c r="B324" s="852">
        <f>MAX(B315:B323)+1</f>
        <v>26</v>
      </c>
      <c r="C324" s="867">
        <f>+C323+2000</f>
        <v>19000</v>
      </c>
      <c r="D324" s="862">
        <f t="shared" ref="D324:E327" si="29">D$285+(D$288+D$291)*$C324</f>
        <v>12765.130000000001</v>
      </c>
      <c r="E324" s="862">
        <f t="shared" si="29"/>
        <v>12757.145476317042</v>
      </c>
      <c r="F324" s="862">
        <f>E324-D324</f>
        <v>-7.984523682958752</v>
      </c>
      <c r="G324" s="863">
        <f>F324/D324</f>
        <v>-6.254948976593855E-4</v>
      </c>
    </row>
    <row r="325" spans="2:7">
      <c r="B325" s="852">
        <f>MAX(B316:B324)+1</f>
        <v>27</v>
      </c>
      <c r="C325" s="867">
        <f>+C324+2000</f>
        <v>21000</v>
      </c>
      <c r="D325" s="862">
        <f t="shared" si="29"/>
        <v>14091.67</v>
      </c>
      <c r="E325" s="862">
        <f t="shared" si="29"/>
        <v>14082.845000139889</v>
      </c>
      <c r="F325" s="862">
        <f>E325-D325</f>
        <v>-8.8249998601113475</v>
      </c>
      <c r="G325" s="863">
        <f>F325/D325</f>
        <v>-6.2625649480234401E-4</v>
      </c>
    </row>
    <row r="326" spans="2:7">
      <c r="B326" s="852">
        <f>MAX(B317:B325)+1</f>
        <v>28</v>
      </c>
      <c r="C326" s="867">
        <f>+C325+2000</f>
        <v>23000</v>
      </c>
      <c r="D326" s="862">
        <f t="shared" si="29"/>
        <v>15418.210000000001</v>
      </c>
      <c r="E326" s="862">
        <f t="shared" si="29"/>
        <v>15408.544523962735</v>
      </c>
      <c r="F326" s="862">
        <f>E326-D326</f>
        <v>-9.665476037265762</v>
      </c>
      <c r="G326" s="863">
        <f>F326/D326</f>
        <v>-6.2688704053620765E-4</v>
      </c>
    </row>
    <row r="327" spans="2:7">
      <c r="B327" s="852">
        <f>MAX(B319:B326)+1</f>
        <v>29</v>
      </c>
      <c r="C327" s="867">
        <f>+C326+2000</f>
        <v>25000</v>
      </c>
      <c r="D327" s="862">
        <f t="shared" si="29"/>
        <v>16744.75</v>
      </c>
      <c r="E327" s="862">
        <f t="shared" si="29"/>
        <v>16734.244047785582</v>
      </c>
      <c r="F327" s="862">
        <f>E327-D327</f>
        <v>-10.505952214418357</v>
      </c>
      <c r="G327" s="863">
        <f>F327/D327</f>
        <v>-6.2741768102947838E-4</v>
      </c>
    </row>
    <row r="328" spans="2:7">
      <c r="C328" s="867"/>
      <c r="D328" s="862"/>
      <c r="E328" s="862"/>
      <c r="F328" s="862"/>
      <c r="G328" s="863"/>
    </row>
    <row r="329" spans="2:7">
      <c r="B329" s="852">
        <f>MAX(B320:B327)+1</f>
        <v>30</v>
      </c>
      <c r="C329" s="867">
        <f>+C327+5000</f>
        <v>30000</v>
      </c>
      <c r="D329" s="862">
        <f t="shared" ref="D329:E333" si="30">D$285+(D$291*$C329)+D$289*($C329-$J$288)+D$288*$J$288</f>
        <v>20061.099999999999</v>
      </c>
      <c r="E329" s="862">
        <f t="shared" si="30"/>
        <v>20048.492857342699</v>
      </c>
      <c r="F329" s="862">
        <f>E329-D329</f>
        <v>-12.607142657299846</v>
      </c>
      <c r="G329" s="863">
        <f>F329/D329</f>
        <v>-6.2843725704472071E-4</v>
      </c>
    </row>
    <row r="330" spans="2:7">
      <c r="B330" s="852">
        <f>MAX(B321:B329)+1</f>
        <v>31</v>
      </c>
      <c r="C330" s="867">
        <f>+C329+5000</f>
        <v>35000</v>
      </c>
      <c r="D330" s="862">
        <f t="shared" si="30"/>
        <v>23070.1</v>
      </c>
      <c r="E330" s="862">
        <f t="shared" si="30"/>
        <v>23056.83254347862</v>
      </c>
      <c r="F330" s="862">
        <f>E330-D330</f>
        <v>-13.267456521378335</v>
      </c>
      <c r="G330" s="863">
        <f>F330/D330</f>
        <v>-5.7509315180161061E-4</v>
      </c>
    </row>
    <row r="331" spans="2:7">
      <c r="B331" s="852">
        <f>MAX(B322:B330)+1</f>
        <v>32</v>
      </c>
      <c r="C331" s="867">
        <f>+C330+5000</f>
        <v>40000</v>
      </c>
      <c r="D331" s="862">
        <f t="shared" si="30"/>
        <v>26079.100000000002</v>
      </c>
      <c r="E331" s="862">
        <f t="shared" si="30"/>
        <v>26065.172229614545</v>
      </c>
      <c r="F331" s="862">
        <f>E331-D331</f>
        <v>-13.927770385456824</v>
      </c>
      <c r="G331" s="863">
        <f>F331/D331</f>
        <v>-5.3405870545597143E-4</v>
      </c>
    </row>
    <row r="332" spans="2:7">
      <c r="B332" s="852">
        <f>MAX(B323:B331)+1</f>
        <v>33</v>
      </c>
      <c r="C332" s="867">
        <f>+C331+5000</f>
        <v>45000</v>
      </c>
      <c r="D332" s="862">
        <f t="shared" si="30"/>
        <v>29088.1</v>
      </c>
      <c r="E332" s="862">
        <f t="shared" si="30"/>
        <v>29073.511915750463</v>
      </c>
      <c r="F332" s="862">
        <f>E332-D332</f>
        <v>-14.588084249535314</v>
      </c>
      <c r="G332" s="863">
        <f>F332/D332</f>
        <v>-5.0151382350635879E-4</v>
      </c>
    </row>
    <row r="333" spans="2:7">
      <c r="B333" s="852">
        <f>MAX(B325:B332)+1</f>
        <v>34</v>
      </c>
      <c r="C333" s="867">
        <f>+C332+5000</f>
        <v>50000</v>
      </c>
      <c r="D333" s="862">
        <f t="shared" si="30"/>
        <v>32097.100000000002</v>
      </c>
      <c r="E333" s="862">
        <f t="shared" si="30"/>
        <v>32081.851601886385</v>
      </c>
      <c r="F333" s="862">
        <f>E333-D333</f>
        <v>-15.248398113617441</v>
      </c>
      <c r="G333" s="863">
        <f>F333/D333</f>
        <v>-4.7507089779504812E-4</v>
      </c>
    </row>
    <row r="334" spans="2:7">
      <c r="C334" s="867"/>
      <c r="D334" s="862"/>
      <c r="E334" s="862"/>
      <c r="F334" s="862"/>
      <c r="G334" s="863"/>
    </row>
    <row r="335" spans="2:7">
      <c r="B335" s="852">
        <f>MAX(B326:B333)+1</f>
        <v>35</v>
      </c>
      <c r="C335" s="867">
        <f>+C333+10000</f>
        <v>60000</v>
      </c>
      <c r="D335" s="862">
        <f t="shared" ref="D335:E339" si="31">D$285+(D$291*$C335)+D$289*($C335-$J$288)+D$288*$J$288</f>
        <v>38115.099999999991</v>
      </c>
      <c r="E335" s="862">
        <f t="shared" si="31"/>
        <v>38098.530974158224</v>
      </c>
      <c r="F335" s="862">
        <f>E335-D335</f>
        <v>-16.569025841767143</v>
      </c>
      <c r="G335" s="863">
        <f>F335/D335</f>
        <v>-4.3471028127348865E-4</v>
      </c>
    </row>
    <row r="336" spans="2:7">
      <c r="B336" s="852">
        <f>MAX(B327:B335)+1</f>
        <v>36</v>
      </c>
      <c r="C336" s="867">
        <f>+C335+10000</f>
        <v>70000</v>
      </c>
      <c r="D336" s="862">
        <f t="shared" si="31"/>
        <v>44133.1</v>
      </c>
      <c r="E336" s="862">
        <f t="shared" si="31"/>
        <v>44115.210346430067</v>
      </c>
      <c r="F336" s="862">
        <f>E336-D336</f>
        <v>-17.889653569931397</v>
      </c>
      <c r="G336" s="863">
        <f>F336/D336</f>
        <v>-4.0535683126568037E-4</v>
      </c>
    </row>
    <row r="337" spans="1:8">
      <c r="B337" s="852">
        <f>MAX(B327:B336)+1</f>
        <v>37</v>
      </c>
      <c r="C337" s="867">
        <f>+C336+10000</f>
        <v>80000</v>
      </c>
      <c r="D337" s="862">
        <f t="shared" si="31"/>
        <v>50151.1</v>
      </c>
      <c r="E337" s="862">
        <f t="shared" si="31"/>
        <v>50131.889718701917</v>
      </c>
      <c r="F337" s="862">
        <f>E337-D337</f>
        <v>-19.2102812980811</v>
      </c>
      <c r="G337" s="863">
        <f>F337/D337</f>
        <v>-3.8304805474019711E-4</v>
      </c>
    </row>
    <row r="338" spans="1:8">
      <c r="B338" s="852">
        <f>MAX(B329:B337)+1</f>
        <v>38</v>
      </c>
      <c r="C338" s="867">
        <f>+C337+10000</f>
        <v>90000</v>
      </c>
      <c r="D338" s="862">
        <f t="shared" si="31"/>
        <v>56169.099999999991</v>
      </c>
      <c r="E338" s="862">
        <f t="shared" si="31"/>
        <v>56148.569090973753</v>
      </c>
      <c r="F338" s="862">
        <f>E338-D338</f>
        <v>-20.530909026238078</v>
      </c>
      <c r="G338" s="863">
        <f>F338/D338</f>
        <v>-3.6551963670840515E-4</v>
      </c>
    </row>
    <row r="339" spans="1:8">
      <c r="B339" s="852">
        <f>MAX(B331:B338)+1</f>
        <v>39</v>
      </c>
      <c r="C339" s="867">
        <f>+C338+10000</f>
        <v>100000</v>
      </c>
      <c r="D339" s="862">
        <f t="shared" si="31"/>
        <v>62187.1</v>
      </c>
      <c r="E339" s="862">
        <f t="shared" si="31"/>
        <v>62165.248463245596</v>
      </c>
      <c r="F339" s="862">
        <f>E339-D339</f>
        <v>-21.851536754402332</v>
      </c>
      <c r="G339" s="863">
        <f>F339/D339</f>
        <v>-3.5138375570499883E-4</v>
      </c>
    </row>
    <row r="340" spans="1:8">
      <c r="C340" s="867"/>
      <c r="D340" s="862"/>
      <c r="E340" s="862"/>
      <c r="F340" s="862"/>
      <c r="G340" s="863"/>
    </row>
    <row r="341" spans="1:8">
      <c r="B341" s="852">
        <f>MAX(B332:B339)+1</f>
        <v>40</v>
      </c>
      <c r="C341" s="867">
        <f>+C339+15000</f>
        <v>115000</v>
      </c>
      <c r="D341" s="862">
        <f t="shared" ref="D341:E346" si="32">D$285+(D$291*$C341)+D$289*($C341-$J$288)+D$288*$J$288</f>
        <v>71214.099999999991</v>
      </c>
      <c r="E341" s="862">
        <f t="shared" si="32"/>
        <v>71190.267521653353</v>
      </c>
      <c r="F341" s="862">
        <f t="shared" ref="F341:F346" si="33">E341-D341</f>
        <v>-23.832478346637799</v>
      </c>
      <c r="G341" s="863">
        <f t="shared" ref="G341:G346" si="34">F341/D341</f>
        <v>-3.3465954560456149E-4</v>
      </c>
    </row>
    <row r="342" spans="1:8">
      <c r="B342" s="852">
        <f>MAX(B333:B341)+1</f>
        <v>41</v>
      </c>
      <c r="C342" s="867">
        <f>+C341+15000</f>
        <v>130000</v>
      </c>
      <c r="D342" s="862">
        <f t="shared" si="32"/>
        <v>80241.099999999991</v>
      </c>
      <c r="E342" s="862">
        <f t="shared" si="32"/>
        <v>80215.286580061118</v>
      </c>
      <c r="F342" s="862">
        <f t="shared" si="33"/>
        <v>-25.813419938873267</v>
      </c>
      <c r="G342" s="863">
        <f t="shared" si="34"/>
        <v>-3.2169823119166199E-4</v>
      </c>
    </row>
    <row r="343" spans="1:8">
      <c r="B343" s="852">
        <f>MAX(B333:B342)+1</f>
        <v>42</v>
      </c>
      <c r="C343" s="867">
        <f>+C342+15000</f>
        <v>145000</v>
      </c>
      <c r="D343" s="862">
        <f t="shared" si="32"/>
        <v>89268.099999999991</v>
      </c>
      <c r="E343" s="862">
        <f t="shared" si="32"/>
        <v>89240.305638468868</v>
      </c>
      <c r="F343" s="862">
        <f t="shared" si="33"/>
        <v>-27.794361531123286</v>
      </c>
      <c r="G343" s="863">
        <f t="shared" si="34"/>
        <v>-3.1135827390885759E-4</v>
      </c>
    </row>
    <row r="344" spans="1:8">
      <c r="B344" s="852">
        <f>MAX(B335:B343)+1</f>
        <v>43</v>
      </c>
      <c r="C344" s="867">
        <f>+C343+15000</f>
        <v>160000</v>
      </c>
      <c r="D344" s="862">
        <f t="shared" si="32"/>
        <v>98295.1</v>
      </c>
      <c r="E344" s="862">
        <f t="shared" si="32"/>
        <v>98265.324696876647</v>
      </c>
      <c r="F344" s="862">
        <f t="shared" si="33"/>
        <v>-29.775303123358754</v>
      </c>
      <c r="G344" s="863">
        <f t="shared" si="34"/>
        <v>-3.0291747120007764E-4</v>
      </c>
    </row>
    <row r="345" spans="1:8">
      <c r="B345" s="852">
        <f>MAX(B336:B344)+1</f>
        <v>44</v>
      </c>
      <c r="C345" s="867">
        <f>+C344+15000</f>
        <v>175000</v>
      </c>
      <c r="D345" s="862">
        <f t="shared" si="32"/>
        <v>107322.09999999999</v>
      </c>
      <c r="E345" s="862">
        <f t="shared" si="32"/>
        <v>107290.34375528441</v>
      </c>
      <c r="F345" s="862">
        <f t="shared" si="33"/>
        <v>-31.756244715579669</v>
      </c>
      <c r="G345" s="863">
        <f t="shared" si="34"/>
        <v>-2.9589660205660967E-4</v>
      </c>
    </row>
    <row r="346" spans="1:8" hidden="1" outlineLevel="1">
      <c r="A346" s="849" t="str">
        <f>$A$1</f>
        <v>Cascade Natural Gas Corporation</v>
      </c>
      <c r="C346" s="867">
        <f>+C345+15000</f>
        <v>190000</v>
      </c>
      <c r="D346" s="862">
        <f t="shared" si="32"/>
        <v>116349.09999999999</v>
      </c>
      <c r="E346" s="862">
        <f t="shared" si="32"/>
        <v>116315.36281369216</v>
      </c>
      <c r="F346" s="862">
        <f t="shared" si="33"/>
        <v>-33.737186307829688</v>
      </c>
      <c r="G346" s="863">
        <f t="shared" si="34"/>
        <v>-2.8996516782536086E-4</v>
      </c>
      <c r="H346" s="847" t="str">
        <f>$H$1</f>
        <v>CNGC/508</v>
      </c>
    </row>
    <row r="347" spans="1:8" hidden="1" outlineLevel="1">
      <c r="A347" s="849" t="str">
        <f>$A$2</f>
        <v>Washington Jurisdiction</v>
      </c>
      <c r="H347" s="847"/>
    </row>
    <row r="348" spans="1:8" hidden="1" outlineLevel="1">
      <c r="A348" s="849" t="str">
        <f>$A$3</f>
        <v>Test Year Ended December 31, 2019</v>
      </c>
      <c r="H348" s="850" t="str">
        <f>$H$3</f>
        <v>Impact of Recommended Rate Changes</v>
      </c>
    </row>
    <row r="349" spans="1:8" hidden="1" outlineLevel="1">
      <c r="A349" s="849"/>
    </row>
    <row r="350" spans="1:8" hidden="1" outlineLevel="1">
      <c r="B350" s="851" t="str">
        <f>'Exh 18, Class Rates'!C36</f>
        <v>Non-Core Industrial 663</v>
      </c>
    </row>
    <row r="351" spans="1:8" hidden="1" outlineLevel="1"/>
    <row r="352" spans="1:8" hidden="1" outlineLevel="1">
      <c r="B352" s="852" t="s">
        <v>2502</v>
      </c>
    </row>
    <row r="353" spans="2:10" ht="16.2" hidden="1" outlineLevel="1">
      <c r="B353" s="853" t="s">
        <v>2503</v>
      </c>
      <c r="C353" s="853" t="s">
        <v>97</v>
      </c>
      <c r="D353" s="853" t="s">
        <v>98</v>
      </c>
      <c r="E353" s="853" t="s">
        <v>1098</v>
      </c>
      <c r="F353" s="853" t="s">
        <v>2505</v>
      </c>
      <c r="G353" s="853" t="s">
        <v>1100</v>
      </c>
    </row>
    <row r="354" spans="2:10" hidden="1" outlineLevel="1">
      <c r="B354" s="852"/>
      <c r="C354" s="854"/>
      <c r="D354" s="855" t="s">
        <v>2506</v>
      </c>
      <c r="E354" s="856" t="s">
        <v>2314</v>
      </c>
    </row>
    <row r="355" spans="2:10" ht="16.2" hidden="1" outlineLevel="1">
      <c r="B355" s="852"/>
      <c r="C355" s="857"/>
      <c r="D355" s="853" t="s">
        <v>2324</v>
      </c>
      <c r="E355" s="858" t="s">
        <v>2324</v>
      </c>
    </row>
    <row r="356" spans="2:10" hidden="1" outlineLevel="1">
      <c r="B356" s="852">
        <f>MAX(B347:B355)+1</f>
        <v>1</v>
      </c>
      <c r="C356" s="857" t="s">
        <v>2462</v>
      </c>
      <c r="D356" s="859">
        <f>'Exh 18, Class Rates'!$E$37</f>
        <v>625</v>
      </c>
      <c r="E356" s="872">
        <f>'Exh 18, Class Rates'!$H$37</f>
        <v>625</v>
      </c>
    </row>
    <row r="357" spans="2:10" hidden="1" outlineLevel="1">
      <c r="B357" s="852">
        <f t="shared" ref="B357:B368" si="35">MAX(B348:B356)+1</f>
        <v>2</v>
      </c>
      <c r="C357" s="857" t="s">
        <v>2547</v>
      </c>
      <c r="D357" s="892" t="s">
        <v>2467</v>
      </c>
      <c r="E357" s="1241">
        <f>'Exh 18, Class Rates'!$H$38</f>
        <v>0.2</v>
      </c>
    </row>
    <row r="358" spans="2:10" hidden="1" outlineLevel="1">
      <c r="B358" s="852"/>
      <c r="C358" s="857"/>
      <c r="D358" s="859"/>
      <c r="E358" s="872"/>
    </row>
    <row r="359" spans="2:10" hidden="1" outlineLevel="1">
      <c r="B359" s="852">
        <f t="shared" si="35"/>
        <v>3</v>
      </c>
      <c r="C359" s="857" t="s">
        <v>2463</v>
      </c>
      <c r="D359" s="859"/>
      <c r="E359" s="872"/>
    </row>
    <row r="360" spans="2:10" hidden="1" outlineLevel="1">
      <c r="B360" s="852">
        <f t="shared" si="35"/>
        <v>4</v>
      </c>
      <c r="C360" s="868" t="s">
        <v>2548</v>
      </c>
      <c r="D360" s="838">
        <f>'Exh 18, Class Rates'!$E$39</f>
        <v>4.0000000000000002E-4</v>
      </c>
      <c r="E360" s="1241">
        <f>'Exh 18, Class Rates'!$H$39</f>
        <v>4.0000000000000002E-4</v>
      </c>
      <c r="J360" s="1242">
        <v>10000</v>
      </c>
    </row>
    <row r="361" spans="2:10" hidden="1" outlineLevel="1">
      <c r="B361" s="852">
        <f t="shared" si="35"/>
        <v>5</v>
      </c>
      <c r="C361" s="868" t="s">
        <v>2549</v>
      </c>
      <c r="D361" s="838">
        <f>'Exh 18, Class Rates'!$E$40</f>
        <v>5.9889999999999999E-2</v>
      </c>
      <c r="E361" s="1241">
        <f>'Exh 18, Class Rates'!$H$40</f>
        <v>5.9609231825916362E-2</v>
      </c>
      <c r="J361" s="1243">
        <v>10000</v>
      </c>
    </row>
    <row r="362" spans="2:10" hidden="1" outlineLevel="1">
      <c r="B362" s="852">
        <f t="shared" si="35"/>
        <v>6</v>
      </c>
      <c r="C362" s="868" t="s">
        <v>2550</v>
      </c>
      <c r="D362" s="838">
        <f>'Exh 18, Class Rates'!$E$41</f>
        <v>2.3029999999999998E-2</v>
      </c>
      <c r="E362" s="1241">
        <f>'Exh 18, Class Rates'!$H$41</f>
        <v>2.2922033877957149E-2</v>
      </c>
      <c r="J362" s="1243">
        <v>30000</v>
      </c>
    </row>
    <row r="363" spans="2:10" hidden="1" outlineLevel="1">
      <c r="B363" s="852">
        <f t="shared" si="35"/>
        <v>7</v>
      </c>
      <c r="C363" s="868" t="s">
        <v>2551</v>
      </c>
      <c r="D363" s="838">
        <f>'Exh 18, Class Rates'!$E$42</f>
        <v>1.473E-2</v>
      </c>
      <c r="E363" s="1241">
        <f>'Exh 18, Class Rates'!$H$42</f>
        <v>1.4660944812084622E-2</v>
      </c>
      <c r="J363" s="1243">
        <v>50000</v>
      </c>
    </row>
    <row r="364" spans="2:10" hidden="1" outlineLevel="1">
      <c r="B364" s="852">
        <f t="shared" si="35"/>
        <v>8</v>
      </c>
      <c r="C364" s="868" t="s">
        <v>2552</v>
      </c>
      <c r="D364" s="838" t="e">
        <f>'Exh 18, Class Rates'!#REF!</f>
        <v>#REF!</v>
      </c>
      <c r="E364" s="1241" t="e">
        <f>'Exh 18, Class Rates'!#REF!</f>
        <v>#REF!</v>
      </c>
      <c r="J364" s="1244">
        <v>400000</v>
      </c>
    </row>
    <row r="365" spans="2:10" hidden="1" outlineLevel="1">
      <c r="B365" s="852">
        <f t="shared" si="35"/>
        <v>9</v>
      </c>
      <c r="C365" s="868" t="s">
        <v>2553</v>
      </c>
      <c r="D365" s="838">
        <f>'Exh 18, Class Rates'!$E$43</f>
        <v>7.9799999999999992E-3</v>
      </c>
      <c r="E365" s="1241">
        <f>'Exh 18, Class Rates'!$H$43</f>
        <v>7.9425892464653949E-3</v>
      </c>
    </row>
    <row r="366" spans="2:10" hidden="1" outlineLevel="1">
      <c r="B366" s="852">
        <f t="shared" si="35"/>
        <v>10</v>
      </c>
      <c r="C366" s="868" t="s">
        <v>2554</v>
      </c>
      <c r="D366" s="838" t="e">
        <f>'Exh 18, Class Rates'!#REF!</f>
        <v>#REF!</v>
      </c>
      <c r="E366" s="1241" t="e">
        <f>'Exh 18, Class Rates'!#REF!</f>
        <v>#REF!</v>
      </c>
    </row>
    <row r="367" spans="2:10" hidden="1" outlineLevel="1">
      <c r="B367" s="852"/>
      <c r="C367" s="857"/>
      <c r="D367" s="859"/>
      <c r="E367" s="835"/>
    </row>
    <row r="368" spans="2:10" hidden="1" outlineLevel="1">
      <c r="B368" s="852">
        <f t="shared" si="35"/>
        <v>11</v>
      </c>
      <c r="C368" s="860" t="s">
        <v>2507</v>
      </c>
      <c r="D368" s="869">
        <v>0</v>
      </c>
      <c r="E368" s="866">
        <f>D368</f>
        <v>0</v>
      </c>
    </row>
    <row r="369" spans="2:8" hidden="1" outlineLevel="1">
      <c r="B369" s="852"/>
    </row>
    <row r="370" spans="2:8" hidden="1" outlineLevel="1">
      <c r="B370" s="852"/>
      <c r="C370" s="852"/>
      <c r="D370" s="852"/>
      <c r="E370" s="852"/>
    </row>
    <row r="371" spans="2:8" ht="16.2" hidden="1" outlineLevel="1">
      <c r="B371" s="852"/>
      <c r="C371" s="852" t="s">
        <v>2531</v>
      </c>
      <c r="D371" s="852" t="s">
        <v>2547</v>
      </c>
      <c r="E371" s="852" t="s">
        <v>2508</v>
      </c>
      <c r="F371" s="852" t="s">
        <v>2508</v>
      </c>
      <c r="G371" s="861" t="s">
        <v>2532</v>
      </c>
      <c r="H371" s="861"/>
    </row>
    <row r="372" spans="2:8" ht="16.2" hidden="1" outlineLevel="1">
      <c r="B372" s="852"/>
      <c r="C372" s="853" t="s">
        <v>2533</v>
      </c>
      <c r="D372" s="853" t="s">
        <v>2533</v>
      </c>
      <c r="E372" s="853" t="s">
        <v>2534</v>
      </c>
      <c r="F372" s="853" t="s">
        <v>2477</v>
      </c>
      <c r="G372" s="853" t="s">
        <v>729</v>
      </c>
      <c r="H372" s="853" t="s">
        <v>2513</v>
      </c>
    </row>
    <row r="373" spans="2:8" hidden="1" outlineLevel="1">
      <c r="B373" s="852"/>
      <c r="D373" s="852"/>
    </row>
    <row r="374" spans="2:8" hidden="1" outlineLevel="1">
      <c r="B374" s="852">
        <f>MAX(B364:B373)+1</f>
        <v>12</v>
      </c>
      <c r="C374" s="867">
        <v>0</v>
      </c>
      <c r="E374" s="862">
        <f>D$356+(D$368+D$360)*$C374</f>
        <v>625</v>
      </c>
      <c r="F374" s="862">
        <f>E$356+(E$368+E$360)*$C374</f>
        <v>625</v>
      </c>
      <c r="G374" s="862">
        <f>F374-E374</f>
        <v>0</v>
      </c>
      <c r="H374" s="863">
        <f>G374/E374</f>
        <v>0</v>
      </c>
    </row>
    <row r="375" spans="2:8" hidden="1" outlineLevel="1">
      <c r="B375" s="852"/>
      <c r="C375" s="867"/>
      <c r="E375" s="862"/>
      <c r="F375" s="862"/>
      <c r="G375" s="862"/>
      <c r="H375" s="863"/>
    </row>
    <row r="376" spans="2:8" hidden="1" outlineLevel="1">
      <c r="B376" s="852">
        <f>MAX(B373:B375)+1</f>
        <v>13</v>
      </c>
      <c r="C376" s="867">
        <f>MAX(C373:C375)+2000</f>
        <v>2000</v>
      </c>
      <c r="D376" s="852"/>
      <c r="E376" s="862">
        <f>D$356+(D$368+D$360)*$C376</f>
        <v>625.79999999999995</v>
      </c>
      <c r="F376" s="862">
        <f>E$356+(E$368+E$360)*$C376+(D376*$E$357)</f>
        <v>625.79999999999995</v>
      </c>
      <c r="G376" s="862">
        <f>F376-E376</f>
        <v>0</v>
      </c>
      <c r="H376" s="863">
        <f>G376/E376</f>
        <v>0</v>
      </c>
    </row>
    <row r="377" spans="2:8" hidden="1" outlineLevel="1">
      <c r="B377" s="852">
        <f>MAX(B374:B376)+1</f>
        <v>14</v>
      </c>
      <c r="C377" s="867">
        <f>MAX(C374:C376)+2000</f>
        <v>4000</v>
      </c>
      <c r="D377" s="852"/>
      <c r="E377" s="862">
        <f>D$356+(D$368+D$360)*$C377</f>
        <v>626.6</v>
      </c>
      <c r="F377" s="862">
        <f>E$356+(E$368+E$360)*$C377+(D377*$E$357)</f>
        <v>626.6</v>
      </c>
      <c r="G377" s="862">
        <f>F377-E377</f>
        <v>0</v>
      </c>
      <c r="H377" s="863">
        <f>G377/E377</f>
        <v>0</v>
      </c>
    </row>
    <row r="378" spans="2:8" hidden="1" outlineLevel="1">
      <c r="B378" s="852">
        <f>MAX(B375:B377)+1</f>
        <v>15</v>
      </c>
      <c r="C378" s="867">
        <f>MAX(C375:C377)+2000</f>
        <v>6000</v>
      </c>
      <c r="D378" s="852"/>
      <c r="E378" s="862">
        <f>D$356+(D$368+D$360)*$C378</f>
        <v>627.4</v>
      </c>
      <c r="F378" s="862">
        <f>E$356+(E$368+E$360)*$C378+(D378*$E$357)</f>
        <v>627.4</v>
      </c>
      <c r="G378" s="862">
        <f>F378-E378</f>
        <v>0</v>
      </c>
      <c r="H378" s="863">
        <f>G378/E378</f>
        <v>0</v>
      </c>
    </row>
    <row r="379" spans="2:8" hidden="1" outlineLevel="1">
      <c r="B379" s="852">
        <f>MAX(B376:B378)+1</f>
        <v>16</v>
      </c>
      <c r="C379" s="867">
        <f>MAX(C376:C378)+2000</f>
        <v>8000</v>
      </c>
      <c r="D379" s="852"/>
      <c r="E379" s="862">
        <f>D$356+(D$368+D$360)*$C379</f>
        <v>628.20000000000005</v>
      </c>
      <c r="F379" s="862">
        <f>E$356+(E$368+E$360)*$C379+(D379*$E$357)</f>
        <v>628.20000000000005</v>
      </c>
      <c r="G379" s="862">
        <f>F379-E379</f>
        <v>0</v>
      </c>
      <c r="H379" s="863">
        <f>G379/E379</f>
        <v>0</v>
      </c>
    </row>
    <row r="380" spans="2:8" hidden="1" outlineLevel="1">
      <c r="B380" s="852">
        <f>MAX(B376:B379)+1</f>
        <v>17</v>
      </c>
      <c r="C380" s="867">
        <f>MAX(C377:C379)+2000</f>
        <v>10000</v>
      </c>
      <c r="D380" s="852"/>
      <c r="E380" s="862">
        <f>D$356+(D$368+D$360)*$C380</f>
        <v>629</v>
      </c>
      <c r="F380" s="862">
        <f>E$356+(E$368+E$360)*$C380+(D380*$E$357)</f>
        <v>629</v>
      </c>
      <c r="G380" s="862">
        <f>F380-E380</f>
        <v>0</v>
      </c>
      <c r="H380" s="863">
        <f>G380/E380</f>
        <v>0</v>
      </c>
    </row>
    <row r="381" spans="2:8" hidden="1" outlineLevel="1">
      <c r="B381" s="852"/>
      <c r="C381" s="867"/>
      <c r="E381" s="862"/>
      <c r="F381" s="862"/>
      <c r="G381" s="862"/>
      <c r="H381" s="863"/>
    </row>
    <row r="382" spans="2:8" hidden="1" outlineLevel="1">
      <c r="B382" s="852">
        <f>MAX(B376:B381)+1</f>
        <v>18</v>
      </c>
      <c r="C382" s="867">
        <f>MAX(C379:C381)+2000</f>
        <v>12000</v>
      </c>
      <c r="D382" s="852"/>
      <c r="E382" s="862">
        <f>D$356+(D$368*$C382)+D$361*($C382-$J$360)+D$360*$J$360</f>
        <v>748.78</v>
      </c>
      <c r="F382" s="862">
        <f>E$356+(E$368*$C382)+E$361*($C382-$J$360)+E$360*$J$360+(D382*$E$357)</f>
        <v>748.21846365183274</v>
      </c>
      <c r="G382" s="862">
        <f>F382-E382</f>
        <v>-0.56153634816723752</v>
      </c>
      <c r="H382" s="863">
        <f>G382/E382</f>
        <v>-7.4993502519730439E-4</v>
      </c>
    </row>
    <row r="383" spans="2:8" hidden="1" outlineLevel="1">
      <c r="B383" s="852">
        <f>MAX(B376:B382)+1</f>
        <v>19</v>
      </c>
      <c r="C383" s="867">
        <f>MAX(C382:C382)+2000</f>
        <v>14000</v>
      </c>
      <c r="D383" s="852"/>
      <c r="E383" s="862">
        <f>D$356+(D$368*$C383)+D$361*($C383-$J$360)+D$360*$J$360</f>
        <v>868.56</v>
      </c>
      <c r="F383" s="862">
        <f>E$356+(E$368*$C383)+E$361*($C383-$J$360)+E$360*$J$360+(D383*$E$357)</f>
        <v>867.43692730366547</v>
      </c>
      <c r="G383" s="862">
        <f>F383-E383</f>
        <v>-1.123072696334475</v>
      </c>
      <c r="H383" s="863">
        <f>G383/E383</f>
        <v>-1.2930283415474753E-3</v>
      </c>
    </row>
    <row r="384" spans="2:8" hidden="1" outlineLevel="1">
      <c r="B384" s="852">
        <f>MAX(B376:B383)+1</f>
        <v>20</v>
      </c>
      <c r="C384" s="867">
        <f>MAX(C383:C383)+2000</f>
        <v>16000</v>
      </c>
      <c r="D384" s="852"/>
      <c r="E384" s="862">
        <f>D$356+(D$368*$C384)+D$361*($C384-$J$360)+D$360*$J$360</f>
        <v>988.33999999999992</v>
      </c>
      <c r="F384" s="862">
        <f>E$356+(E$368*$C384)+E$361*($C384-$J$360)+E$360*$J$360+(D384*$E$357)</f>
        <v>986.65539095549821</v>
      </c>
      <c r="G384" s="862">
        <f>F384-E384</f>
        <v>-1.6846090445017126</v>
      </c>
      <c r="H384" s="863">
        <f>G384/E384</f>
        <v>-1.704483320013065E-3</v>
      </c>
    </row>
    <row r="385" spans="2:8" hidden="1" outlineLevel="1">
      <c r="B385" s="852">
        <f>MAX(B376:B384)+1</f>
        <v>21</v>
      </c>
      <c r="C385" s="867">
        <f>MAX(C384:C384)+2000</f>
        <v>18000</v>
      </c>
      <c r="D385" s="852"/>
      <c r="E385" s="862">
        <f>D$356+(D$368*$C385)+D$361*($C385-$J$360)+D$360*$J$360</f>
        <v>1108.1199999999999</v>
      </c>
      <c r="F385" s="862">
        <f>E$356+(E$368*$C385)+E$361*($C385-$J$360)+E$360*$J$360+(D385*$E$357)</f>
        <v>1105.8738546073309</v>
      </c>
      <c r="G385" s="862">
        <f>F385-E385</f>
        <v>-2.2461453926689501</v>
      </c>
      <c r="H385" s="863">
        <f>G385/E385</f>
        <v>-2.0269875037621831E-3</v>
      </c>
    </row>
    <row r="386" spans="2:8" hidden="1" outlineLevel="1">
      <c r="B386" s="852">
        <f>MAX(B377:B385)+1</f>
        <v>22</v>
      </c>
      <c r="C386" s="867">
        <f>MAX(C385:C385)+2000</f>
        <v>20000</v>
      </c>
      <c r="D386" s="852"/>
      <c r="E386" s="862">
        <f>D$356+(D$368*$C386)+D$361*($C386-$J$360)+D$360*$J$360</f>
        <v>1227.9000000000001</v>
      </c>
      <c r="F386" s="862">
        <f>E$356+(E$368*$C386)+E$361*($C386-$J$360)+E$360*$J$360+(D386*$E$357)</f>
        <v>1225.0923182591637</v>
      </c>
      <c r="G386" s="862">
        <f>F386-E386</f>
        <v>-2.807681740836415</v>
      </c>
      <c r="H386" s="863">
        <f>G386/E386</f>
        <v>-2.2865719853704821E-3</v>
      </c>
    </row>
    <row r="387" spans="2:8" hidden="1" outlineLevel="1">
      <c r="B387" s="852"/>
      <c r="C387" s="867"/>
      <c r="E387" s="862"/>
      <c r="F387" s="862"/>
      <c r="G387" s="862"/>
      <c r="H387" s="863"/>
    </row>
    <row r="388" spans="2:8" hidden="1" outlineLevel="1">
      <c r="B388" s="852">
        <f>MAX(B385:B387)+1</f>
        <v>23</v>
      </c>
      <c r="C388" s="867">
        <f>MAX(C386:C387)+5000</f>
        <v>25000</v>
      </c>
      <c r="D388" s="852"/>
      <c r="E388" s="862">
        <f t="shared" ref="E388:E393" si="36">D$356+(D$368*$C388)+D$362*($C388-$J$360-$J$361)+D$360*$J$360+D$361*$J$361</f>
        <v>1343.05</v>
      </c>
      <c r="F388" s="862">
        <f t="shared" ref="F388:F393" si="37">E$356+(E$368*$C388)+E$362*($C388-$J$360-$J$361)+E$360*$J$360+E$361*$J$361+(D388*$E$357)</f>
        <v>1339.7024876489493</v>
      </c>
      <c r="G388" s="862">
        <f t="shared" ref="G388:G393" si="38">F388-E388</f>
        <v>-3.3475123510506819</v>
      </c>
      <c r="H388" s="863">
        <f t="shared" ref="H388:H393" si="39">G388/E388</f>
        <v>-2.4924703853547387E-3</v>
      </c>
    </row>
    <row r="389" spans="2:8" hidden="1" outlineLevel="1">
      <c r="B389" s="852">
        <f>MAX(B386:B388)+1</f>
        <v>24</v>
      </c>
      <c r="C389" s="867">
        <f>MAX(C387:C388)+5000</f>
        <v>30000</v>
      </c>
      <c r="D389" s="852"/>
      <c r="E389" s="862">
        <f t="shared" si="36"/>
        <v>1458.1999999999998</v>
      </c>
      <c r="F389" s="862">
        <f t="shared" si="37"/>
        <v>1454.3126570387351</v>
      </c>
      <c r="G389" s="862">
        <f t="shared" si="38"/>
        <v>-3.8873429612647215</v>
      </c>
      <c r="H389" s="863">
        <f t="shared" si="39"/>
        <v>-2.6658503368980398E-3</v>
      </c>
    </row>
    <row r="390" spans="2:8" hidden="1" outlineLevel="1">
      <c r="B390" s="852">
        <f>MAX(B387:B389)+1</f>
        <v>25</v>
      </c>
      <c r="C390" s="867">
        <f>MAX(C388:C389)+5000</f>
        <v>35000</v>
      </c>
      <c r="D390" s="852"/>
      <c r="E390" s="862">
        <f t="shared" si="36"/>
        <v>1573.35</v>
      </c>
      <c r="F390" s="862">
        <f t="shared" si="37"/>
        <v>1568.9228264285207</v>
      </c>
      <c r="G390" s="862">
        <f t="shared" si="38"/>
        <v>-4.4271735714792158</v>
      </c>
      <c r="H390" s="863">
        <f t="shared" si="39"/>
        <v>-2.8138516995450573E-3</v>
      </c>
    </row>
    <row r="391" spans="2:8" hidden="1" outlineLevel="1">
      <c r="B391" s="852">
        <f>MAX(B388:B390)+1</f>
        <v>26</v>
      </c>
      <c r="C391" s="867">
        <f>MAX(C388:C390)+5000</f>
        <v>40000</v>
      </c>
      <c r="D391" s="852"/>
      <c r="E391" s="862">
        <f t="shared" si="36"/>
        <v>1688.5</v>
      </c>
      <c r="F391" s="862">
        <f t="shared" si="37"/>
        <v>1683.5329958183065</v>
      </c>
      <c r="G391" s="862">
        <f t="shared" si="38"/>
        <v>-4.9670041816934827</v>
      </c>
      <c r="H391" s="863">
        <f t="shared" si="39"/>
        <v>-2.9416666755661728E-3</v>
      </c>
    </row>
    <row r="392" spans="2:8" hidden="1" outlineLevel="1">
      <c r="B392" s="852">
        <f>MAX(B388:B391)+1</f>
        <v>27</v>
      </c>
      <c r="C392" s="867">
        <f>MAX(C389:C391)+5000</f>
        <v>45000</v>
      </c>
      <c r="D392" s="852"/>
      <c r="E392" s="862">
        <f t="shared" si="36"/>
        <v>1803.65</v>
      </c>
      <c r="F392" s="862">
        <f t="shared" si="37"/>
        <v>1798.1431652080923</v>
      </c>
      <c r="G392" s="862">
        <f t="shared" si="38"/>
        <v>-5.5068347919077496</v>
      </c>
      <c r="H392" s="863">
        <f t="shared" si="39"/>
        <v>-3.053161529070357E-3</v>
      </c>
    </row>
    <row r="393" spans="2:8" hidden="1" outlineLevel="1">
      <c r="B393" s="852">
        <f>MAX(B388:B392)+1</f>
        <v>28</v>
      </c>
      <c r="C393" s="867">
        <f>MAX(C390:C392)+5000</f>
        <v>50000</v>
      </c>
      <c r="D393" s="852"/>
      <c r="E393" s="862">
        <f t="shared" si="36"/>
        <v>1918.8000000000002</v>
      </c>
      <c r="F393" s="862">
        <f t="shared" si="37"/>
        <v>1912.7533345978782</v>
      </c>
      <c r="G393" s="862">
        <f t="shared" si="38"/>
        <v>-6.0466654021220165</v>
      </c>
      <c r="H393" s="863">
        <f t="shared" si="39"/>
        <v>-3.1512744434657159E-3</v>
      </c>
    </row>
    <row r="394" spans="2:8" hidden="1" outlineLevel="1">
      <c r="B394" s="852"/>
      <c r="C394" s="867"/>
      <c r="E394" s="862"/>
      <c r="F394" s="862"/>
      <c r="G394" s="862"/>
      <c r="H394" s="863"/>
    </row>
    <row r="395" spans="2:8" hidden="1" outlineLevel="1">
      <c r="B395" s="852">
        <f>MAX(B388:B394)+1</f>
        <v>29</v>
      </c>
      <c r="C395" s="867">
        <f>MAX(C392:C394)+10000</f>
        <v>60000</v>
      </c>
      <c r="D395" s="852"/>
      <c r="E395" s="862">
        <f>D$356+(D$368*$C395)+D$363*($C395-$J$360-$J$361-$J$362)+D$360*$J$360+D$361*$J$361+D$362*$J$362</f>
        <v>2066.1</v>
      </c>
      <c r="F395" s="862">
        <f>E$356+(E$368*$C395)+E$363*($C395-$J$360-$J$361-$J$362)+E$360*$J$360+E$361*$J$361+E$362*$J$362+(D395*$E$357)</f>
        <v>2059.3627827187242</v>
      </c>
      <c r="G395" s="862">
        <f>F395-E395</f>
        <v>-6.7372172812756617</v>
      </c>
      <c r="H395" s="863">
        <f>G395/E395</f>
        <v>-3.2608379465058138E-3</v>
      </c>
    </row>
    <row r="396" spans="2:8" hidden="1" outlineLevel="1">
      <c r="B396" s="852">
        <f>MAX(B388:B395)+1</f>
        <v>30</v>
      </c>
      <c r="C396" s="867">
        <f>MAX(C393:C395)+10000</f>
        <v>70000</v>
      </c>
      <c r="D396" s="852"/>
      <c r="E396" s="862">
        <f>D$356+(D$368*$C396)+D$363*($C396-$J$360-$J$361-$J$362)+D$360*$J$360+D$361*$J$361+D$362*$J$362</f>
        <v>2213.4</v>
      </c>
      <c r="F396" s="862">
        <f>E$356+(E$368*$C396)+E$363*($C396-$J$360-$J$361-$J$362)+E$360*$J$360+E$361*$J$361+E$362*$J$362+(D396*$E$357)</f>
        <v>2205.9722308395703</v>
      </c>
      <c r="G396" s="862">
        <f>F396-E396</f>
        <v>-7.4277691604297615</v>
      </c>
      <c r="H396" s="863">
        <f>G396/E396</f>
        <v>-3.3558187225218041E-3</v>
      </c>
    </row>
    <row r="397" spans="2:8" hidden="1" outlineLevel="1">
      <c r="B397" s="852">
        <f>MAX(B388:B396)+1</f>
        <v>31</v>
      </c>
      <c r="C397" s="867">
        <f>MAX(C394:C396)+10000</f>
        <v>80000</v>
      </c>
      <c r="D397" s="852"/>
      <c r="E397" s="862">
        <f>D$356+(D$368*$C397)+D$363*($C397-$J$360-$J$361-$J$362)+D$360*$J$360+D$361*$J$361+D$362*$J$362</f>
        <v>2360.7000000000003</v>
      </c>
      <c r="F397" s="862">
        <f>E$356+(E$368*$C397)+E$363*($C397-$J$360-$J$361-$J$362)+E$360*$J$360+E$361*$J$361+E$362*$J$362+(D397*$E$357)</f>
        <v>2352.5816789604169</v>
      </c>
      <c r="G397" s="862">
        <f>F397-E397</f>
        <v>-8.1183210395834067</v>
      </c>
      <c r="H397" s="863">
        <f>G397/E397</f>
        <v>-3.438946515687468E-3</v>
      </c>
    </row>
    <row r="398" spans="2:8" hidden="1" outlineLevel="1">
      <c r="B398" s="852">
        <f>MAX(B389:B397)+1</f>
        <v>32</v>
      </c>
      <c r="C398" s="867">
        <f>MAX(C395:C397)+10000</f>
        <v>90000</v>
      </c>
      <c r="D398" s="852"/>
      <c r="E398" s="862">
        <f>D$356+(D$368*$C398)+D$363*($C398-$J$360-$J$361-$J$362)+D$360*$J$360+D$361*$J$361+D$362*$J$362</f>
        <v>2508</v>
      </c>
      <c r="F398" s="862">
        <f>E$356+(E$368*$C398)+E$363*($C398-$J$360-$J$361-$J$362)+E$360*$J$360+E$361*$J$361+E$362*$J$362+(D398*$E$357)</f>
        <v>2499.1911270812629</v>
      </c>
      <c r="G398" s="862">
        <f>F398-E398</f>
        <v>-8.8088729187370518</v>
      </c>
      <c r="H398" s="863">
        <f>G398/E398</f>
        <v>-3.5123097762109457E-3</v>
      </c>
    </row>
    <row r="399" spans="2:8" hidden="1" outlineLevel="1">
      <c r="B399" s="852">
        <f>MAX(B390:B398)+1</f>
        <v>33</v>
      </c>
      <c r="C399" s="867">
        <f>MAX(C396:C398)+10000</f>
        <v>100000</v>
      </c>
      <c r="D399" s="852"/>
      <c r="E399" s="862">
        <f>D$356+(D$368*$C399)+D$363*($C399-$J$360-$J$361-$J$362)+D$360*$J$360+D$361*$J$361+D$362*$J$362</f>
        <v>2655.3</v>
      </c>
      <c r="F399" s="862">
        <f>E$356+(E$368*$C399)+E$363*($C399-$J$360-$J$361-$J$362)+E$360*$J$360+E$361*$J$361+E$362*$J$362+(D399*$E$357)</f>
        <v>2645.800575202109</v>
      </c>
      <c r="G399" s="862">
        <f>F399-E399</f>
        <v>-9.4994247978911517</v>
      </c>
      <c r="H399" s="863">
        <f>G399/E399</f>
        <v>-3.577533535905981E-3</v>
      </c>
    </row>
    <row r="400" spans="2:8" hidden="1" outlineLevel="1">
      <c r="B400" s="852"/>
      <c r="C400" s="867"/>
      <c r="E400" s="852"/>
      <c r="F400" s="852"/>
      <c r="G400" s="862"/>
      <c r="H400" s="863"/>
    </row>
    <row r="401" spans="2:8" hidden="1" outlineLevel="1">
      <c r="B401" s="852">
        <f>MAX(B392:B400)+1</f>
        <v>34</v>
      </c>
      <c r="C401" s="867">
        <f>MAX(C398:C400)+25000</f>
        <v>125000</v>
      </c>
      <c r="D401" s="852"/>
      <c r="E401" s="862" t="e">
        <f>D$356+(D$368*$C401)+D$364*($C401-$J$360-$J$361-$J$362-$J$363)+D$360*$J$360+D$361*$J$361+D$362*$J$362+D$363*$J$363</f>
        <v>#REF!</v>
      </c>
      <c r="F401" s="862" t="e">
        <f>E$356+(E$368*$C401)+E$364*($C401-$J$360-$J$361-$J$362-$J$363)+E$360*$J$360+E$361*$J$361+E$362*$J$362+E$363*$J$363+(D401*$E$357)</f>
        <v>#REF!</v>
      </c>
      <c r="G401" s="862" t="e">
        <f>F401-E401</f>
        <v>#REF!</v>
      </c>
      <c r="H401" s="863" t="e">
        <f>G401/E401</f>
        <v>#REF!</v>
      </c>
    </row>
    <row r="402" spans="2:8" hidden="1" outlineLevel="1">
      <c r="B402" s="852">
        <f>MAX(B393:B401)+1</f>
        <v>35</v>
      </c>
      <c r="C402" s="867">
        <f>MAX(C399:C401)+25000</f>
        <v>150000</v>
      </c>
      <c r="D402" s="852"/>
      <c r="E402" s="862" t="e">
        <f>D$356+(D$368*$C402)+D$364*($C402-$J$360-$J$361-$J$362-$J$363)+D$360*$J$360+D$361*$J$361+D$362*$J$362+D$363*$J$363</f>
        <v>#REF!</v>
      </c>
      <c r="F402" s="862" t="e">
        <f>E$356+(E$368*$C402)+E$364*($C402-$J$360-$J$361-$J$362-$J$363)+E$360*$J$360+E$361*$J$361+E$362*$J$362+E$363*$J$363+(D402*$E$357)</f>
        <v>#REF!</v>
      </c>
      <c r="G402" s="862" t="e">
        <f>F402-E402</f>
        <v>#REF!</v>
      </c>
      <c r="H402" s="863" t="e">
        <f>G402/E402</f>
        <v>#REF!</v>
      </c>
    </row>
    <row r="403" spans="2:8" hidden="1" outlineLevel="1">
      <c r="B403" s="852">
        <f>MAX(B394:B402)+1</f>
        <v>36</v>
      </c>
      <c r="C403" s="867">
        <f>MAX(C400:C402)+25000</f>
        <v>175000</v>
      </c>
      <c r="D403" s="852"/>
      <c r="E403" s="862" t="e">
        <f>D$356+(D$368*$C403)+D$364*($C403-$J$360-$J$361-$J$362-$J$363)+D$360*$J$360+D$361*$J$361+D$362*$J$362+D$363*$J$363</f>
        <v>#REF!</v>
      </c>
      <c r="F403" s="862" t="e">
        <f>E$356+(E$368*$C403)+E$364*($C403-$J$360-$J$361-$J$362-$J$363)+E$360*$J$360+E$361*$J$361+E$362*$J$362+E$363*$J$363+(D403*$E$357)</f>
        <v>#REF!</v>
      </c>
      <c r="G403" s="862" t="e">
        <f>F403-E403</f>
        <v>#REF!</v>
      </c>
      <c r="H403" s="863" t="e">
        <f>G403/E403</f>
        <v>#REF!</v>
      </c>
    </row>
    <row r="404" spans="2:8" hidden="1" outlineLevel="1">
      <c r="B404" s="852">
        <f>MAX(B395:B403)+1</f>
        <v>37</v>
      </c>
      <c r="C404" s="867">
        <f>MAX(C401:C403)+25000</f>
        <v>200000</v>
      </c>
      <c r="D404" s="852"/>
      <c r="E404" s="862" t="e">
        <f>D$356+(D$368*$C404)+D$364*($C404-$J$360-$J$361-$J$362-$J$363)+D$360*$J$360+D$361*$J$361+D$362*$J$362+D$363*$J$363</f>
        <v>#REF!</v>
      </c>
      <c r="F404" s="862" t="e">
        <f>E$356+(E$368*$C404)+E$364*($C404-$J$360-$J$361-$J$362-$J$363)+E$360*$J$360+E$361*$J$361+E$362*$J$362+E$363*$J$363+(D404*$E$357)</f>
        <v>#REF!</v>
      </c>
      <c r="G404" s="862" t="e">
        <f>F404-E404</f>
        <v>#REF!</v>
      </c>
      <c r="H404" s="863" t="e">
        <f>G404/E404</f>
        <v>#REF!</v>
      </c>
    </row>
    <row r="405" spans="2:8" hidden="1" outlineLevel="1">
      <c r="B405" s="852">
        <f>MAX(B397:B404)+1</f>
        <v>38</v>
      </c>
      <c r="C405" s="867">
        <f>MAX(C403:C404)+50000</f>
        <v>250000</v>
      </c>
      <c r="D405" s="852"/>
      <c r="E405" s="862" t="e">
        <f>D$356+(D$368*$C405)+D$364*($C405-$J$360-$J$361-$J$362-$J$363)+D$360*$J$360+D$361*$J$361+D$362*$J$362+D$363*$J$363</f>
        <v>#REF!</v>
      </c>
      <c r="F405" s="862" t="e">
        <f>E$356+(E$368*$C405)+E$364*($C405-$J$360-$J$361-$J$362-$J$363)+E$360*$J$360+E$361*$J$361+E$362*$J$362+E$363*$J$363+(D405*$E$357)</f>
        <v>#REF!</v>
      </c>
      <c r="G405" s="862" t="e">
        <f>F405-E405</f>
        <v>#REF!</v>
      </c>
      <c r="H405" s="863" t="e">
        <f>G405/E405</f>
        <v>#REF!</v>
      </c>
    </row>
    <row r="406" spans="2:8" hidden="1" outlineLevel="1">
      <c r="B406" s="852"/>
      <c r="C406" s="867"/>
      <c r="E406" s="862"/>
      <c r="F406" s="862"/>
      <c r="G406" s="862"/>
      <c r="H406" s="863"/>
    </row>
    <row r="407" spans="2:8" hidden="1" outlineLevel="1">
      <c r="B407" s="852">
        <f>MAX(B399:B406)+1</f>
        <v>39</v>
      </c>
      <c r="C407" s="867">
        <f>MAX(C404:C405)+50000</f>
        <v>300000</v>
      </c>
      <c r="D407" s="852"/>
      <c r="E407" s="862" t="e">
        <f>D$356+(D$368*$C407)+D$364*($C407-$J$360-$J$361-$J$362-$J$363)+D$360*$J$360+D$361*$J$361+D$362*$J$362+D$363*$J$363</f>
        <v>#REF!</v>
      </c>
      <c r="F407" s="862" t="e">
        <f>E$356+(E$368*$C407)+E$364*($C407-$J$360-$J$361-$J$362-$J$363)+E$360*$J$360+E$361*$J$361+E$362*$J$362+E$363*$J$363+(D407*$E$357)</f>
        <v>#REF!</v>
      </c>
      <c r="G407" s="862" t="e">
        <f>F407-E407</f>
        <v>#REF!</v>
      </c>
      <c r="H407" s="863" t="e">
        <f>G407/E407</f>
        <v>#REF!</v>
      </c>
    </row>
    <row r="408" spans="2:8" hidden="1" outlineLevel="1">
      <c r="B408" s="852">
        <f>MAX(B400:B407)+1</f>
        <v>40</v>
      </c>
      <c r="C408" s="867">
        <f>MAX(C405:C407)+50000</f>
        <v>350000</v>
      </c>
      <c r="D408" s="852"/>
      <c r="E408" s="862" t="e">
        <f>D$356+(D$368*$C408)+D$364*($C408-$J$360-$J$361-$J$362-$J$363)+D$360*$J$360+D$361*$J$361+D$362*$J$362+D$363*$J$363</f>
        <v>#REF!</v>
      </c>
      <c r="F408" s="862" t="e">
        <f>E$356+(E$368*$C408)+E$364*($C408-$J$360-$J$361-$J$362-$J$363)+E$360*$J$360+E$361*$J$361+E$362*$J$362+E$363*$J$363+(D408*$E$357)</f>
        <v>#REF!</v>
      </c>
      <c r="G408" s="862" t="e">
        <f>F408-E408</f>
        <v>#REF!</v>
      </c>
      <c r="H408" s="863" t="e">
        <f>G408/E408</f>
        <v>#REF!</v>
      </c>
    </row>
    <row r="409" spans="2:8" hidden="1" outlineLevel="1">
      <c r="B409" s="852">
        <f>MAX(B401:B408)+1</f>
        <v>41</v>
      </c>
      <c r="C409" s="867">
        <f>MAX(C406:C408)+50000</f>
        <v>400000</v>
      </c>
      <c r="D409" s="852"/>
      <c r="E409" s="862" t="e">
        <f>D$356+(D$368*$C409)+D$364*($C409-$J$360-$J$361-$J$362-$J$363)+D$360*$J$360+D$361*$J$361+D$362*$J$362+D$363*$J$363</f>
        <v>#REF!</v>
      </c>
      <c r="F409" s="862" t="e">
        <f>E$356+(E$368*$C409)+E$364*($C409-$J$360-$J$361-$J$362-$J$363)+E$360*$J$360+E$361*$J$361+E$362*$J$362+E$363*$J$363+(D409*$E$357)</f>
        <v>#REF!</v>
      </c>
      <c r="G409" s="862" t="e">
        <f>F409-E409</f>
        <v>#REF!</v>
      </c>
      <c r="H409" s="863" t="e">
        <f>G409/E409</f>
        <v>#REF!</v>
      </c>
    </row>
    <row r="410" spans="2:8" hidden="1" outlineLevel="1">
      <c r="B410" s="852">
        <f>MAX(B401:B409)+1</f>
        <v>42</v>
      </c>
      <c r="C410" s="867">
        <f>MAX(C407:C409)+50000</f>
        <v>450000</v>
      </c>
      <c r="D410" s="852"/>
      <c r="E410" s="862" t="e">
        <f>D$356+(D$368*$C410)+D$364*($C410-$J$360-$J$361-$J$362-$J$363)+D$360*$J$360+D$361*$J$361+D$362*$J$362+D$363*$J$363</f>
        <v>#REF!</v>
      </c>
      <c r="F410" s="862" t="e">
        <f>E$356+(E$368*$C410)+E$364*($C410-$J$360-$J$361-$J$362-$J$363)+E$360*$J$360+E$361*$J$361+E$362*$J$362+E$363*$J$363+(D410*$E$357)</f>
        <v>#REF!</v>
      </c>
      <c r="G410" s="862" t="e">
        <f>F410-E410</f>
        <v>#REF!</v>
      </c>
      <c r="H410" s="863" t="e">
        <f>G410/E410</f>
        <v>#REF!</v>
      </c>
    </row>
    <row r="411" spans="2:8" hidden="1" outlineLevel="1">
      <c r="B411" s="852">
        <f>MAX(B402:B410)+1</f>
        <v>43</v>
      </c>
      <c r="C411" s="867">
        <f>MAX(C408:C410)+50000</f>
        <v>500000</v>
      </c>
      <c r="D411" s="852"/>
      <c r="E411" s="862" t="e">
        <f>D$356+(D$368*$C411)+D$364*($C411-$J$360-$J$361-$J$362-$J$363)+D$360*$J$360+D$361*$J$361+D$362*$J$362+D$363*$J$363</f>
        <v>#REF!</v>
      </c>
      <c r="F411" s="862" t="e">
        <f>E$356+(E$368*$C411)+E$364*($C411-$J$360-$J$361-$J$362-$J$363)+E$360*$J$360+E$361*$J$361+E$362*$J$362+E$363*$J$363+(D411*$E$357)</f>
        <v>#REF!</v>
      </c>
      <c r="G411" s="862" t="e">
        <f>F411-E411</f>
        <v>#REF!</v>
      </c>
      <c r="H411" s="863" t="e">
        <f>G411/E411</f>
        <v>#REF!</v>
      </c>
    </row>
    <row r="412" spans="2:8" hidden="1" outlineLevel="1">
      <c r="B412" s="852"/>
      <c r="C412" s="867"/>
      <c r="E412" s="862"/>
      <c r="F412" s="862"/>
      <c r="G412" s="862"/>
      <c r="H412" s="863"/>
    </row>
    <row r="413" spans="2:8" hidden="1" outlineLevel="1">
      <c r="B413" s="852">
        <f>MAX(B404:B412)+1</f>
        <v>44</v>
      </c>
      <c r="C413" s="867">
        <f>MAX(C410:C412)+100000</f>
        <v>600000</v>
      </c>
      <c r="D413" s="852"/>
      <c r="E413" s="862" t="e">
        <f>D$356+(D$368*$C413)+D$365*($C413-$J$360-$J$361-$J$362-$J$363-$J$364)+(D$360*$J$360)+(D$361*$J$361)+(D$362*$J$362)+(D$363*$J$363)+(D$364*$J$364)</f>
        <v>#REF!</v>
      </c>
      <c r="F413" s="862" t="e">
        <f>E$356+(E$368*$C413)+E$365*($C413-$J$360-$J$361-$J$362-$J$363-$J$364)+(E$360*$J$360)+(E$361*$J$361)+(E$362*$J$362)+(E$363*$J$363)+(E$364*$J$364)+(D413*$E$357)</f>
        <v>#REF!</v>
      </c>
      <c r="G413" s="862" t="e">
        <f>F413-E413</f>
        <v>#REF!</v>
      </c>
      <c r="H413" s="863" t="e">
        <f>G413/E413</f>
        <v>#REF!</v>
      </c>
    </row>
    <row r="414" spans="2:8" hidden="1" outlineLevel="1">
      <c r="B414" s="852">
        <f>MAX(B405:B413)+1</f>
        <v>45</v>
      </c>
      <c r="C414" s="867">
        <f>MAX(C411:C413)+200000</f>
        <v>800000</v>
      </c>
      <c r="D414" s="852"/>
      <c r="E414" s="862" t="e">
        <f>D$356+(D$368*$C414)+D$365*($C414-$J$360-$J$361-$J$362-$J$363-$J$364)+(D$360*$J$360)+(D$361*$J$361)+(D$362*$J$362)+(D$363*$J$363)+(D$364*$J$364)</f>
        <v>#REF!</v>
      </c>
      <c r="F414" s="862" t="e">
        <f>E$356+(E$368*$C414)+E$365*($C414-$J$360-$J$361-$J$362-$J$363-$J$364)+(E$360*$J$360)+(E$361*$J$361)+(E$362*$J$362)+(E$363*$J$363)+(E$364*$J$364)+(D414*$E$357)</f>
        <v>#REF!</v>
      </c>
      <c r="G414" s="862" t="e">
        <f>F414-E414</f>
        <v>#REF!</v>
      </c>
      <c r="H414" s="863" t="e">
        <f>G414/E414</f>
        <v>#REF!</v>
      </c>
    </row>
    <row r="415" spans="2:8" hidden="1" outlineLevel="1">
      <c r="B415" s="852">
        <f>MAX(B406:B414)+1</f>
        <v>46</v>
      </c>
      <c r="C415" s="867">
        <f>MAX(C412:C414)+200000</f>
        <v>1000000</v>
      </c>
      <c r="D415" s="852"/>
      <c r="E415" s="862" t="e">
        <f>D$356+(D$368*$C415)+D$365*($C415-$J$360-$J$361-$J$362-$J$363-$J$364)+(D$360*$J$360)+(D$361*$J$361)+(D$362*$J$362)+(D$363*$J$363)+(D$364*$J$364)</f>
        <v>#REF!</v>
      </c>
      <c r="F415" s="862" t="e">
        <f>E$356+(E$368*$C415)+E$365*($C415-$J$360-$J$361-$J$362-$J$363-$J$364)+(E$360*$J$360)+(E$361*$J$361)+(E$362*$J$362)+(E$363*$J$363)+(E$364*$J$364)+(D415*$E$357)</f>
        <v>#REF!</v>
      </c>
      <c r="G415" s="862" t="e">
        <f>F415-E415</f>
        <v>#REF!</v>
      </c>
      <c r="H415" s="863" t="e">
        <f>G415/E415</f>
        <v>#REF!</v>
      </c>
    </row>
    <row r="416" spans="2:8" hidden="1" outlineLevel="1">
      <c r="B416" s="852"/>
    </row>
    <row r="417" spans="2:7" collapsed="1">
      <c r="B417" s="852"/>
      <c r="C417" s="867"/>
      <c r="D417" s="864"/>
      <c r="E417" s="864"/>
      <c r="F417" s="864"/>
      <c r="G417" s="836"/>
    </row>
  </sheetData>
  <printOptions horizontalCentered="1"/>
  <pageMargins left="0.7" right="0.7" top="0.5" bottom="0.25" header="0.3" footer="0.3"/>
  <pageSetup scale="70" orientation="portrait" r:id="rId1"/>
  <rowBreaks count="6" manualBreakCount="6">
    <brk id="57" max="16383" man="1"/>
    <brk id="126" max="16383" man="1"/>
    <brk id="200" max="16383" man="1"/>
    <brk id="274" max="16383" man="1"/>
    <brk id="345" max="7" man="1"/>
    <brk id="274" max="7"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711C3-5AC1-4987-8C9D-C7C806664B38}">
  <sheetPr codeName="Sheet84">
    <tabColor theme="5" tint="0.79998168889431442"/>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RD WPs ---&gt;</v>
      </c>
    </row>
    <row r="2" spans="1:13">
      <c r="B2" s="1850" t="s">
        <v>2599</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22C0-B8CB-4C4F-8198-970E4E6F8E64}">
  <sheetPr codeName="Sheet47">
    <tabColor theme="8"/>
  </sheetPr>
  <dimension ref="B1:D55"/>
  <sheetViews>
    <sheetView topLeftCell="A20" zoomScale="80" zoomScaleNormal="80" workbookViewId="0">
      <selection activeCell="G53" sqref="G53"/>
    </sheetView>
  </sheetViews>
  <sheetFormatPr defaultColWidth="8.88671875" defaultRowHeight="14.4"/>
  <cols>
    <col min="1" max="1" width="8.88671875" style="384"/>
    <col min="2" max="2" width="46.5546875" style="384" customWidth="1"/>
    <col min="3" max="3" width="8.88671875" style="384"/>
    <col min="4" max="4" width="18.6640625" style="584" customWidth="1"/>
    <col min="5" max="16384" width="8.88671875" style="384"/>
  </cols>
  <sheetData>
    <row r="1" spans="2:4" ht="18">
      <c r="B1" s="1855" t="s">
        <v>52</v>
      </c>
      <c r="C1" s="1855"/>
      <c r="D1" s="1855"/>
    </row>
    <row r="2" spans="2:4">
      <c r="B2" s="1856" t="s">
        <v>2789</v>
      </c>
      <c r="C2" s="1856"/>
      <c r="D2" s="1856"/>
    </row>
    <row r="4" spans="2:4">
      <c r="B4" s="1246"/>
      <c r="C4" s="1247"/>
      <c r="D4" s="1248"/>
    </row>
    <row r="5" spans="2:4" ht="28.8">
      <c r="B5" s="1249" t="s">
        <v>1821</v>
      </c>
      <c r="D5" s="1250">
        <f>'Exh 2, Proof of Revenue'!M589</f>
        <v>109752998.32510225</v>
      </c>
    </row>
    <row r="6" spans="2:4">
      <c r="B6" s="1251" t="s">
        <v>2790</v>
      </c>
      <c r="D6" s="1252"/>
    </row>
    <row r="7" spans="2:4">
      <c r="B7" s="1251"/>
      <c r="D7" s="1253"/>
    </row>
    <row r="8" spans="2:4">
      <c r="B8" s="1249" t="s">
        <v>1820</v>
      </c>
      <c r="D8" s="1250">
        <f>-'Exh 2, Proof of Revenue'!E589</f>
        <v>-98705686.87999998</v>
      </c>
    </row>
    <row r="9" spans="2:4">
      <c r="B9" s="1251" t="s">
        <v>2791</v>
      </c>
      <c r="D9" s="1252"/>
    </row>
    <row r="10" spans="2:4">
      <c r="B10" s="1251"/>
      <c r="D10" s="1253"/>
    </row>
    <row r="11" spans="2:4">
      <c r="B11" s="1249" t="s">
        <v>2342</v>
      </c>
      <c r="D11" s="1250">
        <f>'Exh 2, Proof of Revenue'!M592</f>
        <v>4221975.1099999994</v>
      </c>
    </row>
    <row r="12" spans="2:4">
      <c r="B12" s="1251" t="s">
        <v>2792</v>
      </c>
      <c r="D12" s="1254"/>
    </row>
    <row r="13" spans="2:4">
      <c r="B13" s="1251"/>
      <c r="D13" s="1250"/>
    </row>
    <row r="14" spans="2:4">
      <c r="B14" s="1249" t="s">
        <v>2793</v>
      </c>
      <c r="D14" s="1250">
        <f>'Exh 2, Proof of Revenue'!M593</f>
        <v>-338287.40000000066</v>
      </c>
    </row>
    <row r="15" spans="2:4">
      <c r="B15" s="1251" t="s">
        <v>2794</v>
      </c>
      <c r="D15" s="1252"/>
    </row>
    <row r="16" spans="2:4">
      <c r="B16" s="1251"/>
      <c r="D16" s="1252"/>
    </row>
    <row r="17" spans="2:4" ht="21" customHeight="1">
      <c r="B17" s="1249" t="s">
        <v>2795</v>
      </c>
      <c r="D17" s="1255">
        <f>SUM(D5:D16)</f>
        <v>14930999.155102273</v>
      </c>
    </row>
    <row r="18" spans="2:4">
      <c r="B18" s="1256" t="s">
        <v>2796</v>
      </c>
      <c r="D18" s="1253"/>
    </row>
    <row r="19" spans="2:4">
      <c r="B19" s="1257"/>
      <c r="D19" s="1252"/>
    </row>
    <row r="20" spans="2:4">
      <c r="B20" s="1251" t="s">
        <v>2780</v>
      </c>
      <c r="D20" s="1254">
        <f>'Exh 2, Proof of Revenue'!Q589</f>
        <v>-8223</v>
      </c>
    </row>
    <row r="21" spans="2:4">
      <c r="B21" s="1251" t="s">
        <v>2797</v>
      </c>
      <c r="D21" s="1252"/>
    </row>
    <row r="22" spans="2:4">
      <c r="B22" s="1257"/>
      <c r="D22" s="1252"/>
    </row>
    <row r="23" spans="2:4">
      <c r="B23" s="1258" t="s">
        <v>2798</v>
      </c>
      <c r="D23" s="1259">
        <f>SUM(D17,D20)</f>
        <v>14922776.155102273</v>
      </c>
    </row>
    <row r="24" spans="2:4">
      <c r="B24" s="1260" t="s">
        <v>2799</v>
      </c>
      <c r="D24" s="1252"/>
    </row>
    <row r="25" spans="2:4">
      <c r="B25" s="1261"/>
      <c r="C25" s="1247"/>
      <c r="D25" s="1262"/>
    </row>
    <row r="26" spans="2:4">
      <c r="B26" s="1249" t="s">
        <v>2782</v>
      </c>
      <c r="D26" s="1263">
        <f>'Exh 2, Proof of Revenue'!Y589</f>
        <v>-134104.11531761975</v>
      </c>
    </row>
    <row r="27" spans="2:4">
      <c r="B27" s="1251" t="s">
        <v>2800</v>
      </c>
      <c r="D27" s="1264"/>
    </row>
    <row r="28" spans="2:4">
      <c r="B28" s="1251"/>
      <c r="D28" s="1264"/>
    </row>
    <row r="29" spans="2:4">
      <c r="B29" s="1257" t="s">
        <v>2801</v>
      </c>
      <c r="D29" s="1263">
        <f>'Exh 2, Proof of Revenue'!U589</f>
        <v>1057399.3900221004</v>
      </c>
    </row>
    <row r="30" spans="2:4">
      <c r="B30" s="1251" t="s">
        <v>2802</v>
      </c>
      <c r="D30" s="1255"/>
    </row>
    <row r="31" spans="2:4">
      <c r="B31" s="1251"/>
      <c r="D31" s="1255"/>
    </row>
    <row r="32" spans="2:4">
      <c r="B32" s="1258" t="s">
        <v>2803</v>
      </c>
      <c r="D32" s="1255">
        <f>SUM(D26:D29)</f>
        <v>923295.27470448066</v>
      </c>
    </row>
    <row r="33" spans="2:4">
      <c r="B33" s="1260" t="s">
        <v>2804</v>
      </c>
      <c r="D33" s="1252"/>
    </row>
    <row r="34" spans="2:4">
      <c r="B34" s="1257"/>
      <c r="D34" s="1253"/>
    </row>
    <row r="35" spans="2:4">
      <c r="B35" s="1265"/>
      <c r="C35" s="1266"/>
      <c r="D35" s="1267"/>
    </row>
    <row r="36" spans="2:4">
      <c r="B36" s="1261"/>
      <c r="C36" s="1247"/>
      <c r="D36" s="1262"/>
    </row>
    <row r="37" spans="2:4">
      <c r="B37" s="1249" t="s">
        <v>2805</v>
      </c>
      <c r="D37" s="1250">
        <f>'Exh 2, Proof of Revenue'!AC587</f>
        <v>965833</v>
      </c>
    </row>
    <row r="38" spans="2:4">
      <c r="B38" s="1251" t="s">
        <v>2806</v>
      </c>
      <c r="D38" s="1250"/>
    </row>
    <row r="39" spans="2:4">
      <c r="B39" s="1251"/>
      <c r="D39" s="1250"/>
    </row>
    <row r="40" spans="2:4">
      <c r="B40" s="1249" t="s">
        <v>2807</v>
      </c>
      <c r="D40" s="1250">
        <f>'Exh 2, Proof of Revenue'!AC588</f>
        <v>-3879096.7900000024</v>
      </c>
    </row>
    <row r="41" spans="2:4">
      <c r="B41" s="1251" t="s">
        <v>2808</v>
      </c>
      <c r="D41" s="1268"/>
    </row>
    <row r="42" spans="2:4">
      <c r="B42" s="1251"/>
      <c r="D42" s="1250"/>
    </row>
    <row r="43" spans="2:4">
      <c r="B43" s="1258" t="s">
        <v>2809</v>
      </c>
      <c r="D43" s="1255">
        <f>'Exh 2, Proof of Revenue'!AC589</f>
        <v>-2913263.7900000024</v>
      </c>
    </row>
    <row r="44" spans="2:4">
      <c r="B44" s="1269" t="s">
        <v>2810</v>
      </c>
      <c r="D44" s="1252"/>
    </row>
    <row r="45" spans="2:4">
      <c r="B45" s="1260" t="s">
        <v>2811</v>
      </c>
      <c r="D45" s="1252"/>
    </row>
    <row r="46" spans="2:4">
      <c r="B46" s="1270"/>
      <c r="C46" s="1266"/>
      <c r="D46" s="1271"/>
    </row>
    <row r="47" spans="2:4">
      <c r="B47" s="1246"/>
      <c r="C47" s="1247"/>
      <c r="D47" s="1248"/>
    </row>
    <row r="48" spans="2:4">
      <c r="B48" s="1258" t="s">
        <v>2812</v>
      </c>
      <c r="D48" s="1259">
        <f>'Exh 2, Proof of Revenue'!AG589</f>
        <v>0</v>
      </c>
    </row>
    <row r="49" spans="2:4">
      <c r="B49" s="1269" t="s">
        <v>2813</v>
      </c>
      <c r="D49" s="1252"/>
    </row>
    <row r="50" spans="2:4">
      <c r="B50" s="1260" t="s">
        <v>2814</v>
      </c>
      <c r="D50" s="1252"/>
    </row>
    <row r="51" spans="2:4">
      <c r="B51" s="1270"/>
      <c r="C51" s="1266"/>
      <c r="D51" s="1271"/>
    </row>
    <row r="52" spans="2:4">
      <c r="B52" s="1773"/>
      <c r="C52" s="1774"/>
      <c r="D52" s="1775"/>
    </row>
    <row r="53" spans="2:4">
      <c r="B53" s="1776" t="s">
        <v>3270</v>
      </c>
      <c r="C53" s="613"/>
      <c r="D53" s="1259">
        <f>'Exh 2, Proof of Revenue'!E601</f>
        <v>406245</v>
      </c>
    </row>
    <row r="54" spans="2:4">
      <c r="B54" s="1777" t="s">
        <v>3320</v>
      </c>
      <c r="C54" s="613"/>
      <c r="D54" s="1778"/>
    </row>
    <row r="55" spans="2:4">
      <c r="B55" s="1779"/>
      <c r="C55" s="1729"/>
      <c r="D55" s="1780"/>
    </row>
  </sheetData>
  <mergeCells count="2">
    <mergeCell ref="B1:D1"/>
    <mergeCell ref="B2:D2"/>
  </mergeCells>
  <pageMargins left="0.7" right="0.7" top="1.5" bottom="0.75" header="0.3" footer="0.3"/>
  <pageSetup scale="79" orientation="portrait" r:id="rId1"/>
  <headerFooter scaleWithDoc="0">
    <oddHeader>&amp;RDocket No. UG-200568
Exhibit No. ___ (IDM-8)
Page 1 of 1</oddHeader>
  </headerFooter>
  <cellWatches>
    <cellWatch r="D48"/>
    <cellWatch r="D43"/>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D728-44C2-4EE1-A414-AC4A69EFB39F}">
  <sheetPr codeName="Sheet48">
    <tabColor theme="8"/>
    <pageSetUpPr fitToPage="1"/>
  </sheetPr>
  <dimension ref="A1:W45"/>
  <sheetViews>
    <sheetView tabSelected="1" topLeftCell="A3" zoomScale="80" zoomScaleNormal="80" workbookViewId="0">
      <selection activeCell="Q22" sqref="Q22"/>
    </sheetView>
  </sheetViews>
  <sheetFormatPr defaultColWidth="8.88671875" defaultRowHeight="14.4"/>
  <cols>
    <col min="1" max="1" width="8.88671875" style="384"/>
    <col min="2" max="2" width="28.5546875" style="384" customWidth="1"/>
    <col min="3" max="3" width="15.88671875" style="384" customWidth="1"/>
    <col min="4" max="4" width="28.6640625" style="384" customWidth="1"/>
    <col min="5" max="6" width="8.88671875" style="384"/>
    <col min="7" max="7" width="15.33203125" style="384" bestFit="1" customWidth="1"/>
    <col min="8" max="8" width="15.109375" style="1299" customWidth="1"/>
    <col min="9" max="10" width="11.5546875" style="1299" customWidth="1"/>
    <col min="11" max="11" width="13.6640625" style="1299" customWidth="1"/>
    <col min="12" max="12" width="12.5546875" style="808" customWidth="1"/>
    <col min="13" max="16" width="8.88671875" style="384"/>
    <col min="17" max="17" width="20" style="384" bestFit="1" customWidth="1"/>
    <col min="18" max="22" width="8.88671875" style="384"/>
    <col min="23" max="23" width="10.88671875" style="384" bestFit="1" customWidth="1"/>
    <col min="24" max="16384" width="8.88671875" style="384"/>
  </cols>
  <sheetData>
    <row r="1" spans="1:20">
      <c r="A1" s="1857" t="s">
        <v>52</v>
      </c>
      <c r="B1" s="1858"/>
      <c r="C1" s="1858"/>
      <c r="D1" s="1858"/>
      <c r="E1" s="1858"/>
      <c r="F1" s="1858"/>
      <c r="G1" s="1858"/>
      <c r="H1" s="1858"/>
      <c r="I1" s="1858"/>
      <c r="J1" s="1858"/>
      <c r="K1" s="1858"/>
      <c r="L1" s="1859"/>
    </row>
    <row r="2" spans="1:20">
      <c r="A2" s="1860" t="s">
        <v>2815</v>
      </c>
      <c r="B2" s="1861"/>
      <c r="C2" s="1861"/>
      <c r="D2" s="1861"/>
      <c r="E2" s="1861"/>
      <c r="F2" s="1861"/>
      <c r="G2" s="1861"/>
      <c r="H2" s="1861"/>
      <c r="I2" s="1861"/>
      <c r="J2" s="1861"/>
      <c r="K2" s="1861"/>
      <c r="L2" s="1862"/>
    </row>
    <row r="3" spans="1:20">
      <c r="A3" s="1863"/>
      <c r="B3" s="1864"/>
      <c r="C3" s="1864"/>
      <c r="D3" s="1864"/>
      <c r="E3" s="1864"/>
      <c r="F3" s="1864"/>
      <c r="G3" s="1864"/>
      <c r="H3" s="1864"/>
      <c r="I3" s="1864"/>
      <c r="J3" s="1864"/>
      <c r="K3" s="1864"/>
      <c r="L3" s="1865"/>
    </row>
    <row r="4" spans="1:20" ht="57.6">
      <c r="A4" s="1272" t="s">
        <v>649</v>
      </c>
      <c r="B4" s="1273" t="s">
        <v>2448</v>
      </c>
      <c r="C4" s="1274" t="s">
        <v>2593</v>
      </c>
      <c r="D4" s="1274" t="s">
        <v>2816</v>
      </c>
      <c r="E4" s="1274" t="s">
        <v>2610</v>
      </c>
      <c r="F4" s="1274" t="s">
        <v>2817</v>
      </c>
      <c r="G4" s="1274" t="s">
        <v>2818</v>
      </c>
      <c r="H4" s="1275" t="s">
        <v>2819</v>
      </c>
      <c r="I4" s="1276" t="s">
        <v>2820</v>
      </c>
      <c r="J4" s="1275" t="s">
        <v>2821</v>
      </c>
      <c r="K4" s="1275" t="s">
        <v>2822</v>
      </c>
      <c r="L4" s="1276" t="s">
        <v>2823</v>
      </c>
      <c r="M4" s="1977" t="s">
        <v>733</v>
      </c>
      <c r="N4" s="1977" t="s">
        <v>2696</v>
      </c>
      <c r="O4" s="1978" t="s">
        <v>2339</v>
      </c>
      <c r="P4" s="1808"/>
    </row>
    <row r="5" spans="1:20">
      <c r="A5" s="1277"/>
      <c r="B5" s="1272" t="s">
        <v>97</v>
      </c>
      <c r="C5" s="1272" t="s">
        <v>98</v>
      </c>
      <c r="D5" s="1272" t="s">
        <v>2504</v>
      </c>
      <c r="E5" s="1272" t="s">
        <v>1098</v>
      </c>
      <c r="F5" s="1272" t="s">
        <v>2505</v>
      </c>
      <c r="G5" s="1278" t="s">
        <v>1100</v>
      </c>
      <c r="H5" s="1279" t="s">
        <v>1101</v>
      </c>
      <c r="I5" s="1280" t="s">
        <v>1102</v>
      </c>
      <c r="J5" s="1278" t="s">
        <v>2824</v>
      </c>
      <c r="K5" s="1280" t="s">
        <v>2825</v>
      </c>
      <c r="L5" s="1280" t="s">
        <v>2826</v>
      </c>
      <c r="M5" s="727"/>
      <c r="N5" s="727"/>
      <c r="O5" s="727"/>
    </row>
    <row r="6" spans="1:20">
      <c r="A6" s="1281"/>
      <c r="B6" s="1282" t="s">
        <v>2827</v>
      </c>
      <c r="C6" s="1281"/>
      <c r="D6" s="1281"/>
      <c r="E6" s="1281"/>
      <c r="F6" s="1281"/>
      <c r="G6" s="1281"/>
      <c r="H6" s="1283"/>
      <c r="I6" s="1284"/>
      <c r="J6" s="1284"/>
      <c r="K6" s="1284"/>
      <c r="L6" s="1285"/>
      <c r="M6" s="727"/>
      <c r="N6" s="727"/>
      <c r="O6" s="727"/>
    </row>
    <row r="7" spans="1:20">
      <c r="A7" s="1286">
        <v>1</v>
      </c>
      <c r="B7" s="1286" t="s">
        <v>2828</v>
      </c>
      <c r="C7" s="1287">
        <v>503</v>
      </c>
      <c r="D7" s="1287"/>
      <c r="E7" s="1286">
        <f>'Exh 2, Proof of Revenue'!L13</f>
        <v>0.31073000000000001</v>
      </c>
      <c r="F7" s="1288">
        <f>E7*(1+L8)</f>
        <v>0.30927327776368324</v>
      </c>
      <c r="G7" s="1284">
        <f>'Exh 2, Proof of Revenue'!AE13</f>
        <v>131741687.23064102</v>
      </c>
      <c r="H7" s="1289">
        <f>G7*E7</f>
        <v>40936094.473177083</v>
      </c>
      <c r="I7" s="1284">
        <f>F7*G7</f>
        <v>40744183.42793832</v>
      </c>
      <c r="J7" s="1284"/>
      <c r="K7" s="1284" t="s">
        <v>49</v>
      </c>
      <c r="L7" s="1285" t="s">
        <v>49</v>
      </c>
      <c r="M7" s="727">
        <f>+'Exh 2, Proof of Revenue'!AB8</f>
        <v>3.47E-3</v>
      </c>
      <c r="N7" s="1979">
        <f>+M7+F7</f>
        <v>0.31274327776368321</v>
      </c>
      <c r="O7" s="1979">
        <f>+N7-E7</f>
        <v>2.0132777636832078E-3</v>
      </c>
      <c r="P7" s="1290"/>
    </row>
    <row r="8" spans="1:20">
      <c r="A8" s="1286">
        <v>2</v>
      </c>
      <c r="B8" s="1286" t="s">
        <v>2829</v>
      </c>
      <c r="C8" s="1287"/>
      <c r="D8" s="1287"/>
      <c r="E8" s="1286"/>
      <c r="F8" s="1288"/>
      <c r="G8" s="1284">
        <f>SUM(G7)</f>
        <v>131741687.23064102</v>
      </c>
      <c r="H8" s="1289">
        <f>SUM(H7)</f>
        <v>40936094.473177083</v>
      </c>
      <c r="I8" s="1284">
        <f>SUM(I7)</f>
        <v>40744183.42793832</v>
      </c>
      <c r="J8" s="1291">
        <f>H8/$H$43</f>
        <v>0.49136992075161817</v>
      </c>
      <c r="K8" s="1292">
        <f>J8*$K$43</f>
        <v>-191911.04523875937</v>
      </c>
      <c r="L8" s="1285">
        <f>K8/H8</f>
        <v>-4.6880643527072892E-3</v>
      </c>
      <c r="M8" s="727"/>
      <c r="N8" s="1979"/>
      <c r="O8" s="1979"/>
      <c r="P8" s="1290"/>
      <c r="Q8" s="1293">
        <f>G8/$G$31*$Q$31</f>
        <v>17493875.707760449</v>
      </c>
      <c r="R8" s="384">
        <f>Q8/G8</f>
        <v>0.13278921862548951</v>
      </c>
      <c r="S8" s="384">
        <f>R8*56</f>
        <v>7.4361962430274122</v>
      </c>
      <c r="T8" s="384">
        <f>S8*12</f>
        <v>89.234354916328954</v>
      </c>
    </row>
    <row r="9" spans="1:20">
      <c r="A9" s="1286">
        <v>3</v>
      </c>
      <c r="B9" s="1286"/>
      <c r="C9" s="1287"/>
      <c r="D9" s="1287"/>
      <c r="E9" s="1286"/>
      <c r="F9" s="1288"/>
      <c r="G9" s="1284"/>
      <c r="H9" s="1284"/>
      <c r="I9" s="1284"/>
      <c r="J9" s="1284"/>
      <c r="K9" s="1284"/>
      <c r="L9" s="1285"/>
      <c r="M9" s="727"/>
      <c r="N9" s="1979"/>
      <c r="O9" s="1979"/>
      <c r="P9" s="1290"/>
    </row>
    <row r="10" spans="1:20">
      <c r="A10" s="1286">
        <v>4</v>
      </c>
      <c r="B10" s="1294" t="s">
        <v>2830</v>
      </c>
      <c r="C10" s="1287"/>
      <c r="D10" s="1287"/>
      <c r="E10" s="1286"/>
      <c r="F10" s="1288"/>
      <c r="G10" s="1284"/>
      <c r="H10" s="1284"/>
      <c r="I10" s="1284"/>
      <c r="J10" s="1284"/>
      <c r="K10" s="1284"/>
      <c r="L10" s="1285"/>
      <c r="M10" s="727"/>
      <c r="N10" s="1979"/>
      <c r="O10" s="1979"/>
      <c r="P10" s="1290"/>
    </row>
    <row r="11" spans="1:20">
      <c r="A11" s="1286">
        <v>5</v>
      </c>
      <c r="B11" s="1286" t="s">
        <v>2831</v>
      </c>
      <c r="C11" s="1287">
        <v>504</v>
      </c>
      <c r="D11" s="1287"/>
      <c r="E11" s="1286">
        <f>'Exh 2, Proof of Revenue'!L49</f>
        <v>0.26179999999999998</v>
      </c>
      <c r="F11" s="1288">
        <f>E11*(1+L12)</f>
        <v>0.26057266475246121</v>
      </c>
      <c r="G11" s="1284">
        <f>'Exh 2, Proof of Revenue'!AE49</f>
        <v>93296003.311035588</v>
      </c>
      <c r="H11" s="1289">
        <f>G11*E11</f>
        <v>24424893.666829117</v>
      </c>
      <c r="I11" s="1284">
        <f>F11*G11</f>
        <v>24310388.193510987</v>
      </c>
      <c r="J11" s="1284"/>
      <c r="K11" s="1284"/>
      <c r="L11" s="1285" t="s">
        <v>49</v>
      </c>
      <c r="M11" s="727">
        <f>+'Exh 2, Proof of Revenue'!AB44</f>
        <v>2.2599999999999999E-3</v>
      </c>
      <c r="N11" s="1979">
        <f>+M11+F11</f>
        <v>0.2628326647524612</v>
      </c>
      <c r="O11" s="1979">
        <f t="shared" ref="O11:O37" si="0">+N11-E11</f>
        <v>1.0326647524612209E-3</v>
      </c>
      <c r="P11" s="1290"/>
    </row>
    <row r="12" spans="1:20">
      <c r="A12" s="1286">
        <v>6</v>
      </c>
      <c r="B12" s="1286" t="s">
        <v>2829</v>
      </c>
      <c r="C12" s="1287"/>
      <c r="D12" s="1287"/>
      <c r="E12" s="1286"/>
      <c r="F12" s="1288"/>
      <c r="G12" s="1284">
        <f>SUM(G11)</f>
        <v>93296003.311035588</v>
      </c>
      <c r="H12" s="1289">
        <f>SUM(H11)</f>
        <v>24424893.666829117</v>
      </c>
      <c r="I12" s="1284">
        <f>SUM(I11)</f>
        <v>24310388.193510987</v>
      </c>
      <c r="J12" s="1291">
        <f>H12/$H$43</f>
        <v>0.29318033925538439</v>
      </c>
      <c r="K12" s="1292">
        <f t="shared" ref="K12:K41" si="1">J12*$K$43</f>
        <v>-114505.47331812761</v>
      </c>
      <c r="L12" s="1285">
        <f>K12/H12</f>
        <v>-4.6880643527072892E-3</v>
      </c>
      <c r="M12" s="727"/>
      <c r="N12" s="1979"/>
      <c r="O12" s="1979"/>
      <c r="P12" s="1290"/>
      <c r="Q12" s="1293">
        <f>G12/$G$31*$Q$31</f>
        <v>12388703.380553497</v>
      </c>
      <c r="R12" s="384">
        <f>Q12/G12</f>
        <v>0.13278921862548951</v>
      </c>
    </row>
    <row r="13" spans="1:20">
      <c r="A13" s="1286">
        <v>7</v>
      </c>
      <c r="B13" s="1286"/>
      <c r="C13" s="1287"/>
      <c r="D13" s="1287"/>
      <c r="E13" s="1286"/>
      <c r="F13" s="1288"/>
      <c r="G13" s="1284"/>
      <c r="H13" s="1284"/>
      <c r="I13" s="1284"/>
      <c r="J13" s="1291"/>
      <c r="K13" s="1284"/>
      <c r="L13" s="1285"/>
      <c r="M13" s="727"/>
      <c r="N13" s="1979"/>
      <c r="O13" s="1979"/>
      <c r="P13" s="1290"/>
    </row>
    <row r="14" spans="1:20">
      <c r="A14" s="1286">
        <v>8</v>
      </c>
      <c r="B14" s="1294" t="s">
        <v>2832</v>
      </c>
      <c r="C14" s="1287"/>
      <c r="D14" s="1287"/>
      <c r="E14" s="1286"/>
      <c r="F14" s="1288"/>
      <c r="G14" s="1284"/>
      <c r="H14" s="1284"/>
      <c r="I14" s="1284"/>
      <c r="J14" s="1284"/>
      <c r="K14" s="1284"/>
      <c r="L14" s="1285"/>
      <c r="M14" s="727"/>
      <c r="N14" s="1979"/>
      <c r="O14" s="1979"/>
      <c r="P14" s="1290"/>
    </row>
    <row r="15" spans="1:20">
      <c r="A15" s="1286">
        <v>9</v>
      </c>
      <c r="B15" s="1286" t="s">
        <v>2831</v>
      </c>
      <c r="C15" s="1287">
        <v>505</v>
      </c>
      <c r="D15" s="1287" t="s">
        <v>2833</v>
      </c>
      <c r="E15" s="1286">
        <f>'Exh 2, Proof of Revenue'!L81</f>
        <v>0.20175999999999999</v>
      </c>
      <c r="F15" s="1288">
        <f>E15*(1+L16)</f>
        <v>0.20081413613619778</v>
      </c>
      <c r="G15" s="1284">
        <f>'Exh 2, Proof of Revenue'!AE81</f>
        <v>1796054.322900241</v>
      </c>
      <c r="H15" s="1289">
        <f>G15*E15</f>
        <v>362371.92018835264</v>
      </c>
      <c r="I15" s="1284">
        <f>F15*G15</f>
        <v>360673.09730689554</v>
      </c>
      <c r="J15" s="1291">
        <f>H15/$H$43</f>
        <v>4.3496739001868756E-3</v>
      </c>
      <c r="K15" s="1284">
        <f>J15*$K$43</f>
        <v>-1698.8228814571073</v>
      </c>
      <c r="L15" s="1285">
        <f>K15/H15</f>
        <v>-4.6880643527072901E-3</v>
      </c>
      <c r="M15" s="727">
        <f>+'Exh 2, Proof of Revenue'!AB81</f>
        <v>1.9E-3</v>
      </c>
      <c r="N15" s="1979">
        <f>+M15+F15</f>
        <v>0.20271413613619779</v>
      </c>
      <c r="O15" s="1979">
        <f t="shared" si="0"/>
        <v>9.5413613619779736E-4</v>
      </c>
      <c r="P15" s="1290"/>
    </row>
    <row r="16" spans="1:20">
      <c r="A16" s="1286">
        <v>10</v>
      </c>
      <c r="B16" s="1286"/>
      <c r="C16" s="1287"/>
      <c r="D16" s="1287" t="s">
        <v>2834</v>
      </c>
      <c r="E16" s="1286">
        <f>'Exh 2, Proof of Revenue'!L82</f>
        <v>0.16481000000000001</v>
      </c>
      <c r="F16" s="1288">
        <f>E16*(1+L17)</f>
        <v>0.16403736011403033</v>
      </c>
      <c r="G16" s="1284">
        <f>'Exh 2, Proof of Revenue'!AE82</f>
        <v>5955588.143686397</v>
      </c>
      <c r="H16" s="1289">
        <f>G16*E16</f>
        <v>981540.48196095519</v>
      </c>
      <c r="I16" s="1284">
        <f>F16*G16</f>
        <v>976938.95701673499</v>
      </c>
      <c r="J16" s="1291">
        <f>H16/$H$43</f>
        <v>1.1781765579803443E-2</v>
      </c>
      <c r="K16" s="1284">
        <f t="shared" si="1"/>
        <v>-4601.5249442202867</v>
      </c>
      <c r="L16" s="1285">
        <f>K16/H16</f>
        <v>-4.6880643527072901E-3</v>
      </c>
      <c r="M16" s="727">
        <f>+M15</f>
        <v>1.9E-3</v>
      </c>
      <c r="N16" s="1979">
        <f>+M16+F16</f>
        <v>0.16593736011403035</v>
      </c>
      <c r="O16" s="1979">
        <f t="shared" si="0"/>
        <v>1.1273601140303346E-3</v>
      </c>
      <c r="P16" s="1290"/>
    </row>
    <row r="17" spans="1:18">
      <c r="A17" s="1286">
        <v>11</v>
      </c>
      <c r="B17" s="1286"/>
      <c r="C17" s="1287"/>
      <c r="D17" s="1287" t="s">
        <v>2835</v>
      </c>
      <c r="E17" s="1286">
        <f>'Exh 2, Proof of Revenue'!L83</f>
        <v>0.15923000000000001</v>
      </c>
      <c r="F17" s="1288">
        <f>E17*(1+L18)</f>
        <v>0.15848351951311843</v>
      </c>
      <c r="G17" s="1284">
        <f>'Exh 2, Proof of Revenue'!AE83</f>
        <v>5561734.9161735196</v>
      </c>
      <c r="H17" s="1289">
        <f>G17*E17</f>
        <v>885595.05070230959</v>
      </c>
      <c r="I17" s="1284">
        <f>F17*G17</f>
        <v>881443.32411417807</v>
      </c>
      <c r="J17" s="1291">
        <f>H17/$H$43</f>
        <v>1.0630099805118181E-2</v>
      </c>
      <c r="K17" s="1284">
        <f t="shared" si="1"/>
        <v>-4151.7265881315025</v>
      </c>
      <c r="L17" s="1285">
        <f>K17/H17</f>
        <v>-4.6880643527072901E-3</v>
      </c>
      <c r="M17" s="727">
        <f>+M15</f>
        <v>1.9E-3</v>
      </c>
      <c r="N17" s="1979">
        <f>+M17+F17</f>
        <v>0.16038351951311844</v>
      </c>
      <c r="O17" s="1979">
        <f t="shared" si="0"/>
        <v>1.1535195131184284E-3</v>
      </c>
      <c r="P17" s="1290"/>
    </row>
    <row r="18" spans="1:18">
      <c r="A18" s="1286">
        <v>12</v>
      </c>
      <c r="B18" s="1286" t="s">
        <v>2829</v>
      </c>
      <c r="C18" s="1287"/>
      <c r="D18" s="1287"/>
      <c r="E18" s="1286"/>
      <c r="F18" s="1288"/>
      <c r="G18" s="1284">
        <f>SUM(G15:G17)</f>
        <v>13313377.382760158</v>
      </c>
      <c r="H18" s="1289">
        <f>SUM(H15:H17)</f>
        <v>2229507.4528516172</v>
      </c>
      <c r="I18" s="1284">
        <f>SUM(I15:I17)</f>
        <v>2219055.3784378087</v>
      </c>
      <c r="J18" s="1291">
        <f>H18/$H$43</f>
        <v>2.6761539285108497E-2</v>
      </c>
      <c r="K18" s="1292">
        <f t="shared" si="1"/>
        <v>-10452.074413808896</v>
      </c>
      <c r="L18" s="1285">
        <f>K18/H18</f>
        <v>-4.6880643527072901E-3</v>
      </c>
      <c r="M18" s="727"/>
      <c r="N18" s="1979"/>
      <c r="O18" s="1979"/>
      <c r="P18" s="1290"/>
      <c r="Q18" s="1293">
        <f>G18/$G$31*$Q$31</f>
        <v>1767872.9799229857</v>
      </c>
      <c r="R18" s="384">
        <f>Q18/G18</f>
        <v>0.13278921862548948</v>
      </c>
    </row>
    <row r="19" spans="1:18">
      <c r="A19" s="1286">
        <v>13</v>
      </c>
      <c r="B19" s="1286"/>
      <c r="C19" s="1287"/>
      <c r="D19" s="1287"/>
      <c r="E19" s="1286"/>
      <c r="F19" s="1288"/>
      <c r="G19" s="1284"/>
      <c r="H19" s="1284"/>
      <c r="I19" s="1284"/>
      <c r="J19" s="1284"/>
      <c r="K19" s="1284"/>
      <c r="L19" s="1285"/>
      <c r="M19" s="727"/>
      <c r="N19" s="1979"/>
      <c r="O19" s="1979"/>
      <c r="P19" s="1290"/>
    </row>
    <row r="20" spans="1:18">
      <c r="A20" s="1286">
        <v>14</v>
      </c>
      <c r="B20" s="1294" t="s">
        <v>2836</v>
      </c>
      <c r="C20" s="1287"/>
      <c r="D20" s="1287"/>
      <c r="E20" s="1286"/>
      <c r="F20" s="1288"/>
      <c r="G20" s="1284"/>
      <c r="H20" s="1284"/>
      <c r="I20" s="1284"/>
      <c r="J20" s="1284"/>
      <c r="K20" s="1284"/>
      <c r="L20" s="1285"/>
      <c r="M20" s="727"/>
      <c r="N20" s="1979"/>
      <c r="O20" s="1979"/>
      <c r="P20" s="1290"/>
    </row>
    <row r="21" spans="1:18">
      <c r="A21" s="1286">
        <v>15</v>
      </c>
      <c r="B21" s="1286" t="s">
        <v>2837</v>
      </c>
      <c r="C21" s="1287">
        <v>511</v>
      </c>
      <c r="D21" s="1287" t="s">
        <v>2838</v>
      </c>
      <c r="E21" s="1286">
        <f>'Exh 2, Proof of Revenue'!L116</f>
        <v>0.16113</v>
      </c>
      <c r="F21" s="1288">
        <f>E21*(1+L22)</f>
        <v>0.16037461219084828</v>
      </c>
      <c r="G21" s="1284">
        <f>'Exh 2, Proof of Revenue'!AE116</f>
        <v>9393316.614548726</v>
      </c>
      <c r="H21" s="1289">
        <f>G21*E21</f>
        <v>1513545.1061022361</v>
      </c>
      <c r="I21" s="1284">
        <f>F21*G21</f>
        <v>1506449.5092441039</v>
      </c>
      <c r="J21" s="1291">
        <f>H21/$H$43</f>
        <v>1.8167598751433488E-2</v>
      </c>
      <c r="K21" s="1284">
        <f t="shared" si="1"/>
        <v>-7095.5968581324651</v>
      </c>
      <c r="L21" s="1285">
        <f>K21/H21</f>
        <v>-4.6880643527072892E-3</v>
      </c>
      <c r="M21" s="727">
        <f>+'Exh 2, Proof of Revenue'!AB116</f>
        <v>1.2600000000000001E-3</v>
      </c>
      <c r="N21" s="1979">
        <f>+M21+F21</f>
        <v>0.16163461219084829</v>
      </c>
      <c r="O21" s="1979">
        <f t="shared" si="0"/>
        <v>5.04612190848297E-4</v>
      </c>
      <c r="P21" s="1290"/>
    </row>
    <row r="22" spans="1:18">
      <c r="A22" s="1286">
        <v>16</v>
      </c>
      <c r="B22" s="1286"/>
      <c r="C22" s="1287"/>
      <c r="D22" s="1287" t="s">
        <v>2839</v>
      </c>
      <c r="E22" s="1286">
        <f>'Exh 2, Proof of Revenue'!L117</f>
        <v>0.12471</v>
      </c>
      <c r="F22" s="1288">
        <f>E22*(1+L23)</f>
        <v>0.12412535149457388</v>
      </c>
      <c r="G22" s="1284">
        <f>'Exh 2, Proof of Revenue'!AE117</f>
        <v>4907613.8275464717</v>
      </c>
      <c r="H22" s="1289">
        <f>G22*E22</f>
        <v>612028.52043332055</v>
      </c>
      <c r="I22" s="1284">
        <f>F22*G22</f>
        <v>609159.29134383681</v>
      </c>
      <c r="J22" s="1291">
        <f>H22/$H$43</f>
        <v>7.3463873252516158E-3</v>
      </c>
      <c r="K22" s="1284">
        <f t="shared" si="1"/>
        <v>-2869.2290894836351</v>
      </c>
      <c r="L22" s="1285">
        <f>K22/H22</f>
        <v>-4.6880643527072901E-3</v>
      </c>
      <c r="M22" s="727">
        <f>+M21</f>
        <v>1.2600000000000001E-3</v>
      </c>
      <c r="N22" s="1976">
        <f>+M22+F22</f>
        <v>0.12538535149457389</v>
      </c>
      <c r="O22" s="1976">
        <f t="shared" si="0"/>
        <v>6.7535149457388644E-4</v>
      </c>
      <c r="P22" s="1290"/>
    </row>
    <row r="23" spans="1:18">
      <c r="A23" s="1286">
        <v>17</v>
      </c>
      <c r="B23" s="1286"/>
      <c r="C23" s="1287"/>
      <c r="D23" s="1287" t="s">
        <v>2840</v>
      </c>
      <c r="E23" s="1286">
        <f>'Exh 2, Proof of Revenue'!L118</f>
        <v>3.4639999999999997E-2</v>
      </c>
      <c r="F23" s="1288">
        <f>E23*(1+L24)</f>
        <v>3.4477605450822214E-2</v>
      </c>
      <c r="G23" s="1284">
        <f>'Exh 2, Proof of Revenue'!AE118</f>
        <v>1204028.6422506776</v>
      </c>
      <c r="H23" s="1289">
        <f>G23*E23</f>
        <v>41707.552167563466</v>
      </c>
      <c r="I23" s="1284">
        <f>F23*G23</f>
        <v>41512.024479008032</v>
      </c>
      <c r="J23" s="1291">
        <f>H23/$H$43</f>
        <v>5.0062999089344005E-4</v>
      </c>
      <c r="K23" s="1284">
        <f t="shared" si="1"/>
        <v>-195.52768855543397</v>
      </c>
      <c r="L23" s="1285">
        <f>K23/H23</f>
        <v>-4.6880643527072901E-3</v>
      </c>
      <c r="M23" s="727">
        <f>+M21</f>
        <v>1.2600000000000001E-3</v>
      </c>
      <c r="N23" s="1979">
        <f>+M23+F23</f>
        <v>3.5737605450822212E-2</v>
      </c>
      <c r="O23" s="1979">
        <f t="shared" si="0"/>
        <v>1.0976054508222144E-3</v>
      </c>
      <c r="P23" s="1290"/>
    </row>
    <row r="24" spans="1:18">
      <c r="A24" s="1286">
        <v>18</v>
      </c>
      <c r="B24" s="1286" t="s">
        <v>2841</v>
      </c>
      <c r="C24" s="1287"/>
      <c r="D24" s="1287"/>
      <c r="E24" s="1286"/>
      <c r="F24" s="1288"/>
      <c r="G24" s="1284">
        <f>SUM(G21:G23)</f>
        <v>15504959.084345875</v>
      </c>
      <c r="H24" s="1289">
        <f>SUM(H21:H23)</f>
        <v>2167281.17870312</v>
      </c>
      <c r="I24" s="1284">
        <f>SUM(I21:I23)</f>
        <v>2157120.8250669488</v>
      </c>
      <c r="J24" s="1291">
        <f>H24/$H$43</f>
        <v>2.6014616067578544E-2</v>
      </c>
      <c r="K24" s="1292">
        <f t="shared" si="1"/>
        <v>-10160.353636171534</v>
      </c>
      <c r="L24" s="1285">
        <f>K24/H24</f>
        <v>-4.6880643527072901E-3</v>
      </c>
      <c r="M24" s="727"/>
      <c r="N24" s="1979"/>
      <c r="O24" s="1979"/>
      <c r="P24" s="1290"/>
      <c r="Q24" s="1293">
        <f>G24/$G$31*$Q$31</f>
        <v>2058891.401630474</v>
      </c>
      <c r="R24" s="384">
        <f>Q24/G24</f>
        <v>0.13278921862548951</v>
      </c>
    </row>
    <row r="25" spans="1:18">
      <c r="A25" s="1286">
        <v>19</v>
      </c>
      <c r="B25" s="1286"/>
      <c r="C25" s="1287"/>
      <c r="D25" s="1287"/>
      <c r="E25" s="1286"/>
      <c r="F25" s="1288"/>
      <c r="G25" s="1284"/>
      <c r="H25" s="1284"/>
      <c r="I25" s="1284"/>
      <c r="J25" s="1291"/>
      <c r="K25" s="1284"/>
      <c r="L25" s="1285"/>
      <c r="M25" s="727"/>
      <c r="N25" s="1979"/>
      <c r="O25" s="1979"/>
      <c r="P25" s="1290"/>
    </row>
    <row r="26" spans="1:18">
      <c r="A26" s="1286">
        <v>20</v>
      </c>
      <c r="B26" s="1294" t="s">
        <v>2842</v>
      </c>
      <c r="C26" s="1287"/>
      <c r="D26" s="1287"/>
      <c r="E26" s="1286"/>
      <c r="F26" s="1288"/>
      <c r="G26" s="1284"/>
      <c r="H26" s="1284"/>
      <c r="I26" s="1284"/>
      <c r="J26" s="1284"/>
      <c r="K26" s="1284"/>
      <c r="L26" s="1285"/>
      <c r="M26" s="727"/>
      <c r="N26" s="1979"/>
      <c r="O26" s="1979"/>
      <c r="P26" s="1290"/>
    </row>
    <row r="27" spans="1:18">
      <c r="A27" s="1286">
        <v>21</v>
      </c>
      <c r="B27" s="1286" t="s">
        <v>2843</v>
      </c>
      <c r="C27" s="1287">
        <v>570</v>
      </c>
      <c r="D27" s="1287" t="s">
        <v>2844</v>
      </c>
      <c r="E27" s="1286">
        <f>'Exh 2, Proof of Revenue'!L283</f>
        <v>8.9639999999999997E-2</v>
      </c>
      <c r="F27" s="1288">
        <f>E27*(1+L28)</f>
        <v>8.921976191142332E-2</v>
      </c>
      <c r="G27" s="1284">
        <f>'Exh 2, Proof of Revenue'!S283</f>
        <v>1301512.7114810457</v>
      </c>
      <c r="H27" s="1289">
        <f>G27*E27</f>
        <v>116667.59945716093</v>
      </c>
      <c r="I27" s="1284">
        <f>F27*G27</f>
        <v>116120.65424302989</v>
      </c>
      <c r="J27" s="1291">
        <f>H27/$H$43</f>
        <v>1.4004010357438848E-3</v>
      </c>
      <c r="K27" s="1284">
        <f t="shared" si="1"/>
        <v>-546.94521413104849</v>
      </c>
      <c r="L27" s="1285">
        <f>K27/H27</f>
        <v>-4.6880643527072892E-3</v>
      </c>
      <c r="M27" s="727">
        <f>+'Exh 2, Proof of Revenue'!AB283</f>
        <v>1.1900000000000001E-3</v>
      </c>
      <c r="N27" s="1979">
        <f>+M27+F27</f>
        <v>9.0409761911423317E-2</v>
      </c>
      <c r="O27" s="1979">
        <f t="shared" si="0"/>
        <v>7.6976191142331951E-4</v>
      </c>
      <c r="P27" s="1290"/>
    </row>
    <row r="28" spans="1:18">
      <c r="A28" s="1286">
        <v>22</v>
      </c>
      <c r="B28" s="1286"/>
      <c r="C28" s="1287"/>
      <c r="D28" s="1287" t="s">
        <v>2845</v>
      </c>
      <c r="E28" s="1286">
        <f>'Exh 2, Proof of Revenue'!L284</f>
        <v>2.8170000000000001E-2</v>
      </c>
      <c r="F28" s="1288">
        <f>E28*(1+L29)</f>
        <v>2.8037937227184236E-2</v>
      </c>
      <c r="G28" s="1284">
        <f>'Exh 2, Proof of Revenue'!S284</f>
        <v>1032498.538383325</v>
      </c>
      <c r="H28" s="1289">
        <f>G28*E28</f>
        <v>29085.483826258267</v>
      </c>
      <c r="I28" s="1284">
        <f>F28*G28</f>
        <v>28949.129206351139</v>
      </c>
      <c r="J28" s="1291">
        <f>H28/$H$43</f>
        <v>3.49122994429659E-4</v>
      </c>
      <c r="K28" s="1284">
        <f t="shared" si="1"/>
        <v>-136.35461990712579</v>
      </c>
      <c r="L28" s="1285">
        <f>K28/H28</f>
        <v>-4.6880643527072892E-3</v>
      </c>
      <c r="M28" s="727">
        <f>+M27</f>
        <v>1.1900000000000001E-3</v>
      </c>
      <c r="N28" s="1979">
        <f>+M28+F28</f>
        <v>2.9227937227184236E-2</v>
      </c>
      <c r="O28" s="1979">
        <f t="shared" si="0"/>
        <v>1.0579372271842351E-3</v>
      </c>
      <c r="P28" s="1290"/>
    </row>
    <row r="29" spans="1:18">
      <c r="A29" s="1286">
        <v>23</v>
      </c>
      <c r="B29" s="1286" t="s">
        <v>2829</v>
      </c>
      <c r="C29" s="1287"/>
      <c r="D29" s="1287"/>
      <c r="E29" s="1286"/>
      <c r="F29" s="1288"/>
      <c r="G29" s="1284">
        <f>SUM(G27:G28)</f>
        <v>2334011.2498643706</v>
      </c>
      <c r="H29" s="1289">
        <f>SUM(H27:H28)</f>
        <v>145753.0832834192</v>
      </c>
      <c r="I29" s="1284">
        <f>SUM(I27:I28)</f>
        <v>145069.78344938104</v>
      </c>
      <c r="J29" s="1291">
        <f>H29/$H$43</f>
        <v>1.7495240301735437E-3</v>
      </c>
      <c r="K29" s="1292">
        <f t="shared" si="1"/>
        <v>-683.29983403817425</v>
      </c>
      <c r="L29" s="1285">
        <f>K29/H29</f>
        <v>-4.6880643527072892E-3</v>
      </c>
      <c r="M29" s="727"/>
      <c r="N29" s="1979"/>
      <c r="O29" s="1979"/>
      <c r="P29" s="1290"/>
      <c r="Q29" s="1293">
        <f>G29/$G$31*$Q$31</f>
        <v>309931.5301325919</v>
      </c>
      <c r="R29" s="384">
        <f>Q29/G29</f>
        <v>0.13278921862548951</v>
      </c>
    </row>
    <row r="30" spans="1:18">
      <c r="A30" s="1286">
        <v>24</v>
      </c>
      <c r="B30" s="1286"/>
      <c r="C30" s="1287"/>
      <c r="D30" s="1287"/>
      <c r="E30" s="1286"/>
      <c r="F30" s="1288"/>
      <c r="G30" s="1284"/>
      <c r="H30" s="1284"/>
      <c r="I30" s="1284"/>
      <c r="J30" s="1291"/>
      <c r="K30" s="1284"/>
      <c r="L30" s="1285"/>
      <c r="M30" s="727"/>
      <c r="N30" s="1979"/>
      <c r="O30" s="1979"/>
      <c r="P30" s="1290"/>
    </row>
    <row r="31" spans="1:18">
      <c r="A31" s="1286">
        <v>25</v>
      </c>
      <c r="B31" s="1294" t="s">
        <v>2846</v>
      </c>
      <c r="C31" s="1287"/>
      <c r="D31" s="1287"/>
      <c r="E31" s="1286"/>
      <c r="F31" s="1288"/>
      <c r="G31" s="1292">
        <f>G8+G12+G24+G18+G29</f>
        <v>256190038.25864702</v>
      </c>
      <c r="H31" s="1292">
        <f>H8+H12+H24+H18+H29</f>
        <v>69903529.854844362</v>
      </c>
      <c r="I31" s="1292">
        <f>I8+I12+I24+I18+I29</f>
        <v>69575817.608403444</v>
      </c>
      <c r="J31" s="1295">
        <f>H31/$H$43</f>
        <v>0.83907593938986325</v>
      </c>
      <c r="K31" s="1292">
        <f t="shared" si="1"/>
        <v>-327712.24644090561</v>
      </c>
      <c r="L31" s="1296">
        <f>K31/H31</f>
        <v>-4.6880643527072892E-3</v>
      </c>
      <c r="M31" s="727"/>
      <c r="N31" s="1979"/>
      <c r="O31" s="1979"/>
      <c r="P31" s="1290"/>
      <c r="Q31" s="384">
        <f>25*1360771</f>
        <v>34019275</v>
      </c>
    </row>
    <row r="32" spans="1:18">
      <c r="A32" s="1286">
        <v>26</v>
      </c>
      <c r="B32" s="1286"/>
      <c r="C32" s="1287"/>
      <c r="D32" s="1287"/>
      <c r="E32" s="1286"/>
      <c r="F32" s="1288"/>
      <c r="G32" s="1286"/>
      <c r="H32" s="1284"/>
      <c r="I32" s="1284"/>
      <c r="J32" s="1284"/>
      <c r="K32" s="1284"/>
      <c r="L32" s="1285"/>
      <c r="M32" s="727"/>
      <c r="N32" s="1979"/>
      <c r="O32" s="1979"/>
      <c r="P32" s="1290"/>
      <c r="Q32" s="1790">
        <f>Q31/G31</f>
        <v>0.13278921862548951</v>
      </c>
    </row>
    <row r="33" spans="1:23">
      <c r="A33" s="1286">
        <v>27</v>
      </c>
      <c r="B33" s="1294" t="s">
        <v>2847</v>
      </c>
      <c r="C33" s="1287"/>
      <c r="D33" s="1287"/>
      <c r="E33" s="1286"/>
      <c r="F33" s="1288"/>
      <c r="G33" s="1286"/>
      <c r="H33" s="1284"/>
      <c r="I33" s="1284"/>
      <c r="J33" s="1284"/>
      <c r="K33" s="1284"/>
      <c r="L33" s="1285"/>
      <c r="M33" s="727"/>
      <c r="N33" s="1979"/>
      <c r="O33" s="1979"/>
      <c r="P33" s="1290"/>
    </row>
    <row r="34" spans="1:23">
      <c r="A34" s="1286">
        <v>28</v>
      </c>
      <c r="B34" s="1286" t="s">
        <v>2848</v>
      </c>
      <c r="C34" s="1287">
        <v>663</v>
      </c>
      <c r="D34" s="1287" t="s">
        <v>2849</v>
      </c>
      <c r="E34" s="1286">
        <f>'Exh 2, Proof of Revenue'!L317</f>
        <v>5.9889999999999999E-2</v>
      </c>
      <c r="F34" s="1288">
        <f>E34*(1+L35)</f>
        <v>5.9609231825916362E-2</v>
      </c>
      <c r="G34" s="1297">
        <f>'Exh 2, Proof of Revenue'!S317+'Exh 2, Proof of Revenue'!W317</f>
        <v>125670307.7394866</v>
      </c>
      <c r="H34" s="1289">
        <f>G34*E34</f>
        <v>7526394.7305178531</v>
      </c>
      <c r="I34" s="1284">
        <f>F34*G34</f>
        <v>7491110.5076773083</v>
      </c>
      <c r="J34" s="1291">
        <f>H34/$H$43</f>
        <v>9.0341886051274065E-2</v>
      </c>
      <c r="K34" s="1284">
        <f>J34*$K$43</f>
        <v>-35284.222840544731</v>
      </c>
      <c r="L34" s="1285">
        <f>K34/H34</f>
        <v>-4.6880643527072892E-3</v>
      </c>
      <c r="M34" s="727">
        <f>+'Exh 2, Proof of Revenue'!AB317</f>
        <v>3.8999999999999999E-4</v>
      </c>
      <c r="N34" s="1979">
        <f>+M34+F34</f>
        <v>5.9999231825916363E-2</v>
      </c>
      <c r="O34" s="1979">
        <f t="shared" si="0"/>
        <v>1.0923182591636438E-4</v>
      </c>
      <c r="P34" s="1290"/>
    </row>
    <row r="35" spans="1:23">
      <c r="A35" s="1286">
        <v>29</v>
      </c>
      <c r="B35" s="1286"/>
      <c r="C35" s="1287"/>
      <c r="D35" s="1287" t="s">
        <v>2850</v>
      </c>
      <c r="E35" s="1286">
        <f>'Exh 2, Proof of Revenue'!L318</f>
        <v>2.3029999999999998E-2</v>
      </c>
      <c r="F35" s="1288">
        <f>E35*(1+L36)</f>
        <v>2.2922033877957149E-2</v>
      </c>
      <c r="G35" s="1297">
        <f>'Exh 2, Proof of Revenue'!S318+'Exh 2, Proof of Revenue'!W318</f>
        <v>99243995.968259618</v>
      </c>
      <c r="H35" s="1289">
        <f>G35*E35</f>
        <v>2285589.227149019</v>
      </c>
      <c r="I35" s="1284">
        <f>F35*G35</f>
        <v>2274874.2377682896</v>
      </c>
      <c r="J35" s="1291">
        <f>H35/$H$43</f>
        <v>2.743470797271207E-2</v>
      </c>
      <c r="K35" s="1284">
        <f t="shared" si="1"/>
        <v>-10714.989380729121</v>
      </c>
      <c r="L35" s="1285">
        <f>K35/H35</f>
        <v>-4.6880643527072901E-3</v>
      </c>
      <c r="M35" s="727">
        <f>+M34</f>
        <v>3.8999999999999999E-4</v>
      </c>
      <c r="N35" s="1979">
        <f>+M35+F35</f>
        <v>2.3312033877957151E-2</v>
      </c>
      <c r="O35" s="1979">
        <f t="shared" si="0"/>
        <v>2.820338779571524E-4</v>
      </c>
      <c r="P35" s="1290"/>
    </row>
    <row r="36" spans="1:23">
      <c r="A36" s="1286">
        <v>30</v>
      </c>
      <c r="B36" s="1286"/>
      <c r="C36" s="1287"/>
      <c r="D36" s="1287" t="s">
        <v>2850</v>
      </c>
      <c r="E36" s="1286">
        <f>'Exh 2, Proof of Revenue'!L319</f>
        <v>1.473E-2</v>
      </c>
      <c r="F36" s="1288">
        <f>E36*(1+L37)</f>
        <v>1.4660944812084622E-2</v>
      </c>
      <c r="G36" s="1297">
        <f>'Exh 2, Proof of Revenue'!S319+'Exh 2, Proof of Revenue'!W319</f>
        <v>36535700.346506834</v>
      </c>
      <c r="H36" s="1289">
        <f>G36*E36</f>
        <v>538170.86610404565</v>
      </c>
      <c r="I36" s="1284">
        <f>F36*G36</f>
        <v>535647.88645099767</v>
      </c>
      <c r="J36" s="1291">
        <f>H36/$H$43</f>
        <v>6.4598486795472542E-3</v>
      </c>
      <c r="K36" s="1284">
        <f t="shared" si="1"/>
        <v>-2522.9796530479844</v>
      </c>
      <c r="L36" s="1285">
        <f>K36/H36</f>
        <v>-4.6880643527072901E-3</v>
      </c>
      <c r="M36" s="727">
        <f>+M35</f>
        <v>3.8999999999999999E-4</v>
      </c>
      <c r="N36" s="1979">
        <f>+M36+F36</f>
        <v>1.5050944812084622E-2</v>
      </c>
      <c r="O36" s="1979">
        <f t="shared" si="0"/>
        <v>3.2094481208462186E-4</v>
      </c>
      <c r="P36" s="1290"/>
    </row>
    <row r="37" spans="1:23">
      <c r="A37" s="1286">
        <v>31</v>
      </c>
      <c r="B37" s="1286"/>
      <c r="C37" s="1287"/>
      <c r="D37" s="1287" t="s">
        <v>2851</v>
      </c>
      <c r="E37" s="1286">
        <f>'Exh 2, Proof of Revenue'!L320</f>
        <v>7.9799999999999992E-3</v>
      </c>
      <c r="F37" s="1288">
        <f>E37*(1+L38)</f>
        <v>7.9425892464653949E-3</v>
      </c>
      <c r="G37" s="1297">
        <f>'Exh 2, Proof of Revenue'!S320+'Exh 2, Proof of Revenue'!W320+'Exh 2, Proof of Revenue'!AE320</f>
        <v>383013835.04329479</v>
      </c>
      <c r="H37" s="1289">
        <f>G37*E37</f>
        <v>3056450.4036454922</v>
      </c>
      <c r="I37" s="1284">
        <f>F37*G37</f>
        <v>3042121.5674623437</v>
      </c>
      <c r="J37" s="1291">
        <f>H37/$H$43</f>
        <v>3.6687617906603326E-2</v>
      </c>
      <c r="K37" s="1284">
        <f t="shared" si="1"/>
        <v>-14328.83618314824</v>
      </c>
      <c r="L37" s="1285">
        <f>K37/H37</f>
        <v>-4.6880643527072901E-3</v>
      </c>
      <c r="M37" s="727">
        <f>+M36</f>
        <v>3.8999999999999999E-4</v>
      </c>
      <c r="N37" s="1979">
        <f>+M37+F37</f>
        <v>8.3325892464653946E-3</v>
      </c>
      <c r="O37" s="1979">
        <f t="shared" si="0"/>
        <v>3.5258924646539534E-4</v>
      </c>
      <c r="P37" s="1290"/>
    </row>
    <row r="38" spans="1:23">
      <c r="A38" s="1286">
        <v>32</v>
      </c>
      <c r="B38" s="1286" t="s">
        <v>51</v>
      </c>
      <c r="C38" s="1287"/>
      <c r="D38" s="1287"/>
      <c r="E38" s="1286"/>
      <c r="F38" s="1288"/>
      <c r="G38" s="1284">
        <f>SUM(G34:G37)</f>
        <v>644463839.09754777</v>
      </c>
      <c r="H38" s="1289">
        <f>SUM(H34:H37)</f>
        <v>13406605.227416411</v>
      </c>
      <c r="I38" s="1284">
        <f>SUM(I34:I37)</f>
        <v>13343754.19935894</v>
      </c>
      <c r="J38" s="1291">
        <f>H38/$H$43</f>
        <v>0.16092406061013673</v>
      </c>
      <c r="K38" s="1292">
        <f>J38*$K$43</f>
        <v>-62851.028057470081</v>
      </c>
      <c r="L38" s="1285">
        <f>K38/H38</f>
        <v>-4.6880643527072892E-3</v>
      </c>
      <c r="M38" s="727"/>
      <c r="N38" s="1979"/>
      <c r="O38" s="1979"/>
      <c r="P38" s="1290"/>
    </row>
    <row r="39" spans="1:23">
      <c r="A39" s="1286">
        <v>33</v>
      </c>
      <c r="B39" s="1286"/>
      <c r="C39" s="1287"/>
      <c r="D39" s="1287"/>
      <c r="E39" s="1286"/>
      <c r="F39" s="1288"/>
      <c r="H39" s="1284"/>
      <c r="I39" s="1284"/>
      <c r="J39" s="1284"/>
      <c r="K39" s="1284"/>
      <c r="L39" s="1285"/>
      <c r="M39" s="727"/>
      <c r="N39" s="1979"/>
      <c r="O39" s="1979"/>
      <c r="P39" s="1290"/>
    </row>
    <row r="40" spans="1:23">
      <c r="A40" s="1286">
        <v>34</v>
      </c>
      <c r="C40" s="1298"/>
      <c r="D40" s="1286"/>
      <c r="E40" s="1286"/>
      <c r="F40" s="1286"/>
      <c r="H40" s="384"/>
      <c r="I40" s="1284"/>
      <c r="K40" s="1284"/>
      <c r="L40" s="1285"/>
      <c r="M40" s="727"/>
      <c r="N40" s="1979"/>
      <c r="O40" s="1979"/>
      <c r="P40" s="1290"/>
      <c r="W40" s="1299"/>
    </row>
    <row r="41" spans="1:23">
      <c r="A41" s="1286">
        <v>35</v>
      </c>
      <c r="B41" s="1294" t="s">
        <v>2852</v>
      </c>
      <c r="C41" s="1286"/>
      <c r="D41" s="1286"/>
      <c r="E41" s="1286"/>
      <c r="F41" s="1286"/>
      <c r="G41" s="1292">
        <f>SUM(G38:G39)</f>
        <v>644463839.09754777</v>
      </c>
      <c r="H41" s="1292">
        <f>SUM(H38:H39)</f>
        <v>13406605.227416411</v>
      </c>
      <c r="I41" s="1292">
        <f>+I38</f>
        <v>13343754.19935894</v>
      </c>
      <c r="J41" s="1295">
        <f>H41/$H$43</f>
        <v>0.16092406061013673</v>
      </c>
      <c r="K41" s="1292">
        <f t="shared" si="1"/>
        <v>-62851.028057470081</v>
      </c>
      <c r="L41" s="1296">
        <f>K41/H41</f>
        <v>-4.6880643527072892E-3</v>
      </c>
      <c r="M41" s="727"/>
      <c r="N41" s="1979"/>
      <c r="O41" s="1979"/>
      <c r="P41" s="1290"/>
    </row>
    <row r="42" spans="1:23" ht="15" thickBot="1">
      <c r="A42" s="1286">
        <v>36</v>
      </c>
      <c r="B42" s="1294"/>
      <c r="C42" s="1286"/>
      <c r="D42" s="1286"/>
      <c r="E42" s="1286"/>
      <c r="F42" s="1286"/>
      <c r="G42" s="1284"/>
      <c r="H42" s="1284"/>
      <c r="I42" s="1284"/>
      <c r="J42" s="1291"/>
      <c r="K42" s="1300"/>
      <c r="L42" s="1285"/>
      <c r="M42" s="727"/>
      <c r="N42" s="1979"/>
      <c r="O42" s="1979"/>
      <c r="P42" s="1290"/>
    </row>
    <row r="43" spans="1:23">
      <c r="A43" s="1286">
        <v>37</v>
      </c>
      <c r="B43" s="1301" t="s">
        <v>51</v>
      </c>
      <c r="C43" s="1277"/>
      <c r="D43" s="1277"/>
      <c r="E43" s="1277"/>
      <c r="F43" s="1277"/>
      <c r="G43" s="1302">
        <f>G31+G41</f>
        <v>900653877.35619473</v>
      </c>
      <c r="H43" s="1302">
        <f>H31+H41</f>
        <v>83310135.082260773</v>
      </c>
      <c r="I43" s="1302">
        <f>+I31+I41</f>
        <v>82919571.807762384</v>
      </c>
      <c r="J43" s="1303">
        <f>J31+J41</f>
        <v>1</v>
      </c>
      <c r="K43" s="1848">
        <f>'Exh 6, ROO Summary'!T14</f>
        <v>-390563.27449837571</v>
      </c>
      <c r="L43" s="1304">
        <f>K43/H43</f>
        <v>-4.6880643527072901E-3</v>
      </c>
      <c r="M43" s="727"/>
      <c r="N43" s="727"/>
      <c r="O43" s="727"/>
    </row>
    <row r="44" spans="1:23">
      <c r="A44" s="1286">
        <v>38</v>
      </c>
      <c r="K44" s="1305" t="s">
        <v>2853</v>
      </c>
      <c r="L44" s="1306"/>
      <c r="M44" s="727"/>
      <c r="N44" s="727"/>
      <c r="O44" s="727"/>
    </row>
    <row r="45" spans="1:23">
      <c r="A45" s="1307">
        <v>39</v>
      </c>
      <c r="B45" s="1266"/>
      <c r="C45" s="1266"/>
      <c r="D45" s="1266"/>
      <c r="E45" s="1266"/>
      <c r="F45" s="1266"/>
      <c r="G45" s="1266"/>
      <c r="H45" s="1308"/>
      <c r="I45" s="1308"/>
      <c r="J45" s="1308"/>
      <c r="K45" s="1309" t="s">
        <v>2854</v>
      </c>
      <c r="L45" s="1310"/>
      <c r="M45" s="727"/>
      <c r="N45" s="727"/>
      <c r="O45" s="727"/>
    </row>
  </sheetData>
  <mergeCells count="3">
    <mergeCell ref="A1:L1"/>
    <mergeCell ref="A2:L2"/>
    <mergeCell ref="A3:L3"/>
  </mergeCells>
  <pageMargins left="0.7" right="0.7" top="1.5" bottom="0.75" header="0.3" footer="0.3"/>
  <pageSetup scale="50" fitToHeight="0" orientation="portrait" r:id="rId1"/>
  <headerFooter scaleWithDoc="0">
    <oddHeader>&amp;RDocket No. UG-200568
Exhibit No. ___ (IDM-9)
Page 1 of 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F7BB-2E9C-4EAA-A80E-308AAF384945}">
  <sheetPr codeName="Sheet49">
    <tabColor theme="8"/>
    <pageSetUpPr fitToPage="1"/>
  </sheetPr>
  <dimension ref="A3:T66"/>
  <sheetViews>
    <sheetView topLeftCell="A26" zoomScale="80" zoomScaleNormal="80" workbookViewId="0">
      <selection activeCell="G14" sqref="G14"/>
    </sheetView>
  </sheetViews>
  <sheetFormatPr defaultColWidth="12.33203125" defaultRowHeight="14.4"/>
  <cols>
    <col min="1" max="1" width="3.6640625" style="584" bestFit="1" customWidth="1"/>
    <col min="2" max="2" width="17.33203125" style="584" bestFit="1" customWidth="1"/>
    <col min="3" max="3" width="2.88671875" style="384" bestFit="1" customWidth="1"/>
    <col min="4" max="4" width="22.6640625" style="384" bestFit="1" customWidth="1"/>
    <col min="5" max="5" width="16.6640625" style="384" customWidth="1"/>
    <col min="6" max="6" width="16.44140625" style="384" customWidth="1"/>
    <col min="7" max="7" width="16.6640625" style="384" customWidth="1"/>
    <col min="8" max="9" width="16.33203125" style="384" customWidth="1"/>
    <col min="10" max="10" width="20.109375" style="384" bestFit="1" customWidth="1"/>
    <col min="11" max="11" width="13.33203125" style="384" bestFit="1" customWidth="1"/>
    <col min="12" max="12" width="18" style="384" customWidth="1"/>
    <col min="13" max="13" width="16" style="384" customWidth="1"/>
    <col min="14" max="14" width="19.5546875" style="384" customWidth="1"/>
    <col min="15" max="15" width="16.109375" style="384" customWidth="1"/>
    <col min="16" max="16" width="6.33203125" style="384" customWidth="1"/>
    <col min="17" max="17" width="12.33203125" style="384"/>
    <col min="18" max="18" width="2.6640625" style="384" bestFit="1" customWidth="1"/>
    <col min="19" max="16384" width="12.33203125" style="384"/>
  </cols>
  <sheetData>
    <row r="3" spans="1:14" ht="15" thickBot="1"/>
    <row r="4" spans="1:14" ht="6.75" customHeight="1">
      <c r="B4" s="1343"/>
      <c r="C4" s="1344"/>
      <c r="D4" s="1344"/>
      <c r="E4" s="1344"/>
      <c r="F4" s="1344"/>
      <c r="G4" s="1344"/>
      <c r="H4" s="1344"/>
      <c r="I4" s="1344"/>
      <c r="J4" s="1345"/>
    </row>
    <row r="5" spans="1:14" s="584" customFormat="1" ht="18" customHeight="1">
      <c r="B5" s="1346" t="s">
        <v>778</v>
      </c>
      <c r="C5" s="584" t="s">
        <v>776</v>
      </c>
      <c r="D5" s="584" t="s">
        <v>777</v>
      </c>
      <c r="E5" s="584" t="s">
        <v>780</v>
      </c>
      <c r="F5" s="584" t="s">
        <v>781</v>
      </c>
      <c r="G5" s="584" t="s">
        <v>782</v>
      </c>
      <c r="H5" s="584" t="s">
        <v>783</v>
      </c>
      <c r="I5" s="584" t="s">
        <v>784</v>
      </c>
      <c r="J5" s="1347" t="s">
        <v>785</v>
      </c>
    </row>
    <row r="6" spans="1:14" ht="15" customHeight="1">
      <c r="B6" s="1866" t="s">
        <v>2856</v>
      </c>
      <c r="C6" s="1861"/>
      <c r="D6" s="1861"/>
      <c r="E6" s="1861"/>
      <c r="F6" s="1861"/>
      <c r="G6" s="1861"/>
      <c r="H6" s="1861"/>
      <c r="I6" s="1861"/>
      <c r="J6" s="1867"/>
    </row>
    <row r="7" spans="1:14" ht="81" customHeight="1">
      <c r="A7" s="584">
        <v>1</v>
      </c>
      <c r="B7" s="1348" t="s">
        <v>2857</v>
      </c>
      <c r="D7" s="1349" t="s">
        <v>2858</v>
      </c>
      <c r="E7" s="1350"/>
      <c r="F7" s="1349" t="s">
        <v>2859</v>
      </c>
      <c r="H7" s="584" t="s">
        <v>2860</v>
      </c>
      <c r="J7" s="1351" t="s">
        <v>2861</v>
      </c>
      <c r="L7" s="1352" t="s">
        <v>2437</v>
      </c>
    </row>
    <row r="8" spans="1:14">
      <c r="A8" s="584">
        <f t="shared" ref="A8:A65" si="0">A7+1</f>
        <v>2</v>
      </c>
      <c r="B8" s="1346">
        <v>503</v>
      </c>
      <c r="D8" s="1353">
        <f>'Exh 2, Proof of Revenue'!AJ13</f>
        <v>40744183.42793832</v>
      </c>
      <c r="F8" s="1299">
        <f>D42</f>
        <v>131741687.23064102</v>
      </c>
      <c r="G8" s="1350"/>
      <c r="H8" s="1354">
        <f>D8/F8</f>
        <v>0.30927327776368324</v>
      </c>
      <c r="J8" s="1355">
        <f>'End of Period Calculations'!AB99/12</f>
        <v>195359</v>
      </c>
      <c r="L8" s="1356">
        <f>'Exh 2, Proof of Revenue'!AE13-F8</f>
        <v>0</v>
      </c>
      <c r="M8" s="1357"/>
      <c r="N8" s="1358"/>
    </row>
    <row r="9" spans="1:14">
      <c r="A9" s="584">
        <f t="shared" si="0"/>
        <v>3</v>
      </c>
      <c r="B9" s="1346" t="s">
        <v>49</v>
      </c>
      <c r="D9" s="1353"/>
      <c r="F9" s="1299"/>
      <c r="G9" s="584"/>
      <c r="H9" s="1354"/>
      <c r="J9" s="1359"/>
      <c r="L9" s="1356"/>
      <c r="M9" s="1357"/>
      <c r="N9" s="1358"/>
    </row>
    <row r="10" spans="1:14">
      <c r="A10" s="584">
        <f t="shared" si="0"/>
        <v>4</v>
      </c>
      <c r="B10" s="1346">
        <v>504</v>
      </c>
      <c r="D10" s="1353">
        <f>'Exh 2, Proof of Revenue'!AJ49</f>
        <v>24310388.193510987</v>
      </c>
      <c r="F10" s="1299">
        <f>E42</f>
        <v>93296003.311035588</v>
      </c>
      <c r="G10" s="1350"/>
      <c r="H10" s="1354">
        <f>D10/F10</f>
        <v>0.26057266475246121</v>
      </c>
      <c r="J10" s="1355">
        <f>'End of Period Calculations'!AB100/12</f>
        <v>26843</v>
      </c>
      <c r="L10" s="1356">
        <f>'Exh 2, Proof of Revenue'!AE49-F10</f>
        <v>0</v>
      </c>
    </row>
    <row r="11" spans="1:14">
      <c r="A11" s="584">
        <f t="shared" si="0"/>
        <v>5</v>
      </c>
      <c r="B11" s="1346"/>
      <c r="D11" s="1353"/>
      <c r="F11" s="1299"/>
      <c r="G11" s="1350"/>
      <c r="H11" s="1354"/>
      <c r="J11" s="1359"/>
      <c r="L11" s="1356"/>
    </row>
    <row r="12" spans="1:14">
      <c r="A12" s="584">
        <f t="shared" si="0"/>
        <v>6</v>
      </c>
      <c r="B12" s="1346">
        <v>505</v>
      </c>
      <c r="D12" s="1353">
        <f>SUM('Exh 2, Proof of Revenue'!AJ81:AJ83)</f>
        <v>2219055.3784378087</v>
      </c>
      <c r="F12" s="1299">
        <f>F42</f>
        <v>13313377.38276016</v>
      </c>
      <c r="G12" s="1350"/>
      <c r="H12" s="1354">
        <f>D12/F12</f>
        <v>0.16667862065649258</v>
      </c>
      <c r="J12" s="1360">
        <f>'End of Period Calculations'!AB102/12</f>
        <v>488</v>
      </c>
      <c r="L12" s="1356">
        <f>SUM('Exh 2, Proof of Revenue'!AE81:AE83)-F12</f>
        <v>0</v>
      </c>
      <c r="M12" s="1361"/>
      <c r="N12" s="747"/>
    </row>
    <row r="13" spans="1:14">
      <c r="A13" s="584">
        <f t="shared" si="0"/>
        <v>7</v>
      </c>
      <c r="B13" s="1346"/>
      <c r="D13" s="1353"/>
      <c r="F13" s="1299"/>
      <c r="G13" s="1350"/>
      <c r="H13" s="1354"/>
      <c r="J13" s="1359"/>
      <c r="L13" s="1356"/>
      <c r="M13" s="1290"/>
      <c r="N13" s="747"/>
    </row>
    <row r="14" spans="1:14">
      <c r="A14" s="584">
        <f t="shared" si="0"/>
        <v>8</v>
      </c>
      <c r="B14" s="1346">
        <v>511</v>
      </c>
      <c r="D14" s="1362">
        <f>SUM('Exh 2, Proof of Revenue'!AJ116:AJ118)</f>
        <v>2157120.8250669488</v>
      </c>
      <c r="F14" s="1299">
        <f>G42</f>
        <v>15504959.084345875</v>
      </c>
      <c r="G14" s="1350"/>
      <c r="H14" s="1829">
        <f>D14/F14</f>
        <v>0.13912457384326943</v>
      </c>
      <c r="J14" s="1360">
        <f>'End of Period Calculations'!AB107/12</f>
        <v>90</v>
      </c>
      <c r="L14" s="1356">
        <f>SUM('Exh 2, Proof of Revenue'!AE116:AE118)-F14</f>
        <v>0</v>
      </c>
      <c r="N14" s="1363"/>
    </row>
    <row r="15" spans="1:14">
      <c r="A15" s="584">
        <f t="shared" si="0"/>
        <v>9</v>
      </c>
      <c r="B15" s="1346"/>
      <c r="D15" s="1353"/>
      <c r="F15" s="1299"/>
      <c r="G15" s="1350"/>
      <c r="H15" s="1354"/>
      <c r="J15" s="1359"/>
      <c r="L15" s="1356"/>
    </row>
    <row r="16" spans="1:14">
      <c r="A16" s="584">
        <f t="shared" si="0"/>
        <v>10</v>
      </c>
      <c r="B16" s="1346">
        <v>570</v>
      </c>
      <c r="D16" s="1353">
        <f>SUM('Exh 2, Proof of Revenue'!AJ283:AJ284)</f>
        <v>145069.78344938104</v>
      </c>
      <c r="F16" s="1299">
        <f>H42</f>
        <v>2334011.2498643706</v>
      </c>
      <c r="G16" s="1350"/>
      <c r="H16" s="1354">
        <f>D16/F16</f>
        <v>6.2154706177106493E-2</v>
      </c>
      <c r="J16" s="1360">
        <f>'End of Period Calculations'!AB112/12</f>
        <v>8</v>
      </c>
      <c r="L16" s="1356">
        <f>SUM('Exh 2, Proof of Revenue'!S283:S284)-F16</f>
        <v>0</v>
      </c>
      <c r="N16" s="779"/>
    </row>
    <row r="17" spans="1:18" ht="15" thickBot="1">
      <c r="A17" s="584">
        <f t="shared" si="0"/>
        <v>11</v>
      </c>
      <c r="B17" s="1364"/>
      <c r="C17" s="1365"/>
      <c r="D17" s="1366"/>
      <c r="E17" s="1365"/>
      <c r="F17" s="1367"/>
      <c r="G17" s="1368"/>
      <c r="H17" s="1369"/>
      <c r="I17" s="1365"/>
      <c r="J17" s="1370"/>
      <c r="L17" s="1356"/>
    </row>
    <row r="18" spans="1:18">
      <c r="A18" s="584">
        <f t="shared" si="0"/>
        <v>12</v>
      </c>
      <c r="B18" s="1343"/>
      <c r="C18" s="1344"/>
      <c r="D18" s="1371"/>
      <c r="E18" s="1344"/>
      <c r="F18" s="1372"/>
      <c r="G18" s="1344"/>
      <c r="H18" s="1373"/>
      <c r="I18" s="1344"/>
      <c r="J18" s="1345"/>
      <c r="L18" s="1356"/>
    </row>
    <row r="19" spans="1:18">
      <c r="A19" s="584">
        <f t="shared" si="0"/>
        <v>13</v>
      </c>
      <c r="B19" s="1374" t="s">
        <v>2862</v>
      </c>
      <c r="D19" s="1375"/>
      <c r="F19" s="1299"/>
      <c r="H19" s="1354"/>
      <c r="J19" s="1376"/>
      <c r="L19" s="1356"/>
    </row>
    <row r="20" spans="1:18">
      <c r="A20" s="584">
        <f t="shared" si="0"/>
        <v>14</v>
      </c>
      <c r="B20" s="1374">
        <v>-1</v>
      </c>
      <c r="D20" s="1377" t="s">
        <v>2855</v>
      </c>
      <c r="F20" s="1299"/>
      <c r="G20" s="1350"/>
      <c r="H20" s="1354"/>
      <c r="J20" s="1376"/>
      <c r="L20" s="1356"/>
    </row>
    <row r="21" spans="1:18">
      <c r="A21" s="584">
        <f t="shared" si="0"/>
        <v>15</v>
      </c>
      <c r="B21" s="1374">
        <v>-2</v>
      </c>
      <c r="D21" s="1818" t="s">
        <v>3380</v>
      </c>
      <c r="F21" s="1299"/>
      <c r="H21" s="1354"/>
      <c r="J21" s="1376"/>
      <c r="L21" s="1356"/>
    </row>
    <row r="22" spans="1:18">
      <c r="A22" s="584">
        <f t="shared" si="0"/>
        <v>16</v>
      </c>
      <c r="B22" s="1374">
        <v>-3</v>
      </c>
      <c r="D22" s="1375" t="s">
        <v>2863</v>
      </c>
      <c r="F22" s="1299"/>
      <c r="H22" s="1354"/>
      <c r="J22" s="1376"/>
    </row>
    <row r="23" spans="1:18">
      <c r="A23" s="584">
        <f t="shared" si="0"/>
        <v>17</v>
      </c>
      <c r="B23" s="1374">
        <v>-4</v>
      </c>
      <c r="D23" s="1818" t="s">
        <v>3379</v>
      </c>
      <c r="F23" s="1299"/>
      <c r="H23" s="1354"/>
      <c r="J23" s="1376"/>
    </row>
    <row r="24" spans="1:18" ht="15" thickBot="1">
      <c r="A24" s="584">
        <f t="shared" si="0"/>
        <v>18</v>
      </c>
      <c r="B24" s="1378"/>
      <c r="C24" s="1365"/>
      <c r="D24" s="1379"/>
      <c r="E24" s="1365"/>
      <c r="F24" s="1367"/>
      <c r="G24" s="1365"/>
      <c r="H24" s="1369"/>
      <c r="I24" s="1365"/>
      <c r="J24" s="1380"/>
    </row>
    <row r="25" spans="1:18" ht="15" thickBot="1">
      <c r="A25" s="584">
        <f t="shared" si="0"/>
        <v>19</v>
      </c>
      <c r="D25" s="1375"/>
      <c r="F25" s="1299"/>
    </row>
    <row r="26" spans="1:18">
      <c r="A26" s="584">
        <f t="shared" si="0"/>
        <v>20</v>
      </c>
      <c r="B26" s="1868" t="s">
        <v>2864</v>
      </c>
      <c r="C26" s="1869"/>
      <c r="D26" s="1869"/>
      <c r="E26" s="1869"/>
      <c r="F26" s="1869"/>
      <c r="G26" s="1869"/>
      <c r="H26" s="1870"/>
    </row>
    <row r="27" spans="1:18" ht="15" customHeight="1">
      <c r="A27" s="584">
        <f t="shared" si="0"/>
        <v>21</v>
      </c>
      <c r="B27" s="1871" t="s">
        <v>3377</v>
      </c>
      <c r="C27" s="1872"/>
      <c r="D27" s="1872"/>
      <c r="E27" s="1872"/>
      <c r="F27" s="1872"/>
      <c r="G27" s="1872"/>
      <c r="H27" s="1873"/>
      <c r="I27" s="1381"/>
      <c r="J27" s="1381"/>
      <c r="K27" s="1381"/>
      <c r="L27" s="1381"/>
      <c r="M27" s="1381"/>
      <c r="N27" s="1381"/>
      <c r="O27" s="1299"/>
      <c r="P27" s="1299"/>
      <c r="Q27" s="1299"/>
      <c r="R27" s="1299"/>
    </row>
    <row r="28" spans="1:18">
      <c r="A28" s="584">
        <f t="shared" si="0"/>
        <v>22</v>
      </c>
      <c r="B28" s="1346" t="s">
        <v>778</v>
      </c>
      <c r="C28" s="584" t="s">
        <v>776</v>
      </c>
      <c r="D28" s="584" t="s">
        <v>777</v>
      </c>
      <c r="E28" s="584" t="s">
        <v>780</v>
      </c>
      <c r="F28" s="584" t="s">
        <v>781</v>
      </c>
      <c r="G28" s="584" t="s">
        <v>782</v>
      </c>
      <c r="H28" s="1347" t="s">
        <v>783</v>
      </c>
      <c r="I28" s="584"/>
      <c r="J28" s="584"/>
      <c r="K28" s="584"/>
      <c r="L28" s="584"/>
      <c r="M28" s="584"/>
      <c r="N28" s="584"/>
      <c r="O28" s="1299"/>
      <c r="P28" s="1299"/>
      <c r="Q28" s="1299"/>
      <c r="R28" s="1299"/>
    </row>
    <row r="29" spans="1:18" s="584" customFormat="1" ht="15.75" customHeight="1">
      <c r="A29" s="584">
        <f t="shared" si="0"/>
        <v>23</v>
      </c>
      <c r="B29" s="1346" t="s">
        <v>2857</v>
      </c>
      <c r="D29" s="584">
        <v>503</v>
      </c>
      <c r="E29" s="584">
        <v>504</v>
      </c>
      <c r="F29" s="584">
        <v>505</v>
      </c>
      <c r="G29" s="584">
        <v>511</v>
      </c>
      <c r="H29" s="1347">
        <v>570</v>
      </c>
      <c r="O29" s="1299"/>
      <c r="P29" s="1299"/>
      <c r="Q29" s="1299"/>
      <c r="R29" s="1299"/>
    </row>
    <row r="30" spans="1:18">
      <c r="A30" s="584">
        <f t="shared" si="0"/>
        <v>24</v>
      </c>
      <c r="B30" s="1382" t="s">
        <v>2312</v>
      </c>
      <c r="C30" s="1383"/>
      <c r="D30" s="1357">
        <f>'End of Period Calculations'!D99</f>
        <v>21481403.558054745</v>
      </c>
      <c r="E30" s="1357">
        <f>'End of Period Calculations'!D100</f>
        <v>14962920.09105991</v>
      </c>
      <c r="F30" s="1357">
        <f>'End of Period Calculations'!D105</f>
        <v>1454905.6217057914</v>
      </c>
      <c r="G30" s="1357">
        <f>'End of Period Calculations'!D110</f>
        <v>1849700.1416352973</v>
      </c>
      <c r="H30" s="1384">
        <f>'End of Period Calculations'!D114</f>
        <v>260481.77103171294</v>
      </c>
      <c r="I30" s="1357"/>
      <c r="J30" s="677"/>
      <c r="O30" s="1299"/>
      <c r="P30" s="1299"/>
      <c r="Q30" s="1299"/>
      <c r="R30" s="1299"/>
    </row>
    <row r="31" spans="1:18">
      <c r="A31" s="584">
        <f t="shared" si="0"/>
        <v>25</v>
      </c>
      <c r="B31" s="1382" t="s">
        <v>2517</v>
      </c>
      <c r="C31" s="1383"/>
      <c r="D31" s="1357">
        <f>'End of Period Calculations'!F99</f>
        <v>17282496.365299165</v>
      </c>
      <c r="E31" s="1357">
        <f>'End of Period Calculations'!F100</f>
        <v>11941476.853740096</v>
      </c>
      <c r="F31" s="1357">
        <f>'End of Period Calculations'!F105</f>
        <v>1646557.222742741</v>
      </c>
      <c r="G31" s="1357">
        <f>'End of Period Calculations'!F110</f>
        <v>1895585.1905493443</v>
      </c>
      <c r="H31" s="1384">
        <f>'End of Period Calculations'!F114</f>
        <v>258810.83358312727</v>
      </c>
      <c r="I31" s="1357"/>
      <c r="J31" s="677"/>
      <c r="O31" s="1299"/>
      <c r="P31" s="1299"/>
      <c r="Q31" s="1299"/>
      <c r="R31" s="1385"/>
    </row>
    <row r="32" spans="1:18">
      <c r="A32" s="584">
        <f t="shared" si="0"/>
        <v>26</v>
      </c>
      <c r="B32" s="1382" t="s">
        <v>2518</v>
      </c>
      <c r="C32" s="1383"/>
      <c r="D32" s="1357">
        <f>'End of Period Calculations'!H99</f>
        <v>14550887.329602273</v>
      </c>
      <c r="E32" s="1357">
        <f>'End of Period Calculations'!H100</f>
        <v>9514310.0195858628</v>
      </c>
      <c r="F32" s="1357">
        <f>'End of Period Calculations'!H105</f>
        <v>1791073.6272830481</v>
      </c>
      <c r="G32" s="1357">
        <f>'End of Period Calculations'!H110</f>
        <v>1994554.8082126912</v>
      </c>
      <c r="H32" s="1384">
        <f>'End of Period Calculations'!H114</f>
        <v>270183.90406559402</v>
      </c>
      <c r="I32" s="1357"/>
      <c r="J32" s="677"/>
      <c r="O32" s="1386"/>
      <c r="Q32" s="1299"/>
      <c r="R32" s="1299"/>
    </row>
    <row r="33" spans="1:18">
      <c r="A33" s="584">
        <f t="shared" si="0"/>
        <v>27</v>
      </c>
      <c r="B33" s="1382" t="s">
        <v>2865</v>
      </c>
      <c r="C33" s="1383"/>
      <c r="D33" s="1357">
        <f>'End of Period Calculations'!J99</f>
        <v>9553553.7802296188</v>
      </c>
      <c r="E33" s="1357">
        <f>'End of Period Calculations'!J100</f>
        <v>6184290.0073053576</v>
      </c>
      <c r="F33" s="1357">
        <f>'End of Period Calculations'!J105</f>
        <v>1350687.7934915924</v>
      </c>
      <c r="G33" s="1357">
        <f>'End of Period Calculations'!J110</f>
        <v>1448353.0417596346</v>
      </c>
      <c r="H33" s="1384">
        <f>'End of Period Calculations'!J114</f>
        <v>248144.66102019613</v>
      </c>
      <c r="I33" s="1357"/>
      <c r="J33" s="677"/>
      <c r="O33" s="1386"/>
      <c r="Q33" s="1299"/>
      <c r="R33" s="1387"/>
    </row>
    <row r="34" spans="1:18">
      <c r="A34" s="584">
        <f t="shared" si="0"/>
        <v>28</v>
      </c>
      <c r="B34" s="1382" t="s">
        <v>2866</v>
      </c>
      <c r="C34" s="1383"/>
      <c r="D34" s="1357">
        <f>'End of Period Calculations'!L99</f>
        <v>6059718.5388262738</v>
      </c>
      <c r="E34" s="1357">
        <f>'End of Period Calculations'!L100</f>
        <v>4507576.2480000183</v>
      </c>
      <c r="F34" s="1357">
        <f>'End of Period Calculations'!L105</f>
        <v>812016.46854641067</v>
      </c>
      <c r="G34" s="1357">
        <f>'End of Period Calculations'!L110</f>
        <v>1028426.7247027312</v>
      </c>
      <c r="H34" s="1384">
        <f>'End of Period Calculations'!L114</f>
        <v>218819.2747142287</v>
      </c>
      <c r="I34" s="1357"/>
      <c r="J34" s="677"/>
      <c r="O34" s="1386"/>
      <c r="P34" s="1299"/>
      <c r="Q34" s="1299"/>
      <c r="R34" s="1299"/>
    </row>
    <row r="35" spans="1:18">
      <c r="A35" s="584">
        <f t="shared" si="0"/>
        <v>29</v>
      </c>
      <c r="B35" s="1382" t="s">
        <v>2867</v>
      </c>
      <c r="C35" s="1383"/>
      <c r="D35" s="1357">
        <f>'End of Period Calculations'!N99</f>
        <v>3709463.2561856038</v>
      </c>
      <c r="E35" s="1357">
        <f>'End of Period Calculations'!N100</f>
        <v>3185951.0085212658</v>
      </c>
      <c r="F35" s="1357">
        <f>'End of Period Calculations'!N105</f>
        <v>585190.56726985425</v>
      </c>
      <c r="G35" s="1357">
        <f>'End of Period Calculations'!N110</f>
        <v>808913.50927286583</v>
      </c>
      <c r="H35" s="1384">
        <f>'End of Period Calculations'!N114</f>
        <v>162578.45701703182</v>
      </c>
      <c r="I35" s="1357"/>
      <c r="J35" s="677"/>
      <c r="O35" s="1386"/>
      <c r="P35" s="1387"/>
      <c r="Q35" s="1299"/>
      <c r="R35" s="1299"/>
    </row>
    <row r="36" spans="1:18">
      <c r="A36" s="584">
        <f t="shared" si="0"/>
        <v>30</v>
      </c>
      <c r="B36" s="1382" t="s">
        <v>2868</v>
      </c>
      <c r="C36" s="1383"/>
      <c r="D36" s="1357">
        <f>'End of Period Calculations'!P99</f>
        <v>3106265.7935826126</v>
      </c>
      <c r="E36" s="1357">
        <f>'End of Period Calculations'!P100</f>
        <v>3154644.5544320531</v>
      </c>
      <c r="F36" s="1357">
        <f>'End of Period Calculations'!P105</f>
        <v>548411.62202967121</v>
      </c>
      <c r="G36" s="1357">
        <f>'End of Period Calculations'!P110</f>
        <v>763750.32345110737</v>
      </c>
      <c r="H36" s="1384">
        <f>'End of Period Calculations'!P114</f>
        <v>126842.53842614668</v>
      </c>
      <c r="I36" s="1357"/>
      <c r="J36" s="677"/>
      <c r="O36" s="1386"/>
      <c r="P36" s="1299"/>
      <c r="Q36" s="1299"/>
      <c r="R36" s="1387"/>
    </row>
    <row r="37" spans="1:18">
      <c r="A37" s="584">
        <f t="shared" si="0"/>
        <v>31</v>
      </c>
      <c r="B37" s="1382" t="s">
        <v>2869</v>
      </c>
      <c r="C37" s="1383"/>
      <c r="D37" s="1357">
        <f>'End of Period Calculations'!R99</f>
        <v>3112645.5987847848</v>
      </c>
      <c r="E37" s="1357">
        <f>'End of Period Calculations'!R100</f>
        <v>3172920.6924638362</v>
      </c>
      <c r="F37" s="1357">
        <f>'End of Period Calculations'!R105</f>
        <v>563417.79357178521</v>
      </c>
      <c r="G37" s="1357">
        <f>'End of Period Calculations'!R110</f>
        <v>761037.12822032208</v>
      </c>
      <c r="H37" s="1384">
        <f>'End of Period Calculations'!R114</f>
        <v>120028.18273198721</v>
      </c>
      <c r="I37" s="1357"/>
      <c r="J37" s="677"/>
      <c r="O37" s="1386"/>
      <c r="P37" s="1299"/>
      <c r="Q37" s="1299"/>
      <c r="R37" s="1299"/>
    </row>
    <row r="38" spans="1:18">
      <c r="A38" s="584">
        <f t="shared" si="0"/>
        <v>32</v>
      </c>
      <c r="B38" s="1382" t="s">
        <v>2870</v>
      </c>
      <c r="C38" s="1383"/>
      <c r="D38" s="1357">
        <f>'End of Period Calculations'!T99</f>
        <v>3972281.2075161906</v>
      </c>
      <c r="E38" s="1357">
        <f>'End of Period Calculations'!T100</f>
        <v>3848957.8058954026</v>
      </c>
      <c r="F38" s="1357">
        <f>'End of Period Calculations'!T105</f>
        <v>662856.91864585644</v>
      </c>
      <c r="G38" s="1357">
        <f>'End of Period Calculations'!T110</f>
        <v>675188.24429985625</v>
      </c>
      <c r="H38" s="1384">
        <f>'End of Period Calculations'!T114</f>
        <v>93626.127904277455</v>
      </c>
      <c r="I38" s="1357"/>
      <c r="J38" s="677"/>
      <c r="O38" s="1388"/>
      <c r="P38" s="1299"/>
      <c r="Q38" s="1299"/>
      <c r="R38" s="1388"/>
    </row>
    <row r="39" spans="1:18">
      <c r="A39" s="584">
        <f t="shared" si="0"/>
        <v>33</v>
      </c>
      <c r="B39" s="1382" t="s">
        <v>2525</v>
      </c>
      <c r="C39" s="1383"/>
      <c r="D39" s="1357">
        <f>'End of Period Calculations'!V99</f>
        <v>9102021.7976925541</v>
      </c>
      <c r="E39" s="1357">
        <f>'End of Period Calculations'!V100</f>
        <v>7254098.4631915251</v>
      </c>
      <c r="F39" s="1357">
        <f>'End of Period Calculations'!V105</f>
        <v>1304170.6602785545</v>
      </c>
      <c r="G39" s="1357">
        <f>'End of Period Calculations'!V110</f>
        <v>1127067.6379157584</v>
      </c>
      <c r="H39" s="1384">
        <f>'End of Period Calculations'!V114</f>
        <v>111442.15583086733</v>
      </c>
      <c r="I39" s="1357"/>
      <c r="J39" s="677"/>
      <c r="O39" s="1386"/>
      <c r="P39" s="1299"/>
      <c r="Q39" s="1299"/>
    </row>
    <row r="40" spans="1:18">
      <c r="A40" s="584">
        <f t="shared" si="0"/>
        <v>34</v>
      </c>
      <c r="B40" s="1382" t="s">
        <v>2871</v>
      </c>
      <c r="C40" s="1383"/>
      <c r="D40" s="1357">
        <f>'End of Period Calculations'!X99</f>
        <v>17003957.468034908</v>
      </c>
      <c r="E40" s="1357">
        <f>'End of Period Calculations'!X100</f>
        <v>11095081.839790983</v>
      </c>
      <c r="F40" s="1357">
        <f>'End of Period Calculations'!X105</f>
        <v>1170948.9431001469</v>
      </c>
      <c r="G40" s="1357">
        <f>'End of Period Calculations'!X110</f>
        <v>1507358.7101978862</v>
      </c>
      <c r="H40" s="1384">
        <f>'End of Period Calculations'!X114</f>
        <v>232820.34030953416</v>
      </c>
      <c r="I40" s="1357"/>
      <c r="J40" s="677"/>
      <c r="O40" s="1386"/>
      <c r="P40" s="1299"/>
      <c r="Q40" s="1299"/>
      <c r="R40" s="1299"/>
    </row>
    <row r="41" spans="1:18">
      <c r="A41" s="584">
        <f t="shared" si="0"/>
        <v>35</v>
      </c>
      <c r="B41" s="1382" t="s">
        <v>2527</v>
      </c>
      <c r="C41" s="1383"/>
      <c r="D41" s="1357">
        <f>'End of Period Calculations'!Z99</f>
        <v>22806992.536832273</v>
      </c>
      <c r="E41" s="1357">
        <f>'End of Period Calculations'!Z100</f>
        <v>14473775.727049282</v>
      </c>
      <c r="F41" s="1357">
        <f>'End of Period Calculations'!Z105</f>
        <v>1423140.1440947051</v>
      </c>
      <c r="G41" s="1357">
        <f>'End of Period Calculations'!Z110</f>
        <v>1645023.624128381</v>
      </c>
      <c r="H41" s="1384">
        <f>'End of Period Calculations'!Z114</f>
        <v>230233.00322966697</v>
      </c>
      <c r="I41" s="1357"/>
      <c r="J41" s="677"/>
      <c r="O41" s="1388"/>
      <c r="P41" s="1299"/>
      <c r="Q41" s="1299"/>
    </row>
    <row r="42" spans="1:18" ht="15" thickBot="1">
      <c r="A42" s="584">
        <f t="shared" si="0"/>
        <v>36</v>
      </c>
      <c r="B42" s="1389" t="s">
        <v>51</v>
      </c>
      <c r="C42" s="1365"/>
      <c r="D42" s="1390">
        <f>SUM(D30:D41)</f>
        <v>131741687.23064102</v>
      </c>
      <c r="E42" s="1390">
        <f>SUM(E30:E41)</f>
        <v>93296003.311035588</v>
      </c>
      <c r="F42" s="1390">
        <f>SUM(F30:F41)</f>
        <v>13313377.38276016</v>
      </c>
      <c r="G42" s="1390">
        <f>SUM(G30:G41)</f>
        <v>15504959.084345875</v>
      </c>
      <c r="H42" s="1391">
        <f>SUM(H30:H41)</f>
        <v>2334011.2498643706</v>
      </c>
      <c r="I42" s="677"/>
      <c r="J42" s="677"/>
      <c r="O42" s="1388"/>
      <c r="P42" s="1299"/>
      <c r="Q42" s="1299"/>
    </row>
    <row r="43" spans="1:18">
      <c r="A43" s="584">
        <f t="shared" si="0"/>
        <v>37</v>
      </c>
      <c r="B43" s="1343" t="s">
        <v>2872</v>
      </c>
      <c r="C43" s="1392"/>
      <c r="D43" s="1393"/>
      <c r="E43" s="1393"/>
      <c r="F43" s="1393"/>
      <c r="G43" s="1393"/>
      <c r="H43" s="1394"/>
      <c r="I43" s="1388"/>
      <c r="J43" s="1388"/>
      <c r="K43" s="1388"/>
      <c r="L43" s="1388"/>
      <c r="M43" s="1388"/>
      <c r="N43" s="1388"/>
      <c r="O43" s="1388"/>
      <c r="P43" s="1299"/>
      <c r="Q43" s="1299"/>
    </row>
    <row r="44" spans="1:18" ht="15" thickBot="1">
      <c r="A44" s="584">
        <f t="shared" si="0"/>
        <v>38</v>
      </c>
      <c r="B44" s="1378">
        <v>-5</v>
      </c>
      <c r="C44" s="1395"/>
      <c r="D44" s="906" t="s">
        <v>3378</v>
      </c>
      <c r="E44" s="1365"/>
      <c r="F44" s="1380"/>
      <c r="G44" s="1365"/>
      <c r="H44" s="1380"/>
    </row>
    <row r="45" spans="1:18" ht="15" thickBot="1">
      <c r="A45" s="584">
        <f t="shared" si="0"/>
        <v>39</v>
      </c>
      <c r="B45" s="1350"/>
      <c r="C45" s="1396"/>
    </row>
    <row r="46" spans="1:18">
      <c r="A46" s="584">
        <f t="shared" si="0"/>
        <v>40</v>
      </c>
      <c r="B46" s="1868" t="s">
        <v>2873</v>
      </c>
      <c r="C46" s="1869"/>
      <c r="D46" s="1869"/>
      <c r="E46" s="1869"/>
      <c r="F46" s="1869"/>
      <c r="G46" s="1869"/>
      <c r="H46" s="1869"/>
      <c r="I46" s="1869"/>
      <c r="J46" s="1869"/>
      <c r="K46" s="1869"/>
      <c r="L46" s="1869"/>
      <c r="M46" s="1869"/>
      <c r="N46" s="1869"/>
      <c r="O46" s="1870"/>
    </row>
    <row r="47" spans="1:18">
      <c r="A47" s="584">
        <f t="shared" si="0"/>
        <v>41</v>
      </c>
      <c r="B47" s="1346" t="s">
        <v>778</v>
      </c>
      <c r="C47" s="584" t="s">
        <v>776</v>
      </c>
      <c r="D47" s="584" t="s">
        <v>777</v>
      </c>
      <c r="E47" s="584" t="s">
        <v>780</v>
      </c>
      <c r="F47" s="584" t="s">
        <v>781</v>
      </c>
      <c r="G47" s="584" t="s">
        <v>782</v>
      </c>
      <c r="H47" s="584" t="s">
        <v>783</v>
      </c>
      <c r="I47" s="584" t="s">
        <v>784</v>
      </c>
      <c r="J47" s="584" t="s">
        <v>785</v>
      </c>
      <c r="K47" s="584" t="s">
        <v>786</v>
      </c>
      <c r="L47" s="584" t="s">
        <v>787</v>
      </c>
      <c r="M47" s="584" t="s">
        <v>788</v>
      </c>
      <c r="N47" s="584" t="s">
        <v>789</v>
      </c>
      <c r="O47" s="1347" t="s">
        <v>790</v>
      </c>
    </row>
    <row r="48" spans="1:18">
      <c r="A48" s="584">
        <f t="shared" si="0"/>
        <v>42</v>
      </c>
      <c r="B48" s="1874" t="s">
        <v>2874</v>
      </c>
      <c r="C48" s="1875"/>
      <c r="D48" s="1875"/>
      <c r="E48" s="1875"/>
      <c r="F48" s="1875"/>
      <c r="G48" s="1875"/>
      <c r="H48" s="1875"/>
      <c r="I48" s="1875"/>
      <c r="J48" s="1875"/>
      <c r="K48" s="1875"/>
      <c r="L48" s="1875"/>
      <c r="M48" s="1875"/>
      <c r="N48" s="1875"/>
      <c r="O48" s="1876"/>
    </row>
    <row r="49" spans="1:20">
      <c r="A49" s="584">
        <f t="shared" si="0"/>
        <v>43</v>
      </c>
      <c r="B49" s="1348"/>
      <c r="C49" s="1381"/>
      <c r="D49" s="1349" t="s">
        <v>2312</v>
      </c>
      <c r="E49" s="1349" t="s">
        <v>2517</v>
      </c>
      <c r="F49" s="1349" t="s">
        <v>2875</v>
      </c>
      <c r="G49" s="1349" t="s">
        <v>2865</v>
      </c>
      <c r="H49" s="1349" t="s">
        <v>2866</v>
      </c>
      <c r="I49" s="1349" t="s">
        <v>2867</v>
      </c>
      <c r="J49" s="1349" t="s">
        <v>2522</v>
      </c>
      <c r="K49" s="1349" t="s">
        <v>2523</v>
      </c>
      <c r="L49" s="1349" t="s">
        <v>2524</v>
      </c>
      <c r="M49" s="1349" t="s">
        <v>2525</v>
      </c>
      <c r="N49" s="1349" t="s">
        <v>2871</v>
      </c>
      <c r="O49" s="1351" t="s">
        <v>2527</v>
      </c>
    </row>
    <row r="50" spans="1:20">
      <c r="A50" s="584">
        <f t="shared" si="0"/>
        <v>44</v>
      </c>
      <c r="B50" s="1346">
        <v>503</v>
      </c>
      <c r="D50" s="1397">
        <f>(D30*H8)/J8</f>
        <v>34.007258889347504</v>
      </c>
      <c r="E50" s="1397">
        <f>(D31*H8)/J8</f>
        <v>27.359959350913012</v>
      </c>
      <c r="F50" s="1397">
        <f>(D32*H8)/J8</f>
        <v>23.035542866190667</v>
      </c>
      <c r="G50" s="1397">
        <f>(D33*H8)/J8</f>
        <v>15.124252744451194</v>
      </c>
      <c r="H50" s="1397">
        <f>(D34*H8)/J8</f>
        <v>9.5931542177640097</v>
      </c>
      <c r="I50" s="1397">
        <f>(D35*H8)/J8</f>
        <v>5.8724597279084509</v>
      </c>
      <c r="J50" s="1397">
        <f>(D36*H8)/J8</f>
        <v>4.9175364512845752</v>
      </c>
      <c r="K50" s="1397">
        <f>(D37*H8)/J8</f>
        <v>4.9276363354279704</v>
      </c>
      <c r="L50" s="1397">
        <f>(D38*H8)/J8</f>
        <v>6.2885274251384065</v>
      </c>
      <c r="M50" s="1397">
        <f>(D39*H8)/J8</f>
        <v>14.409431434686239</v>
      </c>
      <c r="N50" s="1397">
        <f>(D40*H8)/J8</f>
        <v>26.919003788376351</v>
      </c>
      <c r="O50" s="1398">
        <f>(D41*H8)/J8</f>
        <v>36.105801820228287</v>
      </c>
      <c r="P50" s="1375"/>
      <c r="Q50" s="1375"/>
      <c r="R50" s="1375"/>
    </row>
    <row r="51" spans="1:20">
      <c r="A51" s="584">
        <f t="shared" si="0"/>
        <v>45</v>
      </c>
      <c r="B51" s="1346"/>
      <c r="D51" s="1397"/>
      <c r="E51" s="1397"/>
      <c r="F51" s="1397"/>
      <c r="G51" s="1397"/>
      <c r="H51" s="1397"/>
      <c r="I51" s="1397"/>
      <c r="J51" s="1397"/>
      <c r="K51" s="1397"/>
      <c r="L51" s="1397"/>
      <c r="M51" s="1397"/>
      <c r="N51" s="1397"/>
      <c r="O51" s="1398"/>
    </row>
    <row r="52" spans="1:20">
      <c r="A52" s="584">
        <f t="shared" si="0"/>
        <v>46</v>
      </c>
      <c r="B52" s="1346"/>
      <c r="D52" s="584"/>
      <c r="E52" s="584"/>
      <c r="F52" s="584"/>
      <c r="G52" s="584"/>
      <c r="H52" s="584"/>
      <c r="I52" s="584"/>
      <c r="J52" s="584"/>
      <c r="K52" s="584"/>
      <c r="L52" s="584"/>
      <c r="M52" s="584"/>
      <c r="N52" s="584"/>
      <c r="O52" s="1347"/>
    </row>
    <row r="53" spans="1:20">
      <c r="A53" s="584">
        <f t="shared" si="0"/>
        <v>47</v>
      </c>
      <c r="B53" s="1346">
        <v>504</v>
      </c>
      <c r="D53" s="1397">
        <f>(E30*H10)/J10</f>
        <v>145.24933727994713</v>
      </c>
      <c r="E53" s="1397">
        <f>(E31*H10)/J10</f>
        <v>115.91932514468924</v>
      </c>
      <c r="F53" s="1397">
        <f>(E32*H10)/J10</f>
        <v>92.358123722554481</v>
      </c>
      <c r="G53" s="1397">
        <f>(E33*H10)/J10</f>
        <v>60.032668733210706</v>
      </c>
      <c r="H53" s="1397">
        <f>(E34*H10)/J10</f>
        <v>43.756329565110669</v>
      </c>
      <c r="I53" s="1397">
        <f>(E35*H10)/J10</f>
        <v>30.926936037744568</v>
      </c>
      <c r="J53" s="1397">
        <f>(E36*H10)/J10</f>
        <v>30.623035349819347</v>
      </c>
      <c r="K53" s="1397">
        <f>(E37*H10)/J10</f>
        <v>30.800447039582991</v>
      </c>
      <c r="L53" s="1397">
        <f>(E38*H10)/J10</f>
        <v>37.362932310172162</v>
      </c>
      <c r="M53" s="1397">
        <f>(E39*H10)/J10</f>
        <v>70.417604847839272</v>
      </c>
      <c r="N53" s="1397">
        <f>(E40*H10)/J10</f>
        <v>107.70312709611356</v>
      </c>
      <c r="O53" s="1398">
        <f>(E41*H10)/J10</f>
        <v>140.50107328639584</v>
      </c>
    </row>
    <row r="54" spans="1:20">
      <c r="A54" s="584">
        <f t="shared" si="0"/>
        <v>48</v>
      </c>
      <c r="B54" s="1346"/>
      <c r="D54" s="1397"/>
      <c r="E54" s="1397"/>
      <c r="F54" s="1397"/>
      <c r="G54" s="1397"/>
      <c r="H54" s="1397"/>
      <c r="I54" s="1397"/>
      <c r="J54" s="1397"/>
      <c r="K54" s="1397"/>
      <c r="L54" s="1397"/>
      <c r="M54" s="1397"/>
      <c r="N54" s="1397"/>
      <c r="O54" s="1398"/>
    </row>
    <row r="55" spans="1:20">
      <c r="A55" s="584">
        <f t="shared" si="0"/>
        <v>49</v>
      </c>
      <c r="B55" s="1346"/>
      <c r="D55" s="584"/>
      <c r="E55" s="584"/>
      <c r="F55" s="584"/>
      <c r="G55" s="584"/>
      <c r="H55" s="584"/>
      <c r="I55" s="584"/>
      <c r="J55" s="584"/>
      <c r="K55" s="584"/>
      <c r="L55" s="584"/>
      <c r="M55" s="584"/>
      <c r="N55" s="584"/>
      <c r="O55" s="1347"/>
    </row>
    <row r="56" spans="1:20">
      <c r="A56" s="584">
        <f t="shared" si="0"/>
        <v>50</v>
      </c>
      <c r="B56" s="1346">
        <v>505</v>
      </c>
      <c r="D56" s="1397">
        <f>(F30*H12)/J12</f>
        <v>496.92963567888955</v>
      </c>
      <c r="E56" s="1397">
        <f>(F31*H12)/J12</f>
        <v>562.38911212857636</v>
      </c>
      <c r="F56" s="1397">
        <f>(F32*H12)/J12</f>
        <v>611.74934772491679</v>
      </c>
      <c r="G56" s="1397">
        <f>(F33*H12)/J12</f>
        <v>461.33356220643464</v>
      </c>
      <c r="H56" s="1397">
        <f>(F34*H12)/J12</f>
        <v>277.34791993375393</v>
      </c>
      <c r="I56" s="1397">
        <f>(F35*H12)/J12</f>
        <v>199.8745011756757</v>
      </c>
      <c r="J56" s="1397">
        <f>(F36*H12)/J12</f>
        <v>187.31248506535934</v>
      </c>
      <c r="K56" s="1397">
        <f>(F37*H12)/J12</f>
        <v>192.43791124153611</v>
      </c>
      <c r="L56" s="1397">
        <f>(F38*H12)/J12</f>
        <v>226.40179691086939</v>
      </c>
      <c r="M56" s="1397">
        <f>(F39*H12)/J12</f>
        <v>445.44542368011611</v>
      </c>
      <c r="N56" s="1397">
        <f>(F40*H12)/J12</f>
        <v>399.94293994899652</v>
      </c>
      <c r="O56" s="1398">
        <f>(F41*H12)/J12</f>
        <v>486.07999225120398</v>
      </c>
    </row>
    <row r="57" spans="1:20">
      <c r="A57" s="584">
        <f t="shared" si="0"/>
        <v>51</v>
      </c>
      <c r="B57" s="1346"/>
      <c r="D57" s="1397"/>
      <c r="E57" s="1397"/>
      <c r="F57" s="1397"/>
      <c r="G57" s="1397"/>
      <c r="H57" s="1397"/>
      <c r="I57" s="1397"/>
      <c r="J57" s="1397"/>
      <c r="K57" s="1397"/>
      <c r="L57" s="1397"/>
      <c r="M57" s="1397"/>
      <c r="N57" s="1397"/>
      <c r="O57" s="1398"/>
    </row>
    <row r="58" spans="1:20">
      <c r="A58" s="584">
        <f t="shared" si="0"/>
        <v>52</v>
      </c>
      <c r="B58" s="1346"/>
      <c r="D58" s="1397"/>
      <c r="E58" s="1397"/>
      <c r="F58" s="1397"/>
      <c r="G58" s="1397"/>
      <c r="H58" s="1397"/>
      <c r="I58" s="1397"/>
      <c r="J58" s="1397"/>
      <c r="K58" s="1397"/>
      <c r="L58" s="1397"/>
      <c r="M58" s="1397"/>
      <c r="N58" s="1397"/>
      <c r="O58" s="1398"/>
      <c r="P58" s="1375"/>
      <c r="Q58" s="1375"/>
      <c r="R58" s="1375"/>
      <c r="S58" s="1375"/>
    </row>
    <row r="59" spans="1:20">
      <c r="A59" s="584">
        <f t="shared" si="0"/>
        <v>53</v>
      </c>
      <c r="B59" s="1346">
        <v>511</v>
      </c>
      <c r="D59" s="1830">
        <f>(G30*H14)/J14</f>
        <v>2859.3193771427318</v>
      </c>
      <c r="E59" s="1830">
        <f>(G31*H14)/J14</f>
        <v>2930.249797986558</v>
      </c>
      <c r="F59" s="1830">
        <f>(G32*H14)/J14</f>
        <v>3083.2398633292742</v>
      </c>
      <c r="G59" s="1830">
        <f>(G33*H14)/J14</f>
        <v>2238.9055523268016</v>
      </c>
      <c r="H59" s="1830">
        <f>(G34*H14)/J14</f>
        <v>1589.771442258854</v>
      </c>
      <c r="I59" s="1830">
        <f>(G35*H14)/J14</f>
        <v>1250.441636151678</v>
      </c>
      <c r="J59" s="1830">
        <f>(G36*H14)/J14</f>
        <v>1180.6270919199387</v>
      </c>
      <c r="K59" s="1830">
        <f>(G37*H14)/J14</f>
        <v>1176.4329571395322</v>
      </c>
      <c r="L59" s="1830">
        <f>(G38*H14)/J14</f>
        <v>1043.7252972466977</v>
      </c>
      <c r="M59" s="1830">
        <f>(G39*H14)/J14</f>
        <v>1742.2533868618907</v>
      </c>
      <c r="N59" s="1830">
        <f>(G40*H14)/J14</f>
        <v>2330.1182020580131</v>
      </c>
      <c r="O59" s="1831">
        <f>(G41*H14)/J14</f>
        <v>2542.9245629885741</v>
      </c>
      <c r="P59" s="1375"/>
      <c r="Q59" s="1375"/>
      <c r="R59" s="1375"/>
      <c r="S59" s="1375"/>
    </row>
    <row r="60" spans="1:20">
      <c r="A60" s="584">
        <f t="shared" si="0"/>
        <v>54</v>
      </c>
      <c r="B60" s="1346"/>
      <c r="D60" s="1397"/>
      <c r="E60" s="1397"/>
      <c r="F60" s="1397"/>
      <c r="G60" s="1397"/>
      <c r="H60" s="1397"/>
      <c r="I60" s="1397"/>
      <c r="J60" s="1397"/>
      <c r="K60" s="1397"/>
      <c r="L60" s="1397"/>
      <c r="M60" s="1397"/>
      <c r="N60" s="1397"/>
      <c r="O60" s="1398"/>
    </row>
    <row r="61" spans="1:20">
      <c r="A61" s="584">
        <f t="shared" si="0"/>
        <v>55</v>
      </c>
      <c r="B61" s="1346"/>
      <c r="D61" s="584"/>
      <c r="E61" s="584"/>
      <c r="F61" s="584"/>
      <c r="G61" s="584"/>
      <c r="H61" s="584"/>
      <c r="I61" s="584"/>
      <c r="J61" s="584"/>
      <c r="K61" s="584"/>
      <c r="L61" s="584"/>
      <c r="M61" s="584"/>
      <c r="N61" s="584"/>
      <c r="O61" s="1347"/>
    </row>
    <row r="62" spans="1:20">
      <c r="A62" s="584">
        <f t="shared" si="0"/>
        <v>56</v>
      </c>
      <c r="B62" s="1346">
        <v>570</v>
      </c>
      <c r="D62" s="1397">
        <f>(H30*H16)/J16</f>
        <v>2023.770992871056</v>
      </c>
      <c r="E62" s="1397">
        <f>(H31*H16)/J16</f>
        <v>2010.7889146014102</v>
      </c>
      <c r="F62" s="1397">
        <f>(H32*H16)/J16</f>
        <v>2099.1501463725658</v>
      </c>
      <c r="G62" s="1397">
        <f>(H33*H16)/J16</f>
        <v>1927.9198118909976</v>
      </c>
      <c r="H62" s="1397">
        <f>(H34*H16)/J16</f>
        <v>1700.0809657188042</v>
      </c>
      <c r="I62" s="1397">
        <f>(H35*H16)/J16</f>
        <v>1263.1270283276187</v>
      </c>
      <c r="J62" s="1397">
        <f>(H36*H16)/J16</f>
        <v>985.48258832943588</v>
      </c>
      <c r="K62" s="1397">
        <f>(H37*H16)/J16</f>
        <v>932.53955383483901</v>
      </c>
      <c r="L62" s="1397">
        <f>(H38*H16)/J16</f>
        <v>727.41305879881952</v>
      </c>
      <c r="M62" s="1397">
        <f>(H39*H16)/J16</f>
        <v>865.83180642635921</v>
      </c>
      <c r="N62" s="1397">
        <f>(H40*H16)/J16</f>
        <v>1808.85998049913</v>
      </c>
      <c r="O62" s="1398">
        <f>(H41*H16)/J16</f>
        <v>1788.7580835015951</v>
      </c>
      <c r="P62" s="1375"/>
      <c r="Q62" s="1375"/>
      <c r="R62" s="1375"/>
      <c r="S62" s="1375"/>
      <c r="T62" s="1375"/>
    </row>
    <row r="63" spans="1:20" ht="15" thickBot="1">
      <c r="A63" s="584">
        <f t="shared" si="0"/>
        <v>57</v>
      </c>
      <c r="B63" s="1364"/>
      <c r="C63" s="1365"/>
      <c r="D63" s="1379"/>
      <c r="E63" s="1379"/>
      <c r="F63" s="1379"/>
      <c r="G63" s="1379"/>
      <c r="H63" s="1379"/>
      <c r="I63" s="1379"/>
      <c r="J63" s="1379"/>
      <c r="K63" s="1379"/>
      <c r="L63" s="1379"/>
      <c r="M63" s="1379"/>
      <c r="N63" s="1379"/>
      <c r="O63" s="1399"/>
    </row>
    <row r="64" spans="1:20">
      <c r="A64" s="584">
        <f t="shared" si="0"/>
        <v>58</v>
      </c>
      <c r="B64" s="1346" t="s">
        <v>2876</v>
      </c>
      <c r="J64" s="1376"/>
    </row>
    <row r="65" spans="1:10">
      <c r="A65" s="584">
        <f t="shared" si="0"/>
        <v>59</v>
      </c>
      <c r="B65" s="1374">
        <v>-6</v>
      </c>
      <c r="D65" s="613" t="s">
        <v>3381</v>
      </c>
      <c r="J65" s="1376"/>
    </row>
    <row r="66" spans="1:10" ht="15" thickBot="1">
      <c r="B66" s="1364"/>
      <c r="C66" s="1365"/>
      <c r="D66" s="1365"/>
      <c r="E66" s="1365"/>
      <c r="F66" s="1365"/>
      <c r="G66" s="1365"/>
      <c r="H66" s="1365"/>
      <c r="I66" s="1365"/>
      <c r="J66" s="1380"/>
    </row>
  </sheetData>
  <mergeCells count="5">
    <mergeCell ref="B6:J6"/>
    <mergeCell ref="B26:H26"/>
    <mergeCell ref="B27:H27"/>
    <mergeCell ref="B46:O46"/>
    <mergeCell ref="B48:O48"/>
  </mergeCells>
  <pageMargins left="0.7" right="0.7" top="0.75" bottom="0.75" header="0.3" footer="0.3"/>
  <pageSetup scale="48" orientation="landscape" r:id="rId1"/>
  <headerFooter scaleWithDoc="0">
    <oddHeader xml:space="preserve">&amp;C&amp;"-,Bold"      Cascade Natural Gas Corporation             
Decoupling Mechanism, Authorized Revenue Per Customer    
&amp;RDocket No. UG-200568
Exhibit No. ___ (IDM-10)
Page 1 of 1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1853-5963-438E-B660-1AF03E40FEF1}">
  <sheetPr codeName="Sheet50">
    <tabColor theme="8" tint="0.79998168889431442"/>
    <pageSetUpPr fitToPage="1"/>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Proof WPs ---&gt;</v>
      </c>
    </row>
    <row r="2" spans="1:13">
      <c r="B2" s="1850" t="s">
        <v>2595</v>
      </c>
      <c r="C2" s="1850"/>
      <c r="D2" s="1850"/>
      <c r="E2" s="1850"/>
      <c r="F2" s="1850"/>
      <c r="G2" s="1850"/>
      <c r="H2" s="1850"/>
      <c r="I2" s="1850"/>
      <c r="J2" s="1850"/>
      <c r="K2" s="1850"/>
      <c r="L2" s="1850"/>
      <c r="M2" s="1850"/>
    </row>
    <row r="3" spans="1:13">
      <c r="B3" s="1850"/>
      <c r="C3" s="1850"/>
      <c r="D3" s="1850"/>
      <c r="E3" s="1850"/>
      <c r="F3" s="1850"/>
      <c r="G3" s="1850"/>
      <c r="H3" s="1850"/>
      <c r="I3" s="1850"/>
      <c r="J3" s="1850"/>
      <c r="K3" s="1850"/>
      <c r="L3" s="1850"/>
      <c r="M3" s="1850"/>
    </row>
    <row r="4" spans="1:13">
      <c r="B4" s="1850"/>
      <c r="C4" s="1850"/>
      <c r="D4" s="1850"/>
      <c r="E4" s="1850"/>
      <c r="F4" s="1850"/>
      <c r="G4" s="1850"/>
      <c r="H4" s="1850"/>
      <c r="I4" s="1850"/>
      <c r="J4" s="1850"/>
      <c r="K4" s="1850"/>
      <c r="L4" s="1850"/>
      <c r="M4" s="1850"/>
    </row>
    <row r="5" spans="1:13">
      <c r="B5" s="1850"/>
      <c r="C5" s="1850"/>
      <c r="D5" s="1850"/>
      <c r="E5" s="1850"/>
      <c r="F5" s="1850"/>
      <c r="G5" s="1850"/>
      <c r="H5" s="1850"/>
      <c r="I5" s="1850"/>
      <c r="J5" s="1850"/>
      <c r="K5" s="1850"/>
      <c r="L5" s="1850"/>
      <c r="M5" s="1850"/>
    </row>
    <row r="6" spans="1:13">
      <c r="B6" s="1850"/>
      <c r="C6" s="1850"/>
      <c r="D6" s="1850"/>
      <c r="E6" s="1850"/>
      <c r="F6" s="1850"/>
      <c r="G6" s="1850"/>
      <c r="H6" s="1850"/>
      <c r="I6" s="1850"/>
      <c r="J6" s="1850"/>
      <c r="K6" s="1850"/>
      <c r="L6" s="1850"/>
      <c r="M6" s="1850"/>
    </row>
    <row r="7" spans="1:13">
      <c r="B7" s="1850"/>
      <c r="C7" s="1850"/>
      <c r="D7" s="1850"/>
      <c r="E7" s="1850"/>
      <c r="F7" s="1850"/>
      <c r="G7" s="1850"/>
      <c r="H7" s="1850"/>
      <c r="I7" s="1850"/>
      <c r="J7" s="1850"/>
      <c r="K7" s="1850"/>
      <c r="L7" s="1850"/>
      <c r="M7" s="1850"/>
    </row>
    <row r="8" spans="1:13">
      <c r="B8" s="1850"/>
      <c r="C8" s="1850"/>
      <c r="D8" s="1850"/>
      <c r="E8" s="1850"/>
      <c r="F8" s="1850"/>
      <c r="G8" s="1850"/>
      <c r="H8" s="1850"/>
      <c r="I8" s="1850"/>
      <c r="J8" s="1850"/>
      <c r="K8" s="1850"/>
      <c r="L8" s="1850"/>
      <c r="M8" s="1850"/>
    </row>
    <row r="9" spans="1:13">
      <c r="B9" s="1850"/>
      <c r="C9" s="1850"/>
      <c r="D9" s="1850"/>
      <c r="E9" s="1850"/>
      <c r="F9" s="1850"/>
      <c r="G9" s="1850"/>
      <c r="H9" s="1850"/>
      <c r="I9" s="1850"/>
      <c r="J9" s="1850"/>
      <c r="K9" s="1850"/>
      <c r="L9" s="1850"/>
      <c r="M9" s="1850"/>
    </row>
    <row r="10" spans="1:13">
      <c r="B10" s="1850"/>
      <c r="C10" s="1850"/>
      <c r="D10" s="1850"/>
      <c r="E10" s="1850"/>
      <c r="F10" s="1850"/>
      <c r="G10" s="1850"/>
      <c r="H10" s="1850"/>
      <c r="I10" s="1850"/>
      <c r="J10" s="1850"/>
      <c r="K10" s="1850"/>
      <c r="L10" s="1850"/>
      <c r="M10" s="1850"/>
    </row>
    <row r="11" spans="1:13">
      <c r="B11" s="1850"/>
      <c r="C11" s="1850"/>
      <c r="D11" s="1850"/>
      <c r="E11" s="1850"/>
      <c r="F11" s="1850"/>
      <c r="G11" s="1850"/>
      <c r="H11" s="1850"/>
      <c r="I11" s="1850"/>
      <c r="J11" s="1850"/>
      <c r="K11" s="1850"/>
      <c r="L11" s="1850"/>
      <c r="M11" s="1850"/>
    </row>
    <row r="12" spans="1:13">
      <c r="B12" s="1850"/>
      <c r="C12" s="1850"/>
      <c r="D12" s="1850"/>
      <c r="E12" s="1850"/>
      <c r="F12" s="1850"/>
      <c r="G12" s="1850"/>
      <c r="H12" s="1850"/>
      <c r="I12" s="1850"/>
      <c r="J12" s="1850"/>
      <c r="K12" s="1850"/>
      <c r="L12" s="1850"/>
      <c r="M12" s="1850"/>
    </row>
    <row r="13" spans="1:13">
      <c r="B13" s="1850"/>
      <c r="C13" s="1850"/>
      <c r="D13" s="1850"/>
      <c r="E13" s="1850"/>
      <c r="F13" s="1850"/>
      <c r="G13" s="1850"/>
      <c r="H13" s="1850"/>
      <c r="I13" s="1850"/>
      <c r="J13" s="1850"/>
      <c r="K13" s="1850"/>
      <c r="L13" s="1850"/>
      <c r="M13" s="1850"/>
    </row>
    <row r="14" spans="1:13">
      <c r="B14" s="1850"/>
      <c r="C14" s="1850"/>
      <c r="D14" s="1850"/>
      <c r="E14" s="1850"/>
      <c r="F14" s="1850"/>
      <c r="G14" s="1850"/>
      <c r="H14" s="1850"/>
      <c r="I14" s="1850"/>
      <c r="J14" s="1850"/>
      <c r="K14" s="1850"/>
      <c r="L14" s="1850"/>
      <c r="M14" s="1850"/>
    </row>
    <row r="15" spans="1:13">
      <c r="B15" s="1850"/>
      <c r="C15" s="1850"/>
      <c r="D15" s="1850"/>
      <c r="E15" s="1850"/>
      <c r="F15" s="1850"/>
      <c r="G15" s="1850"/>
      <c r="H15" s="1850"/>
      <c r="I15" s="1850"/>
      <c r="J15" s="1850"/>
      <c r="K15" s="1850"/>
      <c r="L15" s="1850"/>
      <c r="M15" s="1850"/>
    </row>
    <row r="16" spans="1:13">
      <c r="B16" s="1850"/>
      <c r="C16" s="1850"/>
      <c r="D16" s="1850"/>
      <c r="E16" s="1850"/>
      <c r="F16" s="1850"/>
      <c r="G16" s="1850"/>
      <c r="H16" s="1850"/>
      <c r="I16" s="1850"/>
      <c r="J16" s="1850"/>
      <c r="K16" s="1850"/>
      <c r="L16" s="1850"/>
      <c r="M16" s="1850"/>
    </row>
    <row r="17" spans="2:13">
      <c r="B17" s="1850"/>
      <c r="C17" s="1850"/>
      <c r="D17" s="1850"/>
      <c r="E17" s="1850"/>
      <c r="F17" s="1850"/>
      <c r="G17" s="1850"/>
      <c r="H17" s="1850"/>
      <c r="I17" s="1850"/>
      <c r="J17" s="1850"/>
      <c r="K17" s="1850"/>
      <c r="L17" s="1850"/>
      <c r="M17" s="1850"/>
    </row>
    <row r="18" spans="2:13">
      <c r="B18" s="1850"/>
      <c r="C18" s="1850"/>
      <c r="D18" s="1850"/>
      <c r="E18" s="1850"/>
      <c r="F18" s="1850"/>
      <c r="G18" s="1850"/>
      <c r="H18" s="1850"/>
      <c r="I18" s="1850"/>
      <c r="J18" s="1850"/>
      <c r="K18" s="1850"/>
      <c r="L18" s="1850"/>
      <c r="M18" s="1850"/>
    </row>
  </sheetData>
  <mergeCells count="1">
    <mergeCell ref="B2:M18"/>
  </mergeCells>
  <printOptions horizontalCentered="1"/>
  <pageMargins left="0.5" right="0.5" top="0.75" bottom="0.75" header="0.5" footer="0.3"/>
  <pageSetup fitToHeight="0" orientation="landscape" horizontalDpi="1200" verticalDpi="1200" r:id="rId1"/>
  <headerFooter scaleWithDoc="0">
    <oddHeader>&amp;C&amp;10Cascade Natural Gas Corporation
Revenue Proof&amp;R&amp;9CNGC/401
Myhrum/Page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2021-06-11T07:00:00+00:00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52" ma:contentTypeDescription="" ma:contentTypeScope="" ma:versionID="a01e1694838e990fd531486eedd7e1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2987DD2-ECD2-4DC5-B6E5-06311F197FF6}">
  <ds:schemaRefs>
    <ds:schemaRef ds:uri="http://schemas.microsoft.com/sharepoint/v3/contenttype/forms"/>
  </ds:schemaRefs>
</ds:datastoreItem>
</file>

<file path=customXml/itemProps2.xml><?xml version="1.0" encoding="utf-8"?>
<ds:datastoreItem xmlns:ds="http://schemas.openxmlformats.org/officeDocument/2006/customXml" ds:itemID="{B49482A7-848A-47BC-87B9-85411ECE13E3}">
  <ds:schemaRefs>
    <ds:schemaRef ds:uri="http://purl.org/dc/elements/1.1/"/>
    <ds:schemaRef ds:uri="http://schemas.microsoft.com/office/2006/metadata/properties"/>
    <ds:schemaRef ds:uri="b5df3ae9-f00c-4e6e-8773-083cef44cac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0bb9782-60b2-4bdd-8cf4-24cfb4846487"/>
    <ds:schemaRef ds:uri="http://www.w3.org/XML/1998/namespace"/>
    <ds:schemaRef ds:uri="http://purl.org/dc/dcmitype/"/>
  </ds:schemaRefs>
</ds:datastoreItem>
</file>

<file path=customXml/itemProps3.xml><?xml version="1.0" encoding="utf-8"?>
<ds:datastoreItem xmlns:ds="http://schemas.openxmlformats.org/officeDocument/2006/customXml" ds:itemID="{EC0F1CB8-E1F4-45F3-B90F-F30EF422B586}"/>
</file>

<file path=customXml/itemProps4.xml><?xml version="1.0" encoding="utf-8"?>
<ds:datastoreItem xmlns:ds="http://schemas.openxmlformats.org/officeDocument/2006/customXml" ds:itemID="{1CDAFE64-22B2-4911-83FF-6EB50E473B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44</vt:i4>
      </vt:variant>
    </vt:vector>
  </HeadingPairs>
  <TitlesOfParts>
    <vt:vector size="96" baseType="lpstr">
      <vt:lpstr>Cover</vt:lpstr>
      <vt:lpstr>TOC</vt:lpstr>
      <vt:lpstr>Title</vt:lpstr>
      <vt:lpstr>Proof ---&gt;</vt:lpstr>
      <vt:lpstr>Exh 2, Proof of Revenue</vt:lpstr>
      <vt:lpstr>Exh 3, Revenue Adjustments</vt:lpstr>
      <vt:lpstr>Exh 4, Revenue Distribution</vt:lpstr>
      <vt:lpstr>Exh 5, Decoupling</vt:lpstr>
      <vt:lpstr>Proof WPs ---&gt;</vt:lpstr>
      <vt:lpstr>1501 Summary</vt:lpstr>
      <vt:lpstr>Revenue Reconcilliation</vt:lpstr>
      <vt:lpstr>End of Period Calculations</vt:lpstr>
      <vt:lpstr>Allocation Report Summary 2019</vt:lpstr>
      <vt:lpstr>Weather Normalization</vt:lpstr>
      <vt:lpstr>WACAP 2019</vt:lpstr>
      <vt:lpstr>2020 New Customers</vt:lpstr>
      <vt:lpstr>Billing Correction</vt:lpstr>
      <vt:lpstr>Rev Req ---&gt;</vt:lpstr>
      <vt:lpstr>Exh 6, ROO Summary</vt:lpstr>
      <vt:lpstr>Exh 7, Rev Req Calc</vt:lpstr>
      <vt:lpstr>Exh 8, Conversion Factor</vt:lpstr>
      <vt:lpstr>Exh 9, Summary of Adj</vt:lpstr>
      <vt:lpstr>Exh 10, Plant Additions</vt:lpstr>
      <vt:lpstr>Exh 11, Supporting Explanations</vt:lpstr>
      <vt:lpstr>RR WPs ---&gt;</vt:lpstr>
      <vt:lpstr>Plant Summary</vt:lpstr>
      <vt:lpstr>Exhibit PCD-4</vt:lpstr>
      <vt:lpstr>R&amp;R Adjustment</vt:lpstr>
      <vt:lpstr>Operating Report</vt:lpstr>
      <vt:lpstr>Rate Base</vt:lpstr>
      <vt:lpstr>Plant in Serv &amp; Accum Depr</vt:lpstr>
      <vt:lpstr>Adv for Const. &amp; Def Tax</vt:lpstr>
      <vt:lpstr>Capital Structure Calculation</vt:lpstr>
      <vt:lpstr>Long-Term Debt</vt:lpstr>
      <vt:lpstr>State Allocation Formulas</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MAOP UG-160787 Deferral</vt:lpstr>
      <vt:lpstr> Working Capital (AMA)</vt:lpstr>
      <vt:lpstr>Rate Design ---&gt;</vt:lpstr>
      <vt:lpstr>Exh 17, Class Revenue</vt:lpstr>
      <vt:lpstr>Exh 18, Class Rates</vt:lpstr>
      <vt:lpstr>Exh 19, RES Monthly Impact</vt:lpstr>
      <vt:lpstr>Exh 20, Bill Impacts</vt:lpstr>
      <vt:lpstr>RD WPs ---&gt;</vt:lpstr>
      <vt:lpstr>CompanyD</vt:lpstr>
      <vt:lpstr>'1501 Summary'!Print_Area</vt:lpstr>
      <vt:lpstr>'2020 New Customers'!Print_Area</vt:lpstr>
      <vt:lpstr>'Allocation Report Summary 2019'!Print_Area</vt:lpstr>
      <vt:lpstr>'Annualize CRM Adjustment'!Print_Area</vt:lpstr>
      <vt:lpstr>'Billing Correction'!Print_Area</vt:lpstr>
      <vt:lpstr>'Capital Structure Calculation'!Print_Area</vt:lpstr>
      <vt:lpstr>'EOP Revenue Adjustment'!Print_Area</vt:lpstr>
      <vt:lpstr>'Executive Incentives'!Print_Area</vt:lpstr>
      <vt:lpstr>'Exh 11, Supporting Explanations'!Print_Area</vt:lpstr>
      <vt:lpstr>'Exh 17, Class Revenue'!Print_Area</vt:lpstr>
      <vt:lpstr>'Exh 18, Class Rates'!Print_Area</vt:lpstr>
      <vt:lpstr>'Exh 19, RES Monthly Impact'!Print_Area</vt:lpstr>
      <vt:lpstr>'Exh 2, Proof of Revenue'!Print_Area</vt:lpstr>
      <vt:lpstr>'Exh 20, Bill Impacts'!Print_Area</vt:lpstr>
      <vt:lpstr>'Exh 5, Decoupling'!Print_Area</vt:lpstr>
      <vt:lpstr>'Exh 6, ROO Summary'!Print_Area</vt:lpstr>
      <vt:lpstr>'Exh 9, Summary of Adj'!Print_Area</vt:lpstr>
      <vt:lpstr>'Exhibit PCD-4'!Print_Area</vt:lpstr>
      <vt:lpstr>'Long-Term Debt'!Print_Area</vt:lpstr>
      <vt:lpstr>'Operating Report'!Print_Area</vt:lpstr>
      <vt:lpstr>'Plant Summary'!Print_Area</vt:lpstr>
      <vt:lpstr>'Pro Forma Plant Additions'!Print_Area</vt:lpstr>
      <vt:lpstr>'R&amp;R Adjustment'!Print_Area</vt:lpstr>
      <vt:lpstr>'Restate &amp; Pro Forma Wage Adjust'!Print_Area</vt:lpstr>
      <vt:lpstr>'Restate Revenues Adjustment'!Print_Area</vt:lpstr>
      <vt:lpstr>'State Allocation Formulas'!Print_Area</vt:lpstr>
      <vt:lpstr>Title!Print_Area</vt:lpstr>
      <vt:lpstr>'WACAP 2019'!Print_Area</vt:lpstr>
      <vt:lpstr>' Working Capital (AMA)'!Print_Titles</vt:lpstr>
      <vt:lpstr>'Adv for Const. &amp; Def Tax'!Print_Titles</vt:lpstr>
      <vt:lpstr>'Advertising Adj'!Print_Titles</vt:lpstr>
      <vt:lpstr>'Exh 10, Plant Additions'!Print_Titles</vt:lpstr>
      <vt:lpstr>'Exh 11, Supporting Explanations'!Print_Titles</vt:lpstr>
      <vt:lpstr>'Exh 2, Proof of Revenue'!Print_Titles</vt:lpstr>
      <vt:lpstr>'Exhibit PCD-4'!Print_Titles</vt:lpstr>
      <vt:lpstr>'Operating Report'!Print_Titles</vt:lpstr>
      <vt:lpstr>'Plant in Serv &amp; Accum Depr'!Print_Titles</vt:lpstr>
      <vt:lpstr>'Restate &amp; Pro Forma Wage Adjust'!Print_Titles</vt:lpstr>
      <vt:lpstr>Title3</vt:lpstr>
      <vt:lpstr>Title4</vt:lpstr>
      <vt:lpstr>Title5</vt:lpstr>
      <vt:lpstr>Title6</vt:lpstr>
      <vt:lpstr>Title7</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Mickelson, Christopher</cp:lastModifiedBy>
  <cp:lastPrinted>2021-01-08T21:46:53Z</cp:lastPrinted>
  <dcterms:created xsi:type="dcterms:W3CDTF">2014-12-11T21:48:04Z</dcterms:created>
  <dcterms:modified xsi:type="dcterms:W3CDTF">2021-06-11T19:25:37Z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