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555" yWindow="810" windowWidth="7455" windowHeight="6735" tabRatio="854"/>
  </bookViews>
  <sheets>
    <sheet name="Rate Spread-Margin" sheetId="42667" r:id="rId1"/>
    <sheet name="Rate Design Res" sheetId="364" r:id="rId2"/>
    <sheet name="Rate Design C&amp;I" sheetId="16" r:id="rId3"/>
    <sheet name="Rate Design Int &amp; Trans" sheetId="5" r:id="rId4"/>
    <sheet name="Rate Design Rental" sheetId="4128" r:id="rId5"/>
    <sheet name="23" sheetId="42674" r:id="rId6"/>
    <sheet name="23 by month" sheetId="42670" r:id="rId7"/>
    <sheet name="31" sheetId="42671" r:id="rId8"/>
    <sheet name="41" sheetId="4267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1">#REF!</definedName>
    <definedName name="_31">#REF!</definedName>
    <definedName name="_36">#REF!</definedName>
    <definedName name="_41">#REF!</definedName>
    <definedName name="_43">#REF!</definedName>
    <definedName name="_50">#REF!</definedName>
    <definedName name="_51">#REF!</definedName>
    <definedName name="_57">#REF!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>[2]BS!$U$7:$U$3582</definedName>
    <definedName name="_Aug04">[2]BS!$Y$7:$Y$3582</definedName>
    <definedName name="_Dec03">[4]BS!$T$7:$T$3582</definedName>
    <definedName name="_Dec04">[2]BS!$AC$7:$AC$3580</definedName>
    <definedName name="_Feb04">[2]BS!$S$7:$S$3582</definedName>
    <definedName name="_Fill">#REF!</definedName>
    <definedName name="_Jan04">[2]BS!$R$7:$R$3582</definedName>
    <definedName name="_Jul04">[2]BS!$X$7:$X$3582</definedName>
    <definedName name="_Jun04">[2]BS!$W$7:$W$3582</definedName>
    <definedName name="_Mar04">[2]BS!$T$7:$T$3582</definedName>
    <definedName name="_May04">[2]BS!$V$7:$V$3582</definedName>
    <definedName name="_Nov03">[4]BS!$S$7:$S$3582</definedName>
    <definedName name="_Nov04">[2]BS!$AB$7:$AB$3582</definedName>
    <definedName name="_Oct03">[4]BS!$R$7:$R$3582</definedName>
    <definedName name="_Oct04">[2]BS!$AA$7:$AA$3582</definedName>
    <definedName name="_Order1" hidden="1">0</definedName>
    <definedName name="_Order2" hidden="1">0</definedName>
    <definedName name="_P_RD">#REF!</definedName>
    <definedName name="_PRINT_23_36">#REF!</definedName>
    <definedName name="_PRINT_85_58">#REF!</definedName>
    <definedName name="_RATE_DESIGN">#REF!</definedName>
    <definedName name="_RES">#REF!</definedName>
    <definedName name="_Sep03">[4]BS!$Q$7:$Q$3582</definedName>
    <definedName name="_Sep04">[2]BS!$Z$7:$Z$3582</definedName>
    <definedName name="Acq1Plant">'[1]Acquisition Inputs'!$C$8</definedName>
    <definedName name="Acq2Plant">'[1]Acquisition Inputs'!$C$70</definedName>
    <definedName name="apeek">#REF!</definedName>
    <definedName name="Apr04AMA">[2]BS!$AG$7:$AG$3582</definedName>
    <definedName name="Aug04AMA">[2]BS!$AK$7:$AK$3582</definedName>
    <definedName name="Aurora_Prices">"Monthly Price Summary'!$C$4:$H$63"</definedName>
    <definedName name="BADDEBT">#REF!</definedName>
    <definedName name="BD">#REF!</definedName>
    <definedName name="BEP">#REF!</definedName>
    <definedName name="Capacity">#REF!</definedName>
    <definedName name="CaseDescription">'[1]Dispatch Cases'!$C$11</definedName>
    <definedName name="CCGT_HeatRate">[1]Assumptions!$H$23</definedName>
    <definedName name="CCGTPrice">[1]Assumptions!$H$22</definedName>
    <definedName name="COLHOUSE">#REF!</definedName>
    <definedName name="COLXFER">#REF!</definedName>
    <definedName name="COMMON_ADMIN_ALLOCATED">#REF!</definedName>
    <definedName name="COMPINSR">#REF!</definedName>
    <definedName name="CONSERV">#REF!</definedName>
    <definedName name="ContractDate">'[3]Dispatch Cases'!#REF!</definedName>
    <definedName name="ConversionFactor">[1]Assumptions!$I$65</definedName>
    <definedName name="CONVFACT">#REF!</definedName>
    <definedName name="CUSTDEP">#REF!</definedName>
    <definedName name="Data">#REF!</definedName>
    <definedName name="DebtPerc">[1]Assumptions!$I$58</definedName>
    <definedName name="Dec03AMA">[4]BS!$AJ$7:$AJ$3582</definedName>
    <definedName name="Dec04AMA">[2]BS!$AO$7:$AO$3582</definedName>
    <definedName name="DEPRECIATION">#REF!</definedName>
    <definedName name="DF_HeatRate">[1]Assumptions!$L$23</definedName>
    <definedName name="Disc">'[3]Debt Amortization'!#REF!</definedName>
    <definedName name="DOCKET">#REF!</definedName>
    <definedName name="ee" localSheetId="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'[5]Monthly Price Summary'!$B$4:$E$27</definedName>
    <definedName name="ElRBLine">[2]BS!$AQ$7:$AQ$3303</definedName>
    <definedName name="EMPLBENE">#REF!</definedName>
    <definedName name="EndDate">[1]Assumptions!$C$11</definedName>
    <definedName name="FACTORS">#REF!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[2]BS!$AE$7:$AE$3582</definedName>
    <definedName name="Fed_Cap_Tax">[6]Inputs!$E$112</definedName>
    <definedName name="FedTaxRate">[1]Assumptions!$C$33</definedName>
    <definedName name="FF">#REF!</definedName>
    <definedName name="FIELDCHRG">#REF!</definedName>
    <definedName name="FIT">'[7]2.29'!#REF!</definedName>
    <definedName name="GasRBLine">[2]BS!$AS$7:$AS$3631</definedName>
    <definedName name="GasWC_LineItem">[2]BS!$AR$7:$AR$3631</definedName>
    <definedName name="GeoDate">'[3]Dispatch Cases'!#REF!</definedName>
    <definedName name="HydroCap">#REF!</definedName>
    <definedName name="HydroGen">[3]Dispatch!#REF!</definedName>
    <definedName name="INCSTMNT">#REF!</definedName>
    <definedName name="INCSTMT">#REF!</definedName>
    <definedName name="INTRESEXCH">#REF!</definedName>
    <definedName name="INVPLAN">#REF!</definedName>
    <definedName name="Jan04AMA">[2]BS!$AD$7:$AD$3582</definedName>
    <definedName name="Jul04AMA">[2]BS!$AJ$7:$AJ$3582</definedName>
    <definedName name="Jun04AMA">[2]BS!$AI$7:$AI$3582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oadArray">'[8]Load Source Data'!$C$78:$X$89</definedName>
    <definedName name="LoadGrowthAdder">#REF!</definedName>
    <definedName name="Mar04AMA">[2]BS!$AF$7:$AF$3582</definedName>
    <definedName name="May04AMA">[2]BS!$AH$7:$AH$3582</definedName>
    <definedName name="MERGER_COST">[9]Sheet1!$AF$3:$AJ$28</definedName>
    <definedName name="MISCELLANEOUS">#REF!</definedName>
    <definedName name="MonTotalDispatch">[3]Dispatch!#REF!</definedName>
    <definedName name="MT">#REF!</definedName>
    <definedName name="MTD_Format">[10]Mthly!$B$11:$D$11,[10]Mthly!$B$32:$D$32</definedName>
    <definedName name="MustRunGen">[3]Dispatch!#REF!</definedName>
    <definedName name="Nov03AMA">[4]BS!$AI$7:$AI$3582</definedName>
    <definedName name="Nov04AMA">[2]BS!$AN$7:$AN$3582</definedName>
    <definedName name="OBCLEASE">#REF!</definedName>
    <definedName name="Oct03AMA">[4]BS!$AH$7:$AH$3582</definedName>
    <definedName name="Oct04AMA">[2]BS!$AM$7:$AM$3582</definedName>
    <definedName name="OPEXPPF">#REF!</definedName>
    <definedName name="OPEXPRS">#REF!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[6]Inputs!$E$129</definedName>
    <definedName name="PERCENTAGES_CALCULATED">#REF!</definedName>
    <definedName name="PreTaxDebtCost">[1]Assumptions!$I$56</definedName>
    <definedName name="PreTaxWACC">[1]Assumptions!$I$62</definedName>
    <definedName name="PriceCaseTable">#REF!</definedName>
    <definedName name="Prices_Aurora">'[5]Monthly Price Summary'!$C$4:$H$63</definedName>
    <definedName name="_xlnm.Print_Area" localSheetId="5">'23'!$B$1:$F$38</definedName>
    <definedName name="_xlnm.Print_Area" localSheetId="6">'23 by month'!$B$1:$G$31</definedName>
    <definedName name="_xlnm.Print_Area" localSheetId="7">'31'!$B$1:$F$34</definedName>
    <definedName name="_xlnm.Print_Area" localSheetId="8">'41'!$B$1:$G$38</definedName>
    <definedName name="_xlnm.Print_Area" localSheetId="2">'Rate Design C&amp;I'!$B$1:$L$148</definedName>
    <definedName name="_xlnm.Print_Area" localSheetId="3">'Rate Design Int &amp; Trans'!$B$1:$L$227</definedName>
    <definedName name="_xlnm.Print_Area" localSheetId="4">'Rate Design Rental'!$B$2:$K$34</definedName>
    <definedName name="_xlnm.Print_Area" localSheetId="1">'Rate Design Res'!$B$1:$M$56</definedName>
    <definedName name="_xlnm.Print_Area" localSheetId="0">'Rate Spread-Margin'!$B$1:$P$29</definedName>
    <definedName name="_xlnm.Print_Titles" localSheetId="2">'Rate Design C&amp;I'!$1:$8</definedName>
    <definedName name="_xlnm.Print_Titles" localSheetId="3">'Rate Design Int &amp; Trans'!$1:$8</definedName>
    <definedName name="_xlnm.Print_Titles" localSheetId="1">'Rate Design Res'!$2:$5</definedName>
    <definedName name="PRO_FORMA">#REF!</definedName>
    <definedName name="PRODADJ">#REF!</definedName>
    <definedName name="Production_Factor">#REF!</definedName>
    <definedName name="PROPSALES">#REF!</definedName>
    <definedName name="Prov_Cap_Tax">[6]Inputs!$E$111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QA">[11]IPOA2002!#REF!</definedName>
    <definedName name="RATEBASE">#REF!</definedName>
    <definedName name="RATEBASE_U95">#REF!</definedName>
    <definedName name="RATECASE">#REF!</definedName>
    <definedName name="resource_lookup">'[12]#REF'!$B$3:$C$112</definedName>
    <definedName name="RESTATING">#REF!</definedName>
    <definedName name="RETIREPLAN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ep03AMA">[4]BS!$AG$7:$AG$3582</definedName>
    <definedName name="Sep04AMA">[2]BS!$AL$7:$AL$3582</definedName>
    <definedName name="SKAGIT">#REF!</definedName>
    <definedName name="SLFINSURANCE">#REF!</definedName>
    <definedName name="SolarDate">'[3]Dispatch Cases'!#REF!</definedName>
    <definedName name="SPREAD">#REF!</definedName>
    <definedName name="STAFFREDUC">#REF!</definedName>
    <definedName name="StartDate">[1]Assumptions!$C$9</definedName>
    <definedName name="STORM">#REF!</definedName>
    <definedName name="SUMMARY">#REF!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ADJ">#REF!</definedName>
    <definedName name="TenaskaShare">[3]Dispatch!#REF!</definedName>
    <definedName name="TESTYEAR">#REF!</definedName>
    <definedName name="Therm_upload">#REF!</definedName>
    <definedName name="ThermalBookLife">[1]Assumptions!$C$25</definedName>
    <definedName name="Title">[1]Assumptions!$A$1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OMEsc">[1]Assumptions!$C$21</definedName>
    <definedName name="WACC">[1]Assumptions!$I$61</definedName>
    <definedName name="WAGES">#REF!</definedName>
    <definedName name="we" localSheetId="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'[3]Dispatch Cases'!#REF!</definedName>
    <definedName name="WRKCAP">#REF!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5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MARGIN_WO_QTR." localSheetId="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'[13]Revison Inputs'!$B$6</definedName>
  </definedNames>
  <calcPr calcId="125725" calcMode="manual" iterate="1" calcOnSave="0"/>
</workbook>
</file>

<file path=xl/calcChain.xml><?xml version="1.0" encoding="utf-8"?>
<calcChain xmlns="http://schemas.openxmlformats.org/spreadsheetml/2006/main">
  <c r="H20" i="5"/>
  <c r="H19"/>
  <c r="H18"/>
  <c r="H145"/>
  <c r="H144"/>
  <c r="H143"/>
  <c r="H142"/>
  <c r="H141"/>
  <c r="H140"/>
  <c r="H59" i="16"/>
  <c r="H42" i="5"/>
  <c r="H41"/>
  <c r="D7" i="42673"/>
  <c r="E7"/>
  <c r="D8"/>
  <c r="E8"/>
  <c r="D10"/>
  <c r="D11"/>
  <c r="D19" s="1"/>
  <c r="D12"/>
  <c r="E15"/>
  <c r="E16"/>
  <c r="D18"/>
  <c r="C25"/>
  <c r="D25" s="1"/>
  <c r="C26"/>
  <c r="D26" s="1"/>
  <c r="C27"/>
  <c r="D27" s="1"/>
  <c r="C28"/>
  <c r="D28" s="1"/>
  <c r="C29"/>
  <c r="D29" s="1"/>
  <c r="C30"/>
  <c r="C31"/>
  <c r="C32"/>
  <c r="C33"/>
  <c r="C34"/>
  <c r="C35"/>
  <c r="C36"/>
  <c r="C37"/>
  <c r="D7" i="42671"/>
  <c r="C19" s="1"/>
  <c r="E7"/>
  <c r="D8"/>
  <c r="E8"/>
  <c r="E11"/>
  <c r="E12"/>
  <c r="D13"/>
  <c r="C20"/>
  <c r="C22"/>
  <c r="C24"/>
  <c r="C26"/>
  <c r="C28"/>
  <c r="C30"/>
  <c r="C32"/>
  <c r="C34"/>
  <c r="D7" i="42670"/>
  <c r="E7"/>
  <c r="D8"/>
  <c r="D13" s="1"/>
  <c r="E8"/>
  <c r="E11"/>
  <c r="E12"/>
  <c r="C30"/>
  <c r="D7" i="42674"/>
  <c r="E7"/>
  <c r="D8"/>
  <c r="D13" s="1"/>
  <c r="E8"/>
  <c r="E11"/>
  <c r="E12"/>
  <c r="H14" i="4128"/>
  <c r="I14"/>
  <c r="J14" s="1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H15"/>
  <c r="I15"/>
  <c r="J15" s="1"/>
  <c r="K15" s="1"/>
  <c r="H16"/>
  <c r="I16"/>
  <c r="J16" s="1"/>
  <c r="H17"/>
  <c r="I17"/>
  <c r="J17" s="1"/>
  <c r="K17" s="1"/>
  <c r="H18"/>
  <c r="I18"/>
  <c r="J18" s="1"/>
  <c r="K18" s="1"/>
  <c r="H19"/>
  <c r="I19"/>
  <c r="J19" s="1"/>
  <c r="K19" s="1"/>
  <c r="H20"/>
  <c r="I20"/>
  <c r="J20" s="1"/>
  <c r="K20" s="1"/>
  <c r="H21"/>
  <c r="I21"/>
  <c r="J21" s="1"/>
  <c r="K21" s="1"/>
  <c r="H22"/>
  <c r="I22"/>
  <c r="J22" s="1"/>
  <c r="K22" s="1"/>
  <c r="H23"/>
  <c r="I23"/>
  <c r="J23" s="1"/>
  <c r="K23" s="1"/>
  <c r="H24"/>
  <c r="I24"/>
  <c r="J24" s="1"/>
  <c r="K24" s="1"/>
  <c r="H25"/>
  <c r="I25"/>
  <c r="J25" s="1"/>
  <c r="K25" s="1"/>
  <c r="H26"/>
  <c r="I26"/>
  <c r="J26" s="1"/>
  <c r="K26" s="1"/>
  <c r="H27"/>
  <c r="I27"/>
  <c r="J27" s="1"/>
  <c r="K27" s="1"/>
  <c r="H28"/>
  <c r="I28"/>
  <c r="J28" s="1"/>
  <c r="H29"/>
  <c r="I29"/>
  <c r="J29" s="1"/>
  <c r="K29" s="1"/>
  <c r="H30"/>
  <c r="I30"/>
  <c r="J30" s="1"/>
  <c r="K30" s="1"/>
  <c r="F31"/>
  <c r="D12" i="5"/>
  <c r="F12" s="1"/>
  <c r="K12" s="1"/>
  <c r="I12"/>
  <c r="D13"/>
  <c r="F13" s="1"/>
  <c r="F15"/>
  <c r="F56" s="1"/>
  <c r="I15"/>
  <c r="D18"/>
  <c r="F18" s="1"/>
  <c r="D19"/>
  <c r="D20"/>
  <c r="F20" s="1"/>
  <c r="H24"/>
  <c r="H25"/>
  <c r="H150" s="1"/>
  <c r="D34"/>
  <c r="H34"/>
  <c r="D35"/>
  <c r="H35"/>
  <c r="F36"/>
  <c r="I36"/>
  <c r="K36" s="1"/>
  <c r="D40"/>
  <c r="F40" s="1"/>
  <c r="H40"/>
  <c r="D41"/>
  <c r="D42"/>
  <c r="D77"/>
  <c r="F77" s="1"/>
  <c r="D78"/>
  <c r="I78" s="1"/>
  <c r="F80"/>
  <c r="F115" s="1"/>
  <c r="K115" s="1"/>
  <c r="I80"/>
  <c r="D83"/>
  <c r="H83"/>
  <c r="D84"/>
  <c r="H84"/>
  <c r="H88"/>
  <c r="F97"/>
  <c r="H97"/>
  <c r="I97" s="1"/>
  <c r="K97"/>
  <c r="F98"/>
  <c r="H98"/>
  <c r="I98" s="1"/>
  <c r="K98" s="1"/>
  <c r="K99"/>
  <c r="F102"/>
  <c r="F103"/>
  <c r="D104"/>
  <c r="D106"/>
  <c r="I115"/>
  <c r="D118"/>
  <c r="D134"/>
  <c r="F134" s="1"/>
  <c r="I134"/>
  <c r="D135"/>
  <c r="F135" s="1"/>
  <c r="I135"/>
  <c r="I137"/>
  <c r="D140"/>
  <c r="I140" s="1"/>
  <c r="H163"/>
  <c r="H212" s="1"/>
  <c r="D141"/>
  <c r="F141" s="1"/>
  <c r="H164"/>
  <c r="H213" s="1"/>
  <c r="I213" s="1"/>
  <c r="D142"/>
  <c r="H165"/>
  <c r="D143"/>
  <c r="F143" s="1"/>
  <c r="H166"/>
  <c r="H215" s="1"/>
  <c r="D144"/>
  <c r="F144" s="1"/>
  <c r="H167"/>
  <c r="H216" s="1"/>
  <c r="I216" s="1"/>
  <c r="K216" s="1"/>
  <c r="F145"/>
  <c r="H149"/>
  <c r="D158"/>
  <c r="I158" s="1"/>
  <c r="H158"/>
  <c r="D159"/>
  <c r="F159" s="1"/>
  <c r="H159"/>
  <c r="D163"/>
  <c r="D164"/>
  <c r="D165"/>
  <c r="D166"/>
  <c r="D167"/>
  <c r="D168"/>
  <c r="F184"/>
  <c r="D208"/>
  <c r="F208" s="1"/>
  <c r="H208"/>
  <c r="D209"/>
  <c r="F209"/>
  <c r="H209"/>
  <c r="I209"/>
  <c r="K209" s="1"/>
  <c r="D212"/>
  <c r="D213"/>
  <c r="F213" s="1"/>
  <c r="D214"/>
  <c r="D215"/>
  <c r="D216"/>
  <c r="F216" s="1"/>
  <c r="D217"/>
  <c r="F231"/>
  <c r="D12" i="16"/>
  <c r="F12"/>
  <c r="I12"/>
  <c r="D13"/>
  <c r="D16" s="1"/>
  <c r="F16" s="1"/>
  <c r="H16"/>
  <c r="F23"/>
  <c r="H23"/>
  <c r="I23" s="1"/>
  <c r="F24"/>
  <c r="F27" s="1"/>
  <c r="H24"/>
  <c r="I24" s="1"/>
  <c r="K24" s="1"/>
  <c r="F25"/>
  <c r="I25"/>
  <c r="K25"/>
  <c r="F26"/>
  <c r="I26"/>
  <c r="K26" s="1"/>
  <c r="F29"/>
  <c r="I29"/>
  <c r="K29" s="1"/>
  <c r="D47"/>
  <c r="F47" s="1"/>
  <c r="F48" s="1"/>
  <c r="H47"/>
  <c r="I47" s="1"/>
  <c r="D53"/>
  <c r="F53" s="1"/>
  <c r="D54"/>
  <c r="F54" s="1"/>
  <c r="D55"/>
  <c r="F55" s="1"/>
  <c r="I55"/>
  <c r="K55" s="1"/>
  <c r="D58"/>
  <c r="D59"/>
  <c r="H54"/>
  <c r="H74" s="1"/>
  <c r="D60"/>
  <c r="H60"/>
  <c r="H80"/>
  <c r="I80" s="1"/>
  <c r="K80" s="1"/>
  <c r="H64"/>
  <c r="D65"/>
  <c r="H65"/>
  <c r="D73"/>
  <c r="I73" s="1"/>
  <c r="H73"/>
  <c r="D75"/>
  <c r="I75" s="1"/>
  <c r="H75"/>
  <c r="D78"/>
  <c r="D79"/>
  <c r="F79" s="1"/>
  <c r="D80"/>
  <c r="F80" s="1"/>
  <c r="F117"/>
  <c r="I117"/>
  <c r="F118"/>
  <c r="I118"/>
  <c r="D121"/>
  <c r="F121" s="1"/>
  <c r="H121"/>
  <c r="I121"/>
  <c r="K121" s="1"/>
  <c r="L121" s="1"/>
  <c r="F12" i="364"/>
  <c r="I12"/>
  <c r="F13"/>
  <c r="I13"/>
  <c r="D16"/>
  <c r="F16" s="1"/>
  <c r="H16"/>
  <c r="E9" i="42674" s="1"/>
  <c r="F24" i="364"/>
  <c r="H24"/>
  <c r="I24" s="1"/>
  <c r="F25"/>
  <c r="F26" s="1"/>
  <c r="H25"/>
  <c r="I25" s="1"/>
  <c r="K25" s="1"/>
  <c r="D28"/>
  <c r="F28" s="1"/>
  <c r="H28"/>
  <c r="I28" s="1"/>
  <c r="K28" s="1"/>
  <c r="L28" s="1"/>
  <c r="F37"/>
  <c r="I37"/>
  <c r="F38"/>
  <c r="H38"/>
  <c r="F39"/>
  <c r="D40"/>
  <c r="F40"/>
  <c r="D42"/>
  <c r="D44" s="1"/>
  <c r="E44"/>
  <c r="H44"/>
  <c r="E13" i="42667"/>
  <c r="L13"/>
  <c r="E14"/>
  <c r="L14"/>
  <c r="E15"/>
  <c r="L15"/>
  <c r="E16"/>
  <c r="L16"/>
  <c r="E17"/>
  <c r="L17"/>
  <c r="E18"/>
  <c r="L18"/>
  <c r="E19"/>
  <c r="L19"/>
  <c r="E20"/>
  <c r="L20"/>
  <c r="E21"/>
  <c r="J21"/>
  <c r="L21"/>
  <c r="C22"/>
  <c r="H29" s="1"/>
  <c r="D22"/>
  <c r="D25" s="1"/>
  <c r="F22"/>
  <c r="L22"/>
  <c r="L25" s="1"/>
  <c r="E23"/>
  <c r="C24"/>
  <c r="E24" s="1"/>
  <c r="K24" s="1"/>
  <c r="M24" s="1"/>
  <c r="P24"/>
  <c r="F25"/>
  <c r="H102" i="5"/>
  <c r="I102" s="1"/>
  <c r="K102" s="1"/>
  <c r="H79" i="16"/>
  <c r="I79" s="1"/>
  <c r="H58"/>
  <c r="F131"/>
  <c r="F60"/>
  <c r="C25" i="42667"/>
  <c r="F75" i="16"/>
  <c r="F95" s="1"/>
  <c r="D112" i="5"/>
  <c r="C35" i="42674"/>
  <c r="I54" i="16"/>
  <c r="K54" s="1"/>
  <c r="I48"/>
  <c r="D35"/>
  <c r="I208" i="5"/>
  <c r="K208" s="1"/>
  <c r="I159"/>
  <c r="I77"/>
  <c r="D25"/>
  <c r="F25" s="1"/>
  <c r="F68" s="1"/>
  <c r="C31" i="42674"/>
  <c r="C27"/>
  <c r="C23"/>
  <c r="D29" i="42670"/>
  <c r="D25"/>
  <c r="D21"/>
  <c r="F100" i="16"/>
  <c r="I25" i="5"/>
  <c r="I68" s="1"/>
  <c r="K68" s="1"/>
  <c r="I131" i="16"/>
  <c r="K25" i="5"/>
  <c r="I141"/>
  <c r="K141" s="1"/>
  <c r="I143"/>
  <c r="K143" s="1"/>
  <c r="H214"/>
  <c r="I214" s="1"/>
  <c r="I95" i="16"/>
  <c r="O24" i="42667"/>
  <c r="K23" i="16"/>
  <c r="K27" s="1"/>
  <c r="K30" s="1"/>
  <c r="I27"/>
  <c r="I30" s="1"/>
  <c r="F129"/>
  <c r="F13"/>
  <c r="F36" s="1"/>
  <c r="I13"/>
  <c r="K13" s="1"/>
  <c r="D36"/>
  <c r="D40"/>
  <c r="F217" i="5"/>
  <c r="F168"/>
  <c r="F192" s="1"/>
  <c r="F163"/>
  <c r="F158"/>
  <c r="I145"/>
  <c r="K145" s="1"/>
  <c r="H168"/>
  <c r="H217" s="1"/>
  <c r="I217" s="1"/>
  <c r="K217" s="1"/>
  <c r="I144"/>
  <c r="F142"/>
  <c r="I142"/>
  <c r="F140"/>
  <c r="D146"/>
  <c r="F112"/>
  <c r="D28" i="42670"/>
  <c r="D24"/>
  <c r="D20"/>
  <c r="I44" i="364"/>
  <c r="F119" i="16"/>
  <c r="E11" i="42673"/>
  <c r="E19" s="1"/>
  <c r="I60" i="16"/>
  <c r="F59"/>
  <c r="D61"/>
  <c r="D64" s="1"/>
  <c r="E9" i="42671"/>
  <c r="I16" i="16"/>
  <c r="F214" i="5"/>
  <c r="I212"/>
  <c r="F167"/>
  <c r="F191"/>
  <c r="I167"/>
  <c r="F164"/>
  <c r="F188" s="1"/>
  <c r="I164"/>
  <c r="I188" s="1"/>
  <c r="K188" s="1"/>
  <c r="K137"/>
  <c r="I184"/>
  <c r="K184" s="1"/>
  <c r="I84"/>
  <c r="H103"/>
  <c r="I103"/>
  <c r="K103" s="1"/>
  <c r="F78"/>
  <c r="F113" s="1"/>
  <c r="D89"/>
  <c r="F42"/>
  <c r="I42"/>
  <c r="F35"/>
  <c r="K15"/>
  <c r="I13"/>
  <c r="K13" s="1"/>
  <c r="C19" i="42674"/>
  <c r="C32"/>
  <c r="C28"/>
  <c r="C24"/>
  <c r="C20"/>
  <c r="K79" i="16"/>
  <c r="D74"/>
  <c r="F74" s="1"/>
  <c r="I59"/>
  <c r="K59" s="1"/>
  <c r="F30" i="364"/>
  <c r="E12" i="42673"/>
  <c r="K213" i="5"/>
  <c r="I104"/>
  <c r="K80"/>
  <c r="I20"/>
  <c r="I61" s="1"/>
  <c r="I18"/>
  <c r="I100" i="16"/>
  <c r="K18" i="5"/>
  <c r="I74" i="16"/>
  <c r="F54" i="5"/>
  <c r="F89"/>
  <c r="F124" s="1"/>
  <c r="K167"/>
  <c r="I129" i="16"/>
  <c r="I40"/>
  <c r="K16"/>
  <c r="L16" s="1"/>
  <c r="F64"/>
  <c r="K64" s="1"/>
  <c r="I64"/>
  <c r="F137"/>
  <c r="F143" s="1"/>
  <c r="F123"/>
  <c r="D149" i="5"/>
  <c r="I149" s="1"/>
  <c r="I198" s="1"/>
  <c r="D136"/>
  <c r="F181"/>
  <c r="I36" i="16"/>
  <c r="K36" s="1"/>
  <c r="F187" i="5"/>
  <c r="I113"/>
  <c r="K113" s="1"/>
  <c r="I119"/>
  <c r="K142"/>
  <c r="I181"/>
  <c r="K158"/>
  <c r="F99" i="16"/>
  <c r="K140" i="5"/>
  <c r="K144"/>
  <c r="I168"/>
  <c r="I192" s="1"/>
  <c r="K192" s="1"/>
  <c r="F107" i="16"/>
  <c r="K181" i="5"/>
  <c r="F136"/>
  <c r="F183" s="1"/>
  <c r="I136"/>
  <c r="I183" s="1"/>
  <c r="K183" s="1"/>
  <c r="I107" i="16"/>
  <c r="K129"/>
  <c r="I94"/>
  <c r="K136" i="5"/>
  <c r="K168" l="1"/>
  <c r="I14" i="16"/>
  <c r="I135" s="1"/>
  <c r="K14" i="42667"/>
  <c r="I141" i="16"/>
  <c r="K16" i="4128"/>
  <c r="J31"/>
  <c r="K214" i="5"/>
  <c r="S21" i="42667"/>
  <c r="K21"/>
  <c r="D30" i="42673"/>
  <c r="D31"/>
  <c r="D32"/>
  <c r="D33"/>
  <c r="D34"/>
  <c r="D35"/>
  <c r="D36"/>
  <c r="D37"/>
  <c r="I146" i="5"/>
  <c r="I18" i="16"/>
  <c r="F149" i="5"/>
  <c r="K20"/>
  <c r="I191"/>
  <c r="K191" s="1"/>
  <c r="K135"/>
  <c r="K134"/>
  <c r="E9" i="42670"/>
  <c r="K13" i="364"/>
  <c r="D150" i="5"/>
  <c r="I40"/>
  <c r="I35"/>
  <c r="I56"/>
  <c r="K56" s="1"/>
  <c r="K14" i="4128"/>
  <c r="C33" i="42671"/>
  <c r="C31"/>
  <c r="C29"/>
  <c r="C27"/>
  <c r="C25"/>
  <c r="C23"/>
  <c r="C21"/>
  <c r="F182" i="5"/>
  <c r="K104"/>
  <c r="F94" i="16"/>
  <c r="K74"/>
  <c r="K131"/>
  <c r="I182" i="5"/>
  <c r="K159"/>
  <c r="N21" i="42667"/>
  <c r="M21"/>
  <c r="T21" s="1"/>
  <c r="E22"/>
  <c r="I38" i="364"/>
  <c r="K38" s="1"/>
  <c r="H39"/>
  <c r="I39" s="1"/>
  <c r="K39" s="1"/>
  <c r="F166" i="5"/>
  <c r="F190" s="1"/>
  <c r="I166"/>
  <c r="F106"/>
  <c r="I106"/>
  <c r="F84"/>
  <c r="D119"/>
  <c r="D120" s="1"/>
  <c r="D123" s="1"/>
  <c r="D125" s="1"/>
  <c r="F83"/>
  <c r="F118" s="1"/>
  <c r="I83"/>
  <c r="D18" i="42670"/>
  <c r="D27"/>
  <c r="D23"/>
  <c r="D19"/>
  <c r="D26"/>
  <c r="D22"/>
  <c r="I99" i="16"/>
  <c r="F14" i="364"/>
  <c r="F61" i="16"/>
  <c r="F30"/>
  <c r="F14"/>
  <c r="F61" i="5"/>
  <c r="K61" s="1"/>
  <c r="F59"/>
  <c r="H31" i="4128"/>
  <c r="E13" i="42674"/>
  <c r="E13" i="42671"/>
  <c r="K77" i="5"/>
  <c r="I112"/>
  <c r="E10" i="42673"/>
  <c r="E18" s="1"/>
  <c r="H78" i="16"/>
  <c r="K37" i="364"/>
  <c r="K40" s="1"/>
  <c r="I40"/>
  <c r="I46" s="1"/>
  <c r="K24"/>
  <c r="K26" s="1"/>
  <c r="I26"/>
  <c r="I30" s="1"/>
  <c r="K12"/>
  <c r="K14" s="1"/>
  <c r="I14"/>
  <c r="F65" i="16"/>
  <c r="F108" s="1"/>
  <c r="I65"/>
  <c r="K12"/>
  <c r="K14" s="1"/>
  <c r="I35"/>
  <c r="F215" i="5"/>
  <c r="I215"/>
  <c r="F212"/>
  <c r="K212" s="1"/>
  <c r="D218"/>
  <c r="D219" s="1"/>
  <c r="I165"/>
  <c r="F165"/>
  <c r="F189" s="1"/>
  <c r="D169"/>
  <c r="I163"/>
  <c r="F41"/>
  <c r="D43"/>
  <c r="I41"/>
  <c r="K41" s="1"/>
  <c r="F34"/>
  <c r="I34"/>
  <c r="F19"/>
  <c r="I19"/>
  <c r="C37" i="42674"/>
  <c r="C33"/>
  <c r="C29"/>
  <c r="C25"/>
  <c r="C21"/>
  <c r="C36"/>
  <c r="C34"/>
  <c r="C30"/>
  <c r="C26"/>
  <c r="C22"/>
  <c r="F146" i="5"/>
  <c r="K78"/>
  <c r="K164"/>
  <c r="K42"/>
  <c r="K60" i="16"/>
  <c r="K48"/>
  <c r="L48" s="1"/>
  <c r="F35"/>
  <c r="F37" s="1"/>
  <c r="F73"/>
  <c r="I16" i="364"/>
  <c r="H23" i="42667"/>
  <c r="F44" i="364"/>
  <c r="I119" i="16"/>
  <c r="D81"/>
  <c r="K75"/>
  <c r="I53"/>
  <c r="F40"/>
  <c r="F104" i="5"/>
  <c r="H89"/>
  <c r="I89" s="1"/>
  <c r="D85"/>
  <c r="D21"/>
  <c r="K28" i="4128"/>
  <c r="K31" s="1"/>
  <c r="E13" i="42670"/>
  <c r="K40" i="5" l="1"/>
  <c r="I59"/>
  <c r="F198"/>
  <c r="K198" s="1"/>
  <c r="N14" i="42667"/>
  <c r="M14"/>
  <c r="K59" i="5"/>
  <c r="K35"/>
  <c r="I54"/>
  <c r="K54" s="1"/>
  <c r="F150"/>
  <c r="F199" s="1"/>
  <c r="I150"/>
  <c r="K149"/>
  <c r="K23" i="42667"/>
  <c r="D79" i="5"/>
  <c r="D88"/>
  <c r="I79"/>
  <c r="K53" i="16"/>
  <c r="K61" s="1"/>
  <c r="I61"/>
  <c r="D82"/>
  <c r="D86"/>
  <c r="F52" i="364"/>
  <c r="F46"/>
  <c r="K44"/>
  <c r="L44" s="1"/>
  <c r="K16"/>
  <c r="L16" s="1"/>
  <c r="I52"/>
  <c r="F43" i="5"/>
  <c r="F53"/>
  <c r="D47"/>
  <c r="D44"/>
  <c r="I187"/>
  <c r="K187" s="1"/>
  <c r="K163"/>
  <c r="D222"/>
  <c r="I219"/>
  <c r="F219"/>
  <c r="I37" i="16"/>
  <c r="I41" s="1"/>
  <c r="K35"/>
  <c r="K37" s="1"/>
  <c r="K65"/>
  <c r="K66" s="1"/>
  <c r="I66"/>
  <c r="I108"/>
  <c r="I18" i="364"/>
  <c r="I53"/>
  <c r="K112" i="5"/>
  <c r="D23" i="42671"/>
  <c r="E23" s="1"/>
  <c r="F23" s="1"/>
  <c r="D33"/>
  <c r="E33" s="1"/>
  <c r="F33" s="1"/>
  <c r="D30"/>
  <c r="E30" s="1"/>
  <c r="F30" s="1"/>
  <c r="D28"/>
  <c r="E28" s="1"/>
  <c r="F28" s="1"/>
  <c r="D22"/>
  <c r="E22" s="1"/>
  <c r="F22" s="1"/>
  <c r="D26"/>
  <c r="E26" s="1"/>
  <c r="F26" s="1"/>
  <c r="D19"/>
  <c r="E19" s="1"/>
  <c r="F19" s="1"/>
  <c r="D29"/>
  <c r="E29" s="1"/>
  <c r="F29" s="1"/>
  <c r="D34"/>
  <c r="E34" s="1"/>
  <c r="F34" s="1"/>
  <c r="D32"/>
  <c r="E32" s="1"/>
  <c r="F32" s="1"/>
  <c r="D25"/>
  <c r="E25" s="1"/>
  <c r="F25" s="1"/>
  <c r="D21"/>
  <c r="E21" s="1"/>
  <c r="F21" s="1"/>
  <c r="I118" i="5"/>
  <c r="K118" s="1"/>
  <c r="K83"/>
  <c r="I125"/>
  <c r="I107"/>
  <c r="K106"/>
  <c r="K107" s="1"/>
  <c r="I190"/>
  <c r="K190" s="1"/>
  <c r="K166"/>
  <c r="F60"/>
  <c r="K215"/>
  <c r="I93" i="16"/>
  <c r="D20" i="42671"/>
  <c r="E20" s="1"/>
  <c r="F20" s="1"/>
  <c r="D27"/>
  <c r="E27" s="1"/>
  <c r="F27" s="1"/>
  <c r="E18" i="42670"/>
  <c r="E22"/>
  <c r="F22" s="1"/>
  <c r="G22" s="1"/>
  <c r="E26"/>
  <c r="F26" s="1"/>
  <c r="G26" s="1"/>
  <c r="E21"/>
  <c r="F21" s="1"/>
  <c r="G21" s="1"/>
  <c r="E29"/>
  <c r="F29" s="1"/>
  <c r="G29" s="1"/>
  <c r="E23"/>
  <c r="F23" s="1"/>
  <c r="G23" s="1"/>
  <c r="E20"/>
  <c r="F20" s="1"/>
  <c r="G20" s="1"/>
  <c r="E24"/>
  <c r="F24" s="1"/>
  <c r="G24" s="1"/>
  <c r="E28"/>
  <c r="F28" s="1"/>
  <c r="G28" s="1"/>
  <c r="E25"/>
  <c r="F25" s="1"/>
  <c r="G25" s="1"/>
  <c r="E19"/>
  <c r="F19" s="1"/>
  <c r="G19" s="1"/>
  <c r="E27"/>
  <c r="F27" s="1"/>
  <c r="G27" s="1"/>
  <c r="D24" i="5"/>
  <c r="D14"/>
  <c r="K89"/>
  <c r="I124"/>
  <c r="K124" s="1"/>
  <c r="F41" i="16"/>
  <c r="K40"/>
  <c r="L40" s="1"/>
  <c r="I123"/>
  <c r="K123" s="1"/>
  <c r="L123" s="1"/>
  <c r="K119"/>
  <c r="I137"/>
  <c r="J23" i="42667"/>
  <c r="F93" i="16"/>
  <c r="K73"/>
  <c r="K146" i="5"/>
  <c r="K19"/>
  <c r="I60"/>
  <c r="K60" s="1"/>
  <c r="K34"/>
  <c r="I53"/>
  <c r="D170"/>
  <c r="D174"/>
  <c r="K165"/>
  <c r="I189"/>
  <c r="K189" s="1"/>
  <c r="L14" i="16"/>
  <c r="K18"/>
  <c r="K18" i="364"/>
  <c r="L14"/>
  <c r="K30"/>
  <c r="L30" s="1"/>
  <c r="L26"/>
  <c r="K46"/>
  <c r="L46" s="1"/>
  <c r="L40"/>
  <c r="E25" i="42673"/>
  <c r="F25" s="1"/>
  <c r="G25" s="1"/>
  <c r="E26"/>
  <c r="F26" s="1"/>
  <c r="G26" s="1"/>
  <c r="E29"/>
  <c r="F29" s="1"/>
  <c r="G29" s="1"/>
  <c r="E31"/>
  <c r="F31" s="1"/>
  <c r="G31" s="1"/>
  <c r="E37"/>
  <c r="F37" s="1"/>
  <c r="G37" s="1"/>
  <c r="E34"/>
  <c r="F34" s="1"/>
  <c r="G34" s="1"/>
  <c r="E35"/>
  <c r="F35" s="1"/>
  <c r="G35" s="1"/>
  <c r="E28"/>
  <c r="F28" s="1"/>
  <c r="G28" s="1"/>
  <c r="E27"/>
  <c r="F27" s="1"/>
  <c r="G27" s="1"/>
  <c r="E30"/>
  <c r="F30" s="1"/>
  <c r="G30" s="1"/>
  <c r="E36"/>
  <c r="F36" s="1"/>
  <c r="G36" s="1"/>
  <c r="E33"/>
  <c r="F33" s="1"/>
  <c r="G33" s="1"/>
  <c r="E32"/>
  <c r="F32" s="1"/>
  <c r="G32" s="1"/>
  <c r="D20" i="42674"/>
  <c r="E20" s="1"/>
  <c r="F20" s="1"/>
  <c r="D24"/>
  <c r="E24" s="1"/>
  <c r="F24" s="1"/>
  <c r="D28"/>
  <c r="E28" s="1"/>
  <c r="F28" s="1"/>
  <c r="D32"/>
  <c r="E32" s="1"/>
  <c r="F32" s="1"/>
  <c r="D36"/>
  <c r="E36" s="1"/>
  <c r="F36" s="1"/>
  <c r="D21"/>
  <c r="E21" s="1"/>
  <c r="F21" s="1"/>
  <c r="D25"/>
  <c r="E25" s="1"/>
  <c r="F25" s="1"/>
  <c r="D29"/>
  <c r="E29" s="1"/>
  <c r="F29" s="1"/>
  <c r="D33"/>
  <c r="E33" s="1"/>
  <c r="F33" s="1"/>
  <c r="D35"/>
  <c r="E35" s="1"/>
  <c r="F35" s="1"/>
  <c r="D22"/>
  <c r="E22" s="1"/>
  <c r="F22" s="1"/>
  <c r="D26"/>
  <c r="E26" s="1"/>
  <c r="F26" s="1"/>
  <c r="D30"/>
  <c r="E30" s="1"/>
  <c r="F30" s="1"/>
  <c r="D34"/>
  <c r="E34" s="1"/>
  <c r="F34" s="1"/>
  <c r="D19"/>
  <c r="E19" s="1"/>
  <c r="F19" s="1"/>
  <c r="D23"/>
  <c r="E23" s="1"/>
  <c r="F23" s="1"/>
  <c r="D27"/>
  <c r="E27" s="1"/>
  <c r="F27" s="1"/>
  <c r="D31"/>
  <c r="E31" s="1"/>
  <c r="F31" s="1"/>
  <c r="D37"/>
  <c r="E37" s="1"/>
  <c r="F37" s="1"/>
  <c r="F135" i="16"/>
  <c r="F18"/>
  <c r="F18" i="364"/>
  <c r="F53"/>
  <c r="F119" i="5"/>
  <c r="K119" s="1"/>
  <c r="K84"/>
  <c r="F125"/>
  <c r="F107"/>
  <c r="H28" i="42667"/>
  <c r="E25"/>
  <c r="R21"/>
  <c r="O21"/>
  <c r="P21"/>
  <c r="K182" i="5"/>
  <c r="F220"/>
  <c r="D31" i="42671"/>
  <c r="E31" s="1"/>
  <c r="F31" s="1"/>
  <c r="D24"/>
  <c r="E24" s="1"/>
  <c r="F24" s="1"/>
  <c r="D30" i="42670"/>
  <c r="F66" i="16"/>
  <c r="O14" i="42667" l="1"/>
  <c r="P14"/>
  <c r="I199" i="5"/>
  <c r="K199" s="1"/>
  <c r="K150"/>
  <c r="I151"/>
  <c r="F151"/>
  <c r="F153" s="1"/>
  <c r="I170"/>
  <c r="F170"/>
  <c r="K53"/>
  <c r="L28" i="4128"/>
  <c r="L30" s="1"/>
  <c r="S23" i="42667"/>
  <c r="U23" s="1"/>
  <c r="L119" i="16"/>
  <c r="F14" i="5"/>
  <c r="I14"/>
  <c r="K53" i="364"/>
  <c r="K13" i="42667"/>
  <c r="L66" i="16"/>
  <c r="K68"/>
  <c r="K219" i="5"/>
  <c r="K220" s="1"/>
  <c r="I220"/>
  <c r="I47"/>
  <c r="F47"/>
  <c r="I86" i="16"/>
  <c r="F86"/>
  <c r="F109" s="1"/>
  <c r="F110" s="1"/>
  <c r="I114" i="5"/>
  <c r="I85"/>
  <c r="K18" i="42667" s="1"/>
  <c r="D113" i="5"/>
  <c r="D124" s="1"/>
  <c r="F79"/>
  <c r="K79" s="1"/>
  <c r="K85" s="1"/>
  <c r="D114"/>
  <c r="L18" i="16"/>
  <c r="F68"/>
  <c r="F130"/>
  <c r="H14" i="42667"/>
  <c r="H18"/>
  <c r="H24"/>
  <c r="H20"/>
  <c r="H17"/>
  <c r="H16"/>
  <c r="H13"/>
  <c r="U21"/>
  <c r="H19"/>
  <c r="H15"/>
  <c r="G21"/>
  <c r="F141" i="16"/>
  <c r="K135"/>
  <c r="L18" i="364"/>
  <c r="I174" i="5"/>
  <c r="F174"/>
  <c r="L146"/>
  <c r="K16" i="42667"/>
  <c r="K137" i="16"/>
  <c r="I143"/>
  <c r="K143" s="1"/>
  <c r="F24" i="5"/>
  <c r="I24"/>
  <c r="F18" i="42670"/>
  <c r="G18" s="1"/>
  <c r="E30"/>
  <c r="F30" s="1"/>
  <c r="G30" s="1"/>
  <c r="I130" i="16"/>
  <c r="I68"/>
  <c r="K41"/>
  <c r="L41" s="1"/>
  <c r="L37"/>
  <c r="I222" i="5"/>
  <c r="F222"/>
  <c r="F223" s="1"/>
  <c r="F44"/>
  <c r="I44"/>
  <c r="I54" i="364"/>
  <c r="K52"/>
  <c r="F82" i="16"/>
  <c r="I82"/>
  <c r="D83"/>
  <c r="L61"/>
  <c r="I88" i="5"/>
  <c r="F88"/>
  <c r="M23" i="42667"/>
  <c r="T23" s="1"/>
  <c r="N23"/>
  <c r="G23"/>
  <c r="K125" i="5"/>
  <c r="F54" i="364"/>
  <c r="K54" l="1"/>
  <c r="I153" i="5"/>
  <c r="K151"/>
  <c r="K222"/>
  <c r="K223"/>
  <c r="L223" s="1"/>
  <c r="L220"/>
  <c r="I90"/>
  <c r="I92" s="1"/>
  <c r="K88"/>
  <c r="K90" s="1"/>
  <c r="I123"/>
  <c r="K82" i="16"/>
  <c r="I102"/>
  <c r="K44" i="5"/>
  <c r="K45" s="1"/>
  <c r="I63"/>
  <c r="I45"/>
  <c r="I26"/>
  <c r="I67"/>
  <c r="K24"/>
  <c r="K26" s="1"/>
  <c r="N16" i="42667"/>
  <c r="M16"/>
  <c r="F200" i="5"/>
  <c r="F201" s="1"/>
  <c r="K141" i="16"/>
  <c r="F132"/>
  <c r="F69" i="5"/>
  <c r="K20" i="42667"/>
  <c r="I223" i="5"/>
  <c r="M13" i="42667"/>
  <c r="N13"/>
  <c r="I21" i="5"/>
  <c r="I55"/>
  <c r="K14"/>
  <c r="K21" s="1"/>
  <c r="I194"/>
  <c r="K170"/>
  <c r="K171" s="1"/>
  <c r="I171"/>
  <c r="K19" i="42667" s="1"/>
  <c r="L68" i="16"/>
  <c r="P23" i="42667"/>
  <c r="R23"/>
  <c r="O23"/>
  <c r="F90" i="5"/>
  <c r="F123"/>
  <c r="F126" s="1"/>
  <c r="F83" i="16"/>
  <c r="F103" s="1"/>
  <c r="I83"/>
  <c r="F102"/>
  <c r="F63" i="5"/>
  <c r="F45"/>
  <c r="F48" s="1"/>
  <c r="K130" i="16"/>
  <c r="K132" s="1"/>
  <c r="I132"/>
  <c r="F26" i="5"/>
  <c r="F67"/>
  <c r="F70" s="1"/>
  <c r="K174"/>
  <c r="I200"/>
  <c r="I175"/>
  <c r="H22" i="42667"/>
  <c r="H25" s="1"/>
  <c r="I39" s="1"/>
  <c r="F85" i="5"/>
  <c r="L85" s="1"/>
  <c r="F114"/>
  <c r="F120" s="1"/>
  <c r="F128" s="1"/>
  <c r="N18" i="42667"/>
  <c r="M18"/>
  <c r="I120" i="5"/>
  <c r="K86" i="16"/>
  <c r="I109"/>
  <c r="I110" s="1"/>
  <c r="K110" s="1"/>
  <c r="L110" s="1"/>
  <c r="K47" i="5"/>
  <c r="I48"/>
  <c r="I69"/>
  <c r="K69" s="1"/>
  <c r="F55"/>
  <c r="F62" s="1"/>
  <c r="F64" s="1"/>
  <c r="F72" s="1"/>
  <c r="F21"/>
  <c r="F194"/>
  <c r="F195" s="1"/>
  <c r="F203" s="1"/>
  <c r="F171"/>
  <c r="F175" s="1"/>
  <c r="K175" l="1"/>
  <c r="F28"/>
  <c r="K48"/>
  <c r="F84" i="16"/>
  <c r="L151" i="5"/>
  <c r="K153"/>
  <c r="L153" s="1"/>
  <c r="P18" i="42667"/>
  <c r="O18"/>
  <c r="I14"/>
  <c r="J14" s="1"/>
  <c r="I16"/>
  <c r="J16" s="1"/>
  <c r="I18"/>
  <c r="J18" s="1"/>
  <c r="R18" s="1"/>
  <c r="I20"/>
  <c r="J20" s="1"/>
  <c r="I15"/>
  <c r="J15" s="1"/>
  <c r="I17"/>
  <c r="J17" s="1"/>
  <c r="I19"/>
  <c r="J19" s="1"/>
  <c r="I13"/>
  <c r="K200" i="5"/>
  <c r="K201" s="1"/>
  <c r="L201" s="1"/>
  <c r="I201"/>
  <c r="L171"/>
  <c r="L21"/>
  <c r="K28"/>
  <c r="L28" s="1"/>
  <c r="K17" i="42667"/>
  <c r="I28" i="5"/>
  <c r="K92"/>
  <c r="L90"/>
  <c r="L48"/>
  <c r="K114"/>
  <c r="K120" s="1"/>
  <c r="F92"/>
  <c r="L26"/>
  <c r="K63"/>
  <c r="K84" i="16"/>
  <c r="F87"/>
  <c r="F136"/>
  <c r="F104"/>
  <c r="F112" s="1"/>
  <c r="F230" i="5" s="1"/>
  <c r="F232" s="1"/>
  <c r="I103" i="16"/>
  <c r="K83"/>
  <c r="N19" i="42667"/>
  <c r="M19"/>
  <c r="K194" i="5"/>
  <c r="K195" s="1"/>
  <c r="I195"/>
  <c r="I203" s="1"/>
  <c r="K55"/>
  <c r="K62" s="1"/>
  <c r="K64" s="1"/>
  <c r="I62"/>
  <c r="I64" s="1"/>
  <c r="P13" i="42667"/>
  <c r="O13"/>
  <c r="M20"/>
  <c r="N20"/>
  <c r="P16"/>
  <c r="O16"/>
  <c r="R16"/>
  <c r="K67" i="5"/>
  <c r="K70" s="1"/>
  <c r="L70" s="1"/>
  <c r="I70"/>
  <c r="I126"/>
  <c r="K123"/>
  <c r="K126" s="1"/>
  <c r="L126" s="1"/>
  <c r="I128"/>
  <c r="L175"/>
  <c r="L45"/>
  <c r="I84" i="16"/>
  <c r="P20" i="42667" l="1"/>
  <c r="O20"/>
  <c r="R20"/>
  <c r="N17"/>
  <c r="M17"/>
  <c r="I22"/>
  <c r="I25" s="1"/>
  <c r="J13"/>
  <c r="O11" i="5"/>
  <c r="O13" s="1"/>
  <c r="T17" i="42667"/>
  <c r="S17"/>
  <c r="U17" s="1"/>
  <c r="S20"/>
  <c r="U20" s="1"/>
  <c r="O212" i="5"/>
  <c r="O214" s="1"/>
  <c r="T20" i="42667"/>
  <c r="T16"/>
  <c r="S16"/>
  <c r="U16" s="1"/>
  <c r="O119" i="16"/>
  <c r="O121" s="1"/>
  <c r="I72" i="5"/>
  <c r="L92"/>
  <c r="I87" i="16"/>
  <c r="I104"/>
  <c r="I136"/>
  <c r="K72" i="5"/>
  <c r="L72" s="1"/>
  <c r="L64"/>
  <c r="K203"/>
  <c r="L203" s="1"/>
  <c r="L195"/>
  <c r="R19" i="42667"/>
  <c r="O19"/>
  <c r="P19"/>
  <c r="F138" i="16"/>
  <c r="F142"/>
  <c r="F144" s="1"/>
  <c r="L84"/>
  <c r="K87"/>
  <c r="L87" s="1"/>
  <c r="K128" i="5"/>
  <c r="L128" s="1"/>
  <c r="L120"/>
  <c r="S19" i="42667"/>
  <c r="U19" s="1"/>
  <c r="O133" i="5"/>
  <c r="T19" i="42667"/>
  <c r="S15"/>
  <c r="U15" s="1"/>
  <c r="O53" i="16"/>
  <c r="O55" s="1"/>
  <c r="O76" i="5"/>
  <c r="O78" s="1"/>
  <c r="T18" i="42667"/>
  <c r="S18"/>
  <c r="U18" s="1"/>
  <c r="O12" i="16"/>
  <c r="O14" s="1"/>
  <c r="T14" i="42667"/>
  <c r="S14"/>
  <c r="U14" s="1"/>
  <c r="R14"/>
  <c r="O139" i="5" l="1"/>
  <c r="O135"/>
  <c r="O141" s="1"/>
  <c r="I138" i="16"/>
  <c r="K136"/>
  <c r="K138" s="1"/>
  <c r="K15" i="42667"/>
  <c r="I142" i="16"/>
  <c r="O12" i="364"/>
  <c r="O14" s="1"/>
  <c r="S13" i="42667"/>
  <c r="U13" s="1"/>
  <c r="J22"/>
  <c r="T13"/>
  <c r="R13"/>
  <c r="K104" i="16"/>
  <c r="L104" s="1"/>
  <c r="I112"/>
  <c r="K112" s="1"/>
  <c r="P17" i="42667"/>
  <c r="R17"/>
  <c r="O17"/>
  <c r="O37" i="364" l="1"/>
  <c r="O39" s="1"/>
  <c r="S22" i="42667"/>
  <c r="U22" s="1"/>
  <c r="J25"/>
  <c r="N15"/>
  <c r="M15"/>
  <c r="K22"/>
  <c r="K25" s="1"/>
  <c r="L112" i="16"/>
  <c r="K230" i="5"/>
  <c r="K142" i="16"/>
  <c r="K144" s="1"/>
  <c r="I144"/>
  <c r="M22" i="42667" l="1"/>
  <c r="T15"/>
  <c r="J39"/>
  <c r="S25"/>
  <c r="U25" s="1"/>
  <c r="P15"/>
  <c r="O15"/>
  <c r="R15"/>
  <c r="R22" s="1"/>
  <c r="R25" s="1"/>
  <c r="N22"/>
  <c r="O22" l="1"/>
  <c r="N25"/>
  <c r="P22"/>
  <c r="M25"/>
  <c r="T25" s="1"/>
  <c r="T22"/>
  <c r="O25" l="1"/>
  <c r="P25"/>
</calcChain>
</file>

<file path=xl/comments1.xml><?xml version="1.0" encoding="utf-8"?>
<comments xmlns="http://schemas.openxmlformats.org/spreadsheetml/2006/main">
  <authors>
    <author>jphelp</author>
  </authors>
  <commentList>
    <comment ref="F58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500 therms is counted under minimum bill charges, because all customers pay the minimum whether they consume 500 therms or not. (02/06)</t>
        </r>
      </text>
    </comment>
    <comment ref="F78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500 therms is counted under minimum bill charges, because all customers pay the minimum whether they consume 500 therms or not. (02/06)</t>
        </r>
      </text>
    </comment>
    <comment ref="F98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500 therms is counted under minimum bill charges, because all customers pay the minimum whether they consume 500 therms or not. (02/06)</t>
        </r>
      </text>
    </comment>
  </commentList>
</comments>
</file>

<file path=xl/sharedStrings.xml><?xml version="1.0" encoding="utf-8"?>
<sst xmlns="http://schemas.openxmlformats.org/spreadsheetml/2006/main" count="792" uniqueCount="229">
  <si>
    <t xml:space="preserve">Billing </t>
  </si>
  <si>
    <t xml:space="preserve">Present </t>
  </si>
  <si>
    <t>Proposed</t>
  </si>
  <si>
    <t xml:space="preserve">Difference </t>
  </si>
  <si>
    <t>Description</t>
  </si>
  <si>
    <t>Determinants</t>
  </si>
  <si>
    <t>Rates</t>
  </si>
  <si>
    <t>$</t>
  </si>
  <si>
    <t>%</t>
  </si>
  <si>
    <t>TARGET</t>
  </si>
  <si>
    <t>Calculated Total</t>
  </si>
  <si>
    <t>Mantles</t>
  </si>
  <si>
    <t>First 4 Mantles (each)</t>
  </si>
  <si>
    <t>5 through 9 Mantles (each)</t>
  </si>
  <si>
    <t>All over (each)</t>
  </si>
  <si>
    <t>Therms</t>
  </si>
  <si>
    <t>Minimum Bill</t>
  </si>
  <si>
    <t>Next 4,500 therms</t>
  </si>
  <si>
    <t>All over 5,000 therms</t>
  </si>
  <si>
    <t>First 25,000 Therms</t>
  </si>
  <si>
    <t>Next 25,000 Therms</t>
  </si>
  <si>
    <t>All over 50,000 Therms</t>
  </si>
  <si>
    <t>First 1,000 therms</t>
  </si>
  <si>
    <t>All over 1,000 therms</t>
  </si>
  <si>
    <t>Next 50,000 Therms</t>
  </si>
  <si>
    <t>Next 100,000 therms</t>
  </si>
  <si>
    <t>Next 300,000 therms</t>
  </si>
  <si>
    <t>TARGET 87</t>
  </si>
  <si>
    <t>All over 500,000 therms</t>
  </si>
  <si>
    <t>TARGET 57</t>
  </si>
  <si>
    <t>Next 100,000 Therms</t>
  </si>
  <si>
    <t>Next 300,000 Therms</t>
  </si>
  <si>
    <t>All over 500,000 Therms</t>
  </si>
  <si>
    <t>Current</t>
  </si>
  <si>
    <t>Total</t>
  </si>
  <si>
    <t>Subtotal</t>
  </si>
  <si>
    <t>Demand Charge</t>
  </si>
  <si>
    <t>Schedule</t>
  </si>
  <si>
    <t>Total Revenues</t>
  </si>
  <si>
    <t>Revenues</t>
  </si>
  <si>
    <t>71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</si>
  <si>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</si>
  <si>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</si>
  <si>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</si>
  <si>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</si>
  <si>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</si>
  <si>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</si>
  <si>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</si>
  <si>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</si>
  <si>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</si>
  <si>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</si>
  <si>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</si>
  <si>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</si>
  <si>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</si>
  <si>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</si>
  <si>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</si>
  <si>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</si>
  <si>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</si>
  <si>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</si>
  <si>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</si>
  <si>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</si>
  <si>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</si>
  <si>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</si>
  <si>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</si>
  <si>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</si>
  <si>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</si>
  <si>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</si>
  <si>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</si>
  <si>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</si>
  <si>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</si>
  <si>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</si>
  <si>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</si>
  <si>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</si>
  <si>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</si>
  <si>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</si>
  <si>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</si>
  <si>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</si>
  <si>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Increase</t>
  </si>
  <si>
    <t>Procurement Charge</t>
  </si>
  <si>
    <t>TOTAL TARGET 87 &amp; 57</t>
  </si>
  <si>
    <t>Bills</t>
  </si>
  <si>
    <t>Calculated Total Therms</t>
  </si>
  <si>
    <t>Rate Class</t>
  </si>
  <si>
    <t>Puget Sound Energy</t>
  </si>
  <si>
    <t>Schedule 23</t>
  </si>
  <si>
    <t>Schedule 16</t>
  </si>
  <si>
    <t>Interruptible (85)</t>
  </si>
  <si>
    <t>Transportation (57)</t>
  </si>
  <si>
    <t>Schedule 53</t>
  </si>
  <si>
    <t>Average</t>
  </si>
  <si>
    <t>Demand</t>
  </si>
  <si>
    <t>Units</t>
  </si>
  <si>
    <t>Volume</t>
  </si>
  <si>
    <t>Large volume (41)</t>
  </si>
  <si>
    <t>Compressed natural gas (50)</t>
  </si>
  <si>
    <t>Limited interruptible (86)</t>
  </si>
  <si>
    <t>Non exclusive interruptible (87)</t>
  </si>
  <si>
    <t>Pro forma</t>
  </si>
  <si>
    <t>Revenue at</t>
  </si>
  <si>
    <t>Existing</t>
  </si>
  <si>
    <t>Gas Revenue</t>
  </si>
  <si>
    <t>at Existing</t>
  </si>
  <si>
    <t>Delivery Charge</t>
  </si>
  <si>
    <t>Rate</t>
  </si>
  <si>
    <t>Mantle</t>
  </si>
  <si>
    <t>Schedule 31</t>
  </si>
  <si>
    <t>Schedule 41</t>
  </si>
  <si>
    <t>Schedule 50</t>
  </si>
  <si>
    <t>Schedule 61</t>
  </si>
  <si>
    <t>Delivery Charge:</t>
  </si>
  <si>
    <t>Volumetric Charge</t>
  </si>
  <si>
    <t>Margin</t>
  </si>
  <si>
    <t>(Therms)</t>
  </si>
  <si>
    <t>Residential (16,23,53)</t>
  </si>
  <si>
    <t>Rentals</t>
  </si>
  <si>
    <t>Other revenue</t>
  </si>
  <si>
    <t>Percent of</t>
  </si>
  <si>
    <t>Revenue</t>
  </si>
  <si>
    <t>Percent</t>
  </si>
  <si>
    <t>Average increase (includes rentals)</t>
  </si>
  <si>
    <t>Proposed total increase</t>
  </si>
  <si>
    <t>Schedule 57</t>
  </si>
  <si>
    <t>Balancing Service Charge</t>
  </si>
  <si>
    <t>Line</t>
  </si>
  <si>
    <t>Over (Under)</t>
  </si>
  <si>
    <t>TARGET 23/53</t>
  </si>
  <si>
    <t>Increase on</t>
  </si>
  <si>
    <t>Percentage</t>
  </si>
  <si>
    <t>Residual</t>
  </si>
  <si>
    <t>Spread</t>
  </si>
  <si>
    <t>TARGET 16</t>
  </si>
  <si>
    <t>TARGET 31/36/51</t>
  </si>
  <si>
    <t>TARGET 41</t>
  </si>
  <si>
    <t>TARGET 86</t>
  </si>
  <si>
    <t>TARGET 85</t>
  </si>
  <si>
    <t xml:space="preserve">Under </t>
  </si>
  <si>
    <t>Existing Rates</t>
  </si>
  <si>
    <t>Proposed Rates</t>
  </si>
  <si>
    <t>Rental Schedules 71, 72 and 74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</si>
  <si>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</si>
  <si>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</si>
  <si>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</si>
  <si>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</si>
  <si>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</si>
  <si>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</si>
  <si>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</si>
  <si>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</si>
  <si>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</si>
  <si>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</si>
  <si>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</si>
  <si>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</si>
  <si>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</si>
  <si>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</si>
  <si>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I</t>
  </si>
  <si>
    <t>Estimated Monthly Bill Impacts</t>
  </si>
  <si>
    <t>Estimated Average Monthly Bill Under Current and Proposed Rates</t>
  </si>
  <si>
    <t>First 500 therms</t>
  </si>
  <si>
    <t>Target</t>
  </si>
  <si>
    <t>over (under)</t>
  </si>
  <si>
    <t xml:space="preserve"> </t>
  </si>
  <si>
    <t>Gas Balancing Service Charge</t>
  </si>
  <si>
    <t>Total Volume</t>
  </si>
  <si>
    <t>Total Gas (Schedule 101) Revenues</t>
  </si>
  <si>
    <t>Total Margin Revenues</t>
  </si>
  <si>
    <t>Total Revenue</t>
  </si>
  <si>
    <t>Calculated</t>
  </si>
  <si>
    <t>Change in</t>
  </si>
  <si>
    <t>Minimum Bills</t>
  </si>
  <si>
    <t>Total Residential Gas (Schedule 101) Revenues</t>
  </si>
  <si>
    <t>Total Residential Margin Revenues</t>
  </si>
  <si>
    <t>Total Residential Revenues</t>
  </si>
  <si>
    <t>Check</t>
  </si>
  <si>
    <t>Change</t>
  </si>
  <si>
    <t>in minimum bills</t>
  </si>
  <si>
    <t>Test Year Ended September 2007</t>
  </si>
  <si>
    <t>2007 Gas General Rate Case</t>
  </si>
  <si>
    <t>Current and Proposed Rates</t>
  </si>
  <si>
    <t>Gas Cost (Schedule 101)</t>
  </si>
  <si>
    <t>Def. Account Adj (Schedule 106)</t>
  </si>
  <si>
    <t>Gas Conservation (Schedule 120)</t>
  </si>
  <si>
    <t>Low Income (Schedule 129)</t>
  </si>
  <si>
    <t>Subtotal Volumetric Charges</t>
  </si>
  <si>
    <t>Estimated Impacts of Proposed Rates</t>
  </si>
  <si>
    <t>Monthly</t>
  </si>
  <si>
    <t>Consumption</t>
  </si>
  <si>
    <t>at</t>
  </si>
  <si>
    <t>Average Therms</t>
  </si>
  <si>
    <t xml:space="preserve">Revenue at </t>
  </si>
  <si>
    <t>Month</t>
  </si>
  <si>
    <t>Per Customer</t>
  </si>
  <si>
    <t>Annual Total</t>
  </si>
  <si>
    <t>First 5,000</t>
  </si>
  <si>
    <t>Over 5,000</t>
  </si>
  <si>
    <t>Minimum Delivery Charge</t>
  </si>
  <si>
    <t>Schedule 85 - Sales</t>
  </si>
  <si>
    <t>Schedule 85 - Transportation</t>
  </si>
  <si>
    <t>Schedule 87 - Sales</t>
  </si>
  <si>
    <t>Schedule 87 - Transportation</t>
  </si>
  <si>
    <t>Schedule 41 - Sales</t>
  </si>
  <si>
    <t>Schedule 85 - Total</t>
  </si>
  <si>
    <t>Schedule 41 - Total</t>
  </si>
  <si>
    <t>Schedule 87 - Total</t>
  </si>
  <si>
    <t>Basic Charge</t>
  </si>
  <si>
    <t>Grand Total</t>
  </si>
  <si>
    <t>Pro Forma Total</t>
  </si>
  <si>
    <t>Allocation of Revenue Deficiency to Rate Classes</t>
  </si>
  <si>
    <t>(1) Calculated margin increase (column M) divided by pro forma revenue at existing rates (column B).</t>
  </si>
  <si>
    <t>Total (1)</t>
  </si>
  <si>
    <t>Contracts</t>
  </si>
  <si>
    <t>Commercial &amp; industrial (31,61)</t>
  </si>
  <si>
    <t>(1) Schedule 01 rates at proposed revenue adjustment factor (RAF).</t>
  </si>
  <si>
    <t>Gas Revenue (Schedule 101) (1)</t>
  </si>
  <si>
    <t>Schedule 41 - Transportation (2)</t>
  </si>
  <si>
    <t>(2) Pro forma revenue at existing rates is based on assumed transportation rates before a rate change in the present case.</t>
  </si>
  <si>
    <t>Schedules 31,61</t>
  </si>
  <si>
    <t>Annual</t>
  </si>
  <si>
    <t>Charges</t>
  </si>
  <si>
    <t>Current and Proposed Rates by Rate Schedule</t>
  </si>
  <si>
    <t>Schedule 86 - Sales</t>
  </si>
  <si>
    <t>Schedule 86 - Transportation</t>
  </si>
  <si>
    <t>Schedule 86 - Total</t>
  </si>
  <si>
    <t>Estimated Annual Bill Impacts for the Average Customer</t>
  </si>
  <si>
    <t>Estimated Monthly Bill Impacts Assuming 65 Percent Load Factor</t>
  </si>
  <si>
    <t>Schedule 31 - Sales</t>
  </si>
  <si>
    <t>Schedule 31 - Transportation</t>
  </si>
  <si>
    <t>Schedule 31 - Total</t>
  </si>
  <si>
    <t>Residential Summary</t>
  </si>
  <si>
    <t>Commercial &amp; Industrial Summary</t>
  </si>
  <si>
    <t>STAFF PROPOSAL</t>
  </si>
</sst>
</file>

<file path=xl/styles.xml><?xml version="1.0" encoding="utf-8"?>
<styleSheet xmlns="http://schemas.openxmlformats.org/spreadsheetml/2006/main">
  <numFmts count="2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#,##0.00000"/>
    <numFmt numFmtId="169" formatCode="&quot;$&quot;#,##0.00000"/>
    <numFmt numFmtId="170" formatCode="0.000%"/>
    <numFmt numFmtId="171" formatCode="_(&quot;$&quot;* #,##0.0000_);_(&quot;$&quot;* \(#,##0.0000\);_(&quot;$&quot;* &quot;-&quot;????_);_(@_)"/>
    <numFmt numFmtId="172" formatCode="&quot;$&quot;#,##0.00000\ ;\(&quot;$&quot;#,##0.00000\)"/>
    <numFmt numFmtId="173" formatCode="&quot;$&quot;#,##0.00\ ;\(&quot;$&quot;#,##0.00\)"/>
    <numFmt numFmtId="174" formatCode="#,##0.0"/>
    <numFmt numFmtId="175" formatCode="&quot;$&quot;#,##0\ ;\(&quot;$&quot;#,##0\)"/>
    <numFmt numFmtId="176" formatCode="&quot;$&quot;#,##0.0000\ ;\(&quot;$&quot;#,##0.0000\)"/>
    <numFmt numFmtId="177" formatCode="0.000000"/>
    <numFmt numFmtId="178" formatCode="_(&quot;$&quot;* #,##0.00000_);_(&quot;$&quot;* \(#,##0.00000\);_(&quot;$&quot;* &quot;-&quot;?????_);_(@_)"/>
    <numFmt numFmtId="179" formatCode="0.0%"/>
    <numFmt numFmtId="180" formatCode="00000"/>
    <numFmt numFmtId="181" formatCode="#,##0.00000000000;[Red]\-#,##0.00000000000"/>
    <numFmt numFmtId="182" formatCode="_(&quot;$&quot;* #,##0.00000_);_(&quot;$&quot;* \(#,##0.00000\);_(&quot;$&quot;* &quot;-&quot;??_);_(@_)"/>
    <numFmt numFmtId="183" formatCode="0.0000%"/>
    <numFmt numFmtId="184" formatCode="_(* #,##0_);_(* \(#,##0\);_(* &quot;-&quot;?_);_(@_)"/>
  </numFmts>
  <fonts count="32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2"/>
      <name val="Helv"/>
    </font>
    <font>
      <b/>
      <sz val="10"/>
      <name val="Helv"/>
    </font>
    <font>
      <b/>
      <sz val="12"/>
      <color indexed="60"/>
      <name val="Arial"/>
      <family val="2"/>
    </font>
    <font>
      <b/>
      <sz val="18"/>
      <name val="Arial"/>
      <family val="2"/>
    </font>
    <font>
      <b/>
      <i/>
      <sz val="10"/>
      <name val="Helv"/>
    </font>
    <font>
      <i/>
      <sz val="10"/>
      <name val="Helv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21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21"/>
      <name val="Times New Roman"/>
      <family val="1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44">
    <xf numFmtId="0" fontId="0" fillId="0" borderId="0"/>
    <xf numFmtId="41" fontId="1" fillId="2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/>
    <xf numFmtId="2" fontId="2" fillId="0" borderId="0" applyFont="0" applyFill="0" applyBorder="0" applyAlignment="0" applyProtection="0"/>
    <xf numFmtId="38" fontId="17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8" fillId="0" borderId="0"/>
    <xf numFmtId="40" fontId="18" fillId="0" borderId="0"/>
    <xf numFmtId="10" fontId="17" fillId="2" borderId="1" applyNumberFormat="0" applyBorder="0" applyAlignment="0" applyProtection="0"/>
    <xf numFmtId="44" fontId="19" fillId="0" borderId="2" applyNumberFormat="0" applyFont="0" applyAlignment="0">
      <alignment horizontal="center"/>
    </xf>
    <xf numFmtId="44" fontId="19" fillId="0" borderId="3" applyNumberFormat="0" applyFont="0" applyAlignment="0">
      <alignment horizontal="center"/>
    </xf>
    <xf numFmtId="181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42" fontId="3" fillId="2" borderId="0"/>
    <xf numFmtId="0" fontId="10" fillId="4" borderId="0"/>
    <xf numFmtId="0" fontId="11" fillId="4" borderId="4"/>
    <xf numFmtId="0" fontId="14" fillId="5" borderId="5"/>
    <xf numFmtId="0" fontId="15" fillId="4" borderId="6"/>
    <xf numFmtId="42" fontId="4" fillId="6" borderId="7">
      <alignment vertical="center"/>
    </xf>
    <xf numFmtId="0" fontId="5" fillId="2" borderId="8" applyNumberFormat="0">
      <alignment horizontal="center" vertical="center" wrapText="1"/>
    </xf>
    <xf numFmtId="171" fontId="1" fillId="2" borderId="0"/>
    <xf numFmtId="42" fontId="6" fillId="2" borderId="9">
      <alignment horizontal="left"/>
    </xf>
    <xf numFmtId="38" fontId="17" fillId="0" borderId="10"/>
    <xf numFmtId="38" fontId="18" fillId="0" borderId="9"/>
    <xf numFmtId="177" fontId="1" fillId="0" borderId="0">
      <alignment horizontal="left" wrapText="1"/>
    </xf>
    <xf numFmtId="0" fontId="3" fillId="0" borderId="0" applyNumberFormat="0" applyBorder="0" applyAlignment="0"/>
    <xf numFmtId="0" fontId="10" fillId="0" borderId="0"/>
    <xf numFmtId="0" fontId="11" fillId="4" borderId="0"/>
    <xf numFmtId="167" fontId="12" fillId="0" borderId="0">
      <alignment horizontal="left" vertical="center"/>
    </xf>
    <xf numFmtId="0" fontId="5" fillId="2" borderId="0">
      <alignment horizontal="left" wrapText="1"/>
    </xf>
    <xf numFmtId="0" fontId="7" fillId="0" borderId="0">
      <alignment horizontal="left" vertical="center"/>
    </xf>
    <xf numFmtId="0" fontId="1" fillId="0" borderId="11" applyNumberFormat="0" applyFont="0" applyFill="0" applyAlignment="0" applyProtection="0"/>
  </cellStyleXfs>
  <cellXfs count="570">
    <xf numFmtId="0" fontId="0" fillId="0" borderId="0" xfId="0"/>
    <xf numFmtId="0" fontId="3" fillId="0" borderId="0" xfId="0" applyFont="1"/>
    <xf numFmtId="0" fontId="3" fillId="0" borderId="0" xfId="0" applyFont="1" applyBorder="1"/>
    <xf numFmtId="173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173" fontId="3" fillId="0" borderId="8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 applyBorder="1" applyProtection="1">
      <protection locked="0"/>
    </xf>
    <xf numFmtId="172" fontId="3" fillId="0" borderId="0" xfId="0" applyNumberFormat="1" applyFont="1" applyAlignment="1">
      <alignment horizontal="center"/>
    </xf>
    <xf numFmtId="168" fontId="3" fillId="0" borderId="0" xfId="0" applyNumberFormat="1" applyFont="1" applyBorder="1"/>
    <xf numFmtId="0" fontId="3" fillId="0" borderId="0" xfId="0" applyFont="1" applyFill="1"/>
    <xf numFmtId="172" fontId="3" fillId="0" borderId="0" xfId="0" applyNumberFormat="1" applyFont="1"/>
    <xf numFmtId="173" fontId="3" fillId="0" borderId="0" xfId="0" applyNumberFormat="1" applyFont="1"/>
    <xf numFmtId="174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175" fontId="3" fillId="0" borderId="0" xfId="0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69" fontId="3" fillId="0" borderId="0" xfId="0" applyNumberFormat="1" applyFont="1" applyAlignment="1">
      <alignment horizontal="center"/>
    </xf>
    <xf numFmtId="169" fontId="3" fillId="0" borderId="0" xfId="0" applyNumberFormat="1" applyFont="1"/>
    <xf numFmtId="0" fontId="0" fillId="0" borderId="0" xfId="0" applyFill="1"/>
    <xf numFmtId="175" fontId="3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5" fontId="3" fillId="0" borderId="0" xfId="0" applyNumberFormat="1" applyFont="1" applyBorder="1" applyAlignment="1">
      <alignment horizontal="right"/>
    </xf>
    <xf numFmtId="170" fontId="3" fillId="0" borderId="0" xfId="23" applyNumberFormat="1" applyFont="1" applyBorder="1"/>
    <xf numFmtId="176" fontId="3" fillId="0" borderId="0" xfId="0" applyNumberFormat="1" applyFont="1" applyBorder="1" applyAlignment="1">
      <alignment horizontal="right"/>
    </xf>
    <xf numFmtId="175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Alignment="1">
      <alignment horizontal="centerContinuous"/>
    </xf>
    <xf numFmtId="0" fontId="0" fillId="0" borderId="8" xfId="0" applyBorder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173" fontId="3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Fill="1" applyBorder="1" applyProtection="1">
      <protection locked="0"/>
    </xf>
    <xf numFmtId="175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Fill="1"/>
    <xf numFmtId="3" fontId="3" fillId="0" borderId="0" xfId="0" applyNumberFormat="1" applyFont="1" applyFill="1" applyBorder="1"/>
    <xf numFmtId="173" fontId="23" fillId="0" borderId="0" xfId="0" applyNumberFormat="1" applyFont="1" applyFill="1" applyBorder="1"/>
    <xf numFmtId="172" fontId="3" fillId="0" borderId="0" xfId="0" applyNumberFormat="1" applyFont="1" applyFill="1" applyBorder="1"/>
    <xf numFmtId="169" fontId="3" fillId="0" borderId="0" xfId="0" applyNumberFormat="1" applyFont="1" applyFill="1" applyBorder="1" applyAlignment="1">
      <alignment horizontal="center"/>
    </xf>
    <xf numFmtId="170" fontId="3" fillId="0" borderId="0" xfId="23" applyNumberFormat="1" applyFont="1" applyFill="1" applyBorder="1"/>
    <xf numFmtId="169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Border="1"/>
    <xf numFmtId="0" fontId="16" fillId="0" borderId="0" xfId="0" applyFont="1" applyFill="1" applyBorder="1"/>
    <xf numFmtId="3" fontId="3" fillId="0" borderId="8" xfId="0" applyNumberFormat="1" applyFont="1" applyBorder="1"/>
    <xf numFmtId="172" fontId="3" fillId="0" borderId="0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/>
    <xf numFmtId="172" fontId="23" fillId="0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3" fillId="0" borderId="12" xfId="0" applyFont="1" applyBorder="1" applyProtection="1">
      <protection locked="0"/>
    </xf>
    <xf numFmtId="172" fontId="24" fillId="0" borderId="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Fill="1" applyBorder="1"/>
    <xf numFmtId="0" fontId="3" fillId="0" borderId="13" xfId="0" applyFont="1" applyBorder="1" applyAlignment="1">
      <alignment horizontal="center"/>
    </xf>
    <xf numFmtId="173" fontId="3" fillId="0" borderId="9" xfId="0" applyNumberFormat="1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0" fontId="5" fillId="0" borderId="16" xfId="0" applyFont="1" applyBorder="1" applyProtection="1">
      <protection locked="0"/>
    </xf>
    <xf numFmtId="3" fontId="3" fillId="0" borderId="9" xfId="0" applyNumberFormat="1" applyFont="1" applyBorder="1"/>
    <xf numFmtId="0" fontId="3" fillId="0" borderId="12" xfId="0" applyFont="1" applyBorder="1"/>
    <xf numFmtId="0" fontId="3" fillId="0" borderId="12" xfId="0" applyFont="1" applyFill="1" applyBorder="1" applyProtection="1">
      <protection locked="0"/>
    </xf>
    <xf numFmtId="0" fontId="5" fillId="0" borderId="12" xfId="0" applyFont="1" applyBorder="1"/>
    <xf numFmtId="0" fontId="3" fillId="0" borderId="14" xfId="0" applyFont="1" applyFill="1" applyBorder="1"/>
    <xf numFmtId="3" fontId="3" fillId="0" borderId="8" xfId="0" applyNumberFormat="1" applyFont="1" applyFill="1" applyBorder="1"/>
    <xf numFmtId="0" fontId="16" fillId="0" borderId="9" xfId="0" applyFont="1" applyBorder="1"/>
    <xf numFmtId="0" fontId="3" fillId="0" borderId="12" xfId="0" applyFont="1" applyFill="1" applyBorder="1"/>
    <xf numFmtId="0" fontId="5" fillId="0" borderId="12" xfId="0" applyFont="1" applyFill="1" applyBorder="1"/>
    <xf numFmtId="0" fontId="5" fillId="0" borderId="0" xfId="0" applyFont="1" applyFill="1" applyBorder="1"/>
    <xf numFmtId="0" fontId="5" fillId="0" borderId="14" xfId="0" applyFont="1" applyBorder="1"/>
    <xf numFmtId="173" fontId="3" fillId="0" borderId="8" xfId="0" applyNumberFormat="1" applyFont="1" applyBorder="1"/>
    <xf numFmtId="0" fontId="3" fillId="0" borderId="9" xfId="0" applyFont="1" applyFill="1" applyBorder="1" applyAlignment="1">
      <alignment horizontal="center"/>
    </xf>
    <xf numFmtId="175" fontId="3" fillId="0" borderId="8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 applyFill="1"/>
    <xf numFmtId="42" fontId="0" fillId="0" borderId="0" xfId="0" applyNumberFormat="1"/>
    <xf numFmtId="42" fontId="0" fillId="0" borderId="9" xfId="0" applyNumberFormat="1" applyBorder="1"/>
    <xf numFmtId="42" fontId="0" fillId="0" borderId="0" xfId="0" applyNumberFormat="1" applyBorder="1"/>
    <xf numFmtId="0" fontId="0" fillId="0" borderId="0" xfId="0" applyFill="1" applyBorder="1" applyAlignment="1">
      <alignment horizontal="left"/>
    </xf>
    <xf numFmtId="175" fontId="5" fillId="0" borderId="0" xfId="0" applyNumberFormat="1" applyFont="1" applyBorder="1"/>
    <xf numFmtId="175" fontId="3" fillId="0" borderId="0" xfId="0" applyNumberFormat="1" applyFont="1" applyFill="1" applyBorder="1"/>
    <xf numFmtId="175" fontId="3" fillId="0" borderId="8" xfId="0" applyNumberFormat="1" applyFont="1" applyFill="1" applyBorder="1"/>
    <xf numFmtId="175" fontId="3" fillId="0" borderId="0" xfId="0" applyNumberFormat="1" applyFont="1" applyFill="1"/>
    <xf numFmtId="175" fontId="16" fillId="0" borderId="9" xfId="0" applyNumberFormat="1" applyFont="1" applyBorder="1"/>
    <xf numFmtId="175" fontId="5" fillId="0" borderId="0" xfId="0" applyNumberFormat="1" applyFont="1" applyFill="1" applyBorder="1"/>
    <xf numFmtId="175" fontId="16" fillId="0" borderId="0" xfId="0" applyNumberFormat="1" applyFont="1" applyFill="1" applyBorder="1"/>
    <xf numFmtId="175" fontId="0" fillId="0" borderId="0" xfId="0" applyNumberFormat="1" applyFill="1" applyBorder="1"/>
    <xf numFmtId="175" fontId="5" fillId="0" borderId="8" xfId="0" applyNumberFormat="1" applyFont="1" applyBorder="1"/>
    <xf numFmtId="175" fontId="3" fillId="0" borderId="9" xfId="0" applyNumberFormat="1" applyFont="1" applyBorder="1"/>
    <xf numFmtId="175" fontId="3" fillId="0" borderId="0" xfId="7" applyNumberFormat="1" applyFont="1" applyBorder="1"/>
    <xf numFmtId="0" fontId="3" fillId="0" borderId="7" xfId="0" applyFont="1" applyBorder="1" applyAlignment="1">
      <alignment horizontal="centerContinuous"/>
    </xf>
    <xf numFmtId="173" fontId="3" fillId="0" borderId="7" xfId="0" applyNumberFormat="1" applyFont="1" applyBorder="1" applyAlignment="1">
      <alignment horizontal="centerContinuous"/>
    </xf>
    <xf numFmtId="173" fontId="3" fillId="0" borderId="17" xfId="0" applyNumberFormat="1" applyFont="1" applyBorder="1" applyAlignment="1">
      <alignment horizontal="centerContinuous"/>
    </xf>
    <xf numFmtId="0" fontId="5" fillId="0" borderId="16" xfId="0" applyFont="1" applyFill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/>
    <xf numFmtId="0" fontId="5" fillId="0" borderId="9" xfId="0" applyFont="1" applyFill="1" applyBorder="1" applyProtection="1">
      <protection locked="0"/>
    </xf>
    <xf numFmtId="0" fontId="5" fillId="0" borderId="8" xfId="0" applyFont="1" applyBorder="1"/>
    <xf numFmtId="0" fontId="24" fillId="0" borderId="0" xfId="0" applyFont="1" applyFill="1" applyBorder="1" applyAlignment="1">
      <alignment horizontal="center"/>
    </xf>
    <xf numFmtId="172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79" fontId="3" fillId="0" borderId="18" xfId="23" applyNumberFormat="1" applyFont="1" applyBorder="1" applyAlignment="1">
      <alignment horizontal="right"/>
    </xf>
    <xf numFmtId="179" fontId="3" fillId="0" borderId="19" xfId="23" applyNumberFormat="1" applyFont="1" applyBorder="1" applyAlignment="1">
      <alignment horizontal="right"/>
    </xf>
    <xf numFmtId="179" fontId="3" fillId="0" borderId="19" xfId="23" applyNumberFormat="1" applyFont="1" applyBorder="1"/>
    <xf numFmtId="179" fontId="3" fillId="0" borderId="15" xfId="23" applyNumberFormat="1" applyFont="1" applyFill="1" applyBorder="1"/>
    <xf numFmtId="179" fontId="3" fillId="0" borderId="0" xfId="23" applyNumberFormat="1" applyFont="1" applyFill="1" applyBorder="1"/>
    <xf numFmtId="179" fontId="3" fillId="0" borderId="18" xfId="23" applyNumberFormat="1" applyFont="1" applyBorder="1"/>
    <xf numFmtId="179" fontId="3" fillId="0" borderId="19" xfId="23" applyNumberFormat="1" applyFont="1" applyFill="1" applyBorder="1" applyAlignment="1">
      <alignment horizontal="right"/>
    </xf>
    <xf numFmtId="179" fontId="3" fillId="0" borderId="19" xfId="23" applyNumberFormat="1" applyFont="1" applyFill="1" applyBorder="1"/>
    <xf numFmtId="179" fontId="3" fillId="0" borderId="19" xfId="23" applyNumberFormat="1" applyFont="1" applyBorder="1" applyAlignment="1">
      <alignment horizontal="center"/>
    </xf>
    <xf numFmtId="179" fontId="3" fillId="0" borderId="15" xfId="23" applyNumberFormat="1" applyFont="1" applyBorder="1" applyAlignment="1">
      <alignment horizontal="right"/>
    </xf>
    <xf numFmtId="0" fontId="3" fillId="0" borderId="0" xfId="37"/>
    <xf numFmtId="0" fontId="3" fillId="0" borderId="0" xfId="37" applyAlignment="1">
      <alignment horizontal="centerContinuous"/>
    </xf>
    <xf numFmtId="173" fontId="3" fillId="0" borderId="0" xfId="37" applyNumberFormat="1" applyAlignment="1">
      <alignment horizontal="centerContinuous"/>
    </xf>
    <xf numFmtId="3" fontId="3" fillId="0" borderId="0" xfId="37" applyNumberFormat="1" applyFill="1" applyAlignment="1">
      <alignment horizontal="centerContinuous"/>
    </xf>
    <xf numFmtId="170" fontId="3" fillId="0" borderId="0" xfId="37" applyNumberFormat="1" applyAlignment="1">
      <alignment horizontal="centerContinuous"/>
    </xf>
    <xf numFmtId="169" fontId="3" fillId="0" borderId="0" xfId="37" applyNumberFormat="1"/>
    <xf numFmtId="0" fontId="3" fillId="0" borderId="0" xfId="37" applyFill="1" applyAlignment="1">
      <alignment horizontal="centerContinuous"/>
    </xf>
    <xf numFmtId="0" fontId="3" fillId="0" borderId="0" xfId="37" applyAlignment="1"/>
    <xf numFmtId="173" fontId="3" fillId="0" borderId="0" xfId="37" applyNumberFormat="1" applyAlignment="1"/>
    <xf numFmtId="3" fontId="3" fillId="0" borderId="8" xfId="37" applyNumberFormat="1" applyFill="1" applyBorder="1" applyAlignment="1"/>
    <xf numFmtId="170" fontId="3" fillId="0" borderId="0" xfId="37" applyNumberFormat="1" applyAlignment="1"/>
    <xf numFmtId="170" fontId="3" fillId="0" borderId="0" xfId="37" applyNumberFormat="1"/>
    <xf numFmtId="0" fontId="3" fillId="0" borderId="13" xfId="37" applyBorder="1" applyAlignment="1">
      <alignment horizontal="center"/>
    </xf>
    <xf numFmtId="0" fontId="3" fillId="0" borderId="9" xfId="37" applyBorder="1" applyAlignment="1">
      <alignment horizontal="center"/>
    </xf>
    <xf numFmtId="0" fontId="3" fillId="0" borderId="7" xfId="37" applyBorder="1" applyAlignment="1">
      <alignment horizontal="centerContinuous"/>
    </xf>
    <xf numFmtId="173" fontId="3" fillId="0" borderId="7" xfId="37" applyNumberFormat="1" applyBorder="1" applyAlignment="1">
      <alignment horizontal="centerContinuous"/>
    </xf>
    <xf numFmtId="0" fontId="3" fillId="0" borderId="0" xfId="37" applyFill="1" applyBorder="1" applyAlignment="1">
      <alignment horizontal="center"/>
    </xf>
    <xf numFmtId="173" fontId="3" fillId="0" borderId="9" xfId="37" applyNumberFormat="1" applyBorder="1" applyAlignment="1">
      <alignment horizontal="left"/>
    </xf>
    <xf numFmtId="170" fontId="3" fillId="0" borderId="0" xfId="37" applyNumberFormat="1" applyBorder="1" applyAlignment="1">
      <alignment horizontal="centerContinuous"/>
    </xf>
    <xf numFmtId="0" fontId="3" fillId="0" borderId="0" xfId="37" applyAlignment="1">
      <alignment horizontal="center"/>
    </xf>
    <xf numFmtId="0" fontId="3" fillId="0" borderId="14" xfId="37" applyBorder="1" applyAlignment="1">
      <alignment horizontal="center"/>
    </xf>
    <xf numFmtId="0" fontId="3" fillId="0" borderId="8" xfId="37" applyBorder="1" applyAlignment="1">
      <alignment horizontal="center"/>
    </xf>
    <xf numFmtId="173" fontId="3" fillId="0" borderId="8" xfId="37" applyNumberFormat="1" applyBorder="1" applyAlignment="1">
      <alignment horizontal="center"/>
    </xf>
    <xf numFmtId="0" fontId="3" fillId="0" borderId="8" xfId="37" applyFill="1" applyBorder="1" applyAlignment="1">
      <alignment horizontal="center"/>
    </xf>
    <xf numFmtId="170" fontId="3" fillId="0" borderId="15" xfId="37" applyNumberFormat="1" applyBorder="1" applyAlignment="1">
      <alignment horizontal="center"/>
    </xf>
    <xf numFmtId="170" fontId="3" fillId="0" borderId="0" xfId="37" applyNumberFormat="1" applyBorder="1" applyAlignment="1">
      <alignment horizontal="center"/>
    </xf>
    <xf numFmtId="0" fontId="3" fillId="0" borderId="0" xfId="37" applyBorder="1"/>
    <xf numFmtId="0" fontId="3" fillId="0" borderId="0" xfId="37" applyBorder="1" applyAlignment="1">
      <alignment horizontal="center"/>
    </xf>
    <xf numFmtId="173" fontId="3" fillId="0" borderId="0" xfId="37" applyNumberFormat="1" applyBorder="1" applyAlignment="1">
      <alignment horizontal="center"/>
    </xf>
    <xf numFmtId="169" fontId="3" fillId="0" borderId="0" xfId="37" applyNumberFormat="1" applyBorder="1"/>
    <xf numFmtId="0" fontId="3" fillId="0" borderId="9" xfId="37" applyBorder="1" applyProtection="1">
      <protection locked="0"/>
    </xf>
    <xf numFmtId="0" fontId="3" fillId="0" borderId="9" xfId="37" applyBorder="1"/>
    <xf numFmtId="175" fontId="3" fillId="0" borderId="9" xfId="37" applyNumberFormat="1" applyBorder="1"/>
    <xf numFmtId="3" fontId="3" fillId="0" borderId="9" xfId="37" applyNumberFormat="1" applyFill="1" applyBorder="1"/>
    <xf numFmtId="179" fontId="3" fillId="0" borderId="18" xfId="37" applyNumberFormat="1" applyBorder="1"/>
    <xf numFmtId="170" fontId="3" fillId="0" borderId="0" xfId="37" applyNumberFormat="1" applyBorder="1"/>
    <xf numFmtId="0" fontId="3" fillId="0" borderId="8" xfId="37" applyBorder="1"/>
    <xf numFmtId="0" fontId="3" fillId="0" borderId="12" xfId="37" applyBorder="1"/>
    <xf numFmtId="3" fontId="3" fillId="0" borderId="0" xfId="37" applyNumberFormat="1" applyBorder="1"/>
    <xf numFmtId="175" fontId="3" fillId="0" borderId="0" xfId="37" applyNumberFormat="1" applyBorder="1"/>
    <xf numFmtId="3" fontId="3" fillId="0" borderId="0" xfId="37" applyNumberFormat="1" applyFill="1" applyBorder="1"/>
    <xf numFmtId="179" fontId="3" fillId="0" borderId="19" xfId="37" applyNumberFormat="1" applyBorder="1"/>
    <xf numFmtId="0" fontId="3" fillId="0" borderId="20" xfId="37" applyBorder="1" applyAlignment="1">
      <alignment horizontal="center"/>
    </xf>
    <xf numFmtId="0" fontId="3" fillId="0" borderId="12" xfId="37" applyFill="1" applyBorder="1" applyProtection="1">
      <protection locked="0"/>
    </xf>
    <xf numFmtId="0" fontId="3" fillId="0" borderId="0" xfId="37" applyFill="1" applyBorder="1" applyProtection="1">
      <protection locked="0"/>
    </xf>
    <xf numFmtId="173" fontId="3" fillId="0" borderId="0" xfId="37" applyNumberFormat="1" applyFill="1" applyBorder="1"/>
    <xf numFmtId="173" fontId="3" fillId="0" borderId="0" xfId="37" applyNumberFormat="1" applyBorder="1"/>
    <xf numFmtId="172" fontId="3" fillId="0" borderId="0" xfId="37" applyNumberFormat="1" applyBorder="1"/>
    <xf numFmtId="0" fontId="3" fillId="0" borderId="12" xfId="37" applyBorder="1" applyProtection="1">
      <protection locked="0"/>
    </xf>
    <xf numFmtId="0" fontId="3" fillId="0" borderId="0" xfId="37" applyBorder="1" applyProtection="1">
      <protection locked="0"/>
    </xf>
    <xf numFmtId="0" fontId="3" fillId="0" borderId="0" xfId="37" applyFill="1" applyBorder="1"/>
    <xf numFmtId="0" fontId="3" fillId="0" borderId="0" xfId="37" applyBorder="1" applyAlignment="1">
      <alignment horizontal="center" wrapText="1"/>
    </xf>
    <xf numFmtId="169" fontId="3" fillId="0" borderId="0" xfId="37" applyNumberFormat="1" applyBorder="1" applyAlignment="1">
      <alignment horizontal="center" wrapText="1"/>
    </xf>
    <xf numFmtId="174" fontId="3" fillId="0" borderId="0" xfId="37" applyNumberFormat="1" applyFill="1" applyBorder="1"/>
    <xf numFmtId="168" fontId="3" fillId="0" borderId="0" xfId="37" applyNumberFormat="1" applyBorder="1"/>
    <xf numFmtId="9" fontId="3" fillId="0" borderId="0" xfId="37" applyNumberFormat="1" applyBorder="1"/>
    <xf numFmtId="172" fontId="3" fillId="0" borderId="0" xfId="37" applyNumberFormat="1" applyBorder="1" applyAlignment="1">
      <alignment horizontal="center"/>
    </xf>
    <xf numFmtId="175" fontId="3" fillId="0" borderId="0" xfId="37" applyNumberFormat="1" applyFill="1" applyBorder="1" applyAlignment="1">
      <alignment horizontal="center"/>
    </xf>
    <xf numFmtId="175" fontId="3" fillId="0" borderId="0" xfId="37" applyNumberFormat="1" applyFill="1" applyBorder="1"/>
    <xf numFmtId="0" fontId="3" fillId="0" borderId="14" xfId="37" applyBorder="1"/>
    <xf numFmtId="175" fontId="3" fillId="0" borderId="8" xfId="37" applyNumberFormat="1" applyBorder="1"/>
    <xf numFmtId="0" fontId="3" fillId="0" borderId="0" xfId="37" applyFont="1" applyFill="1"/>
    <xf numFmtId="3" fontId="1" fillId="0" borderId="0" xfId="37" applyNumberFormat="1" applyFont="1" applyFill="1" applyBorder="1"/>
    <xf numFmtId="3" fontId="3" fillId="0" borderId="0" xfId="37" applyNumberFormat="1" applyFont="1" applyFill="1" applyBorder="1"/>
    <xf numFmtId="0" fontId="3" fillId="0" borderId="0" xfId="37" applyFont="1" applyFill="1" applyBorder="1"/>
    <xf numFmtId="0" fontId="3" fillId="0" borderId="8" xfId="37" applyFill="1" applyBorder="1"/>
    <xf numFmtId="179" fontId="3" fillId="0" borderId="15" xfId="37" applyNumberFormat="1" applyBorder="1"/>
    <xf numFmtId="179" fontId="3" fillId="0" borderId="0" xfId="37" applyNumberFormat="1" applyBorder="1"/>
    <xf numFmtId="0" fontId="3" fillId="0" borderId="9" xfId="37" applyFill="1" applyBorder="1"/>
    <xf numFmtId="3" fontId="3" fillId="0" borderId="0" xfId="37" applyNumberFormat="1" applyFill="1" applyBorder="1" applyProtection="1">
      <protection locked="0"/>
    </xf>
    <xf numFmtId="175" fontId="3" fillId="0" borderId="0" xfId="37" applyNumberFormat="1" applyBorder="1" applyAlignment="1">
      <alignment horizontal="center"/>
    </xf>
    <xf numFmtId="175" fontId="3" fillId="0" borderId="8" xfId="37" applyNumberFormat="1" applyBorder="1" applyAlignment="1">
      <alignment horizontal="right"/>
    </xf>
    <xf numFmtId="175" fontId="3" fillId="0" borderId="0" xfId="37" applyNumberFormat="1" applyBorder="1" applyAlignment="1">
      <alignment horizontal="right"/>
    </xf>
    <xf numFmtId="170" fontId="3" fillId="0" borderId="19" xfId="37" applyNumberFormat="1" applyBorder="1"/>
    <xf numFmtId="0" fontId="3" fillId="0" borderId="18" xfId="37" applyBorder="1" applyAlignment="1">
      <alignment horizontal="center"/>
    </xf>
    <xf numFmtId="179" fontId="3" fillId="0" borderId="19" xfId="37" applyNumberFormat="1" applyBorder="1" applyAlignment="1">
      <alignment horizontal="center"/>
    </xf>
    <xf numFmtId="170" fontId="3" fillId="0" borderId="19" xfId="37" applyNumberFormat="1" applyBorder="1" applyAlignment="1">
      <alignment horizontal="center"/>
    </xf>
    <xf numFmtId="175" fontId="3" fillId="0" borderId="15" xfId="37" applyNumberFormat="1" applyBorder="1" applyAlignment="1">
      <alignment horizontal="center"/>
    </xf>
    <xf numFmtId="172" fontId="3" fillId="0" borderId="0" xfId="37" applyNumberFormat="1" applyAlignment="1">
      <alignment horizontal="center"/>
    </xf>
    <xf numFmtId="169" fontId="3" fillId="0" borderId="0" xfId="37" applyNumberFormat="1" applyAlignment="1">
      <alignment horizontal="center"/>
    </xf>
    <xf numFmtId="167" fontId="3" fillId="0" borderId="0" xfId="37" applyNumberFormat="1"/>
    <xf numFmtId="0" fontId="3" fillId="0" borderId="0" xfId="37" applyFill="1"/>
    <xf numFmtId="0" fontId="3" fillId="0" borderId="14" xfId="37" applyFill="1" applyBorder="1"/>
    <xf numFmtId="175" fontId="3" fillId="0" borderId="8" xfId="37" applyNumberFormat="1" applyFill="1" applyBorder="1"/>
    <xf numFmtId="175" fontId="3" fillId="0" borderId="8" xfId="37" applyNumberFormat="1" applyFill="1" applyBorder="1" applyAlignment="1">
      <alignment horizontal="center"/>
    </xf>
    <xf numFmtId="179" fontId="3" fillId="0" borderId="15" xfId="37" applyNumberFormat="1" applyFill="1" applyBorder="1"/>
    <xf numFmtId="170" fontId="3" fillId="0" borderId="0" xfId="37" applyNumberFormat="1" applyFill="1" applyBorder="1"/>
    <xf numFmtId="169" fontId="3" fillId="0" borderId="0" xfId="37" applyNumberFormat="1" applyFill="1"/>
    <xf numFmtId="179" fontId="3" fillId="0" borderId="0" xfId="37" applyNumberFormat="1" applyFill="1" applyBorder="1"/>
    <xf numFmtId="175" fontId="3" fillId="0" borderId="9" xfId="37" applyNumberFormat="1" applyFill="1" applyBorder="1"/>
    <xf numFmtId="175" fontId="3" fillId="0" borderId="9" xfId="37" applyNumberFormat="1" applyFill="1" applyBorder="1" applyAlignment="1">
      <alignment horizontal="center"/>
    </xf>
    <xf numFmtId="179" fontId="3" fillId="0" borderId="18" xfId="37" applyNumberFormat="1" applyFill="1" applyBorder="1"/>
    <xf numFmtId="0" fontId="3" fillId="0" borderId="0" xfId="37" applyAlignment="1">
      <alignment horizontal="center" wrapText="1"/>
    </xf>
    <xf numFmtId="169" fontId="3" fillId="0" borderId="0" xfId="37" applyNumberFormat="1" applyAlignment="1">
      <alignment horizontal="center" wrapText="1"/>
    </xf>
    <xf numFmtId="3" fontId="3" fillId="0" borderId="8" xfId="37" applyNumberFormat="1" applyFill="1" applyBorder="1"/>
    <xf numFmtId="175" fontId="3" fillId="0" borderId="0" xfId="37" applyNumberFormat="1"/>
    <xf numFmtId="3" fontId="3" fillId="0" borderId="0" xfId="37" applyNumberFormat="1" applyFill="1"/>
    <xf numFmtId="179" fontId="3" fillId="0" borderId="0" xfId="37" applyNumberFormat="1"/>
    <xf numFmtId="173" fontId="3" fillId="0" borderId="8" xfId="37" applyNumberFormat="1" applyBorder="1"/>
    <xf numFmtId="173" fontId="3" fillId="0" borderId="0" xfId="37" applyNumberFormat="1"/>
    <xf numFmtId="175" fontId="3" fillId="0" borderId="0" xfId="0" applyNumberFormat="1" applyFont="1" applyAlignment="1">
      <alignment horizontal="centerContinuous"/>
    </xf>
    <xf numFmtId="0" fontId="5" fillId="0" borderId="0" xfId="37" applyFont="1" applyAlignment="1">
      <alignment horizontal="centerContinuous"/>
    </xf>
    <xf numFmtId="173" fontId="20" fillId="0" borderId="0" xfId="37" applyNumberFormat="1" applyFont="1" applyBorder="1"/>
    <xf numFmtId="173" fontId="20" fillId="0" borderId="0" xfId="37" applyNumberFormat="1" applyFont="1" applyFill="1" applyBorder="1"/>
    <xf numFmtId="172" fontId="20" fillId="0" borderId="0" xfId="37" applyNumberFormat="1" applyFont="1" applyFill="1" applyBorder="1"/>
    <xf numFmtId="0" fontId="5" fillId="0" borderId="16" xfId="37" applyFont="1" applyBorder="1" applyProtection="1">
      <protection locked="0"/>
    </xf>
    <xf numFmtId="0" fontId="1" fillId="0" borderId="0" xfId="37" applyFont="1" applyBorder="1"/>
    <xf numFmtId="0" fontId="1" fillId="0" borderId="12" xfId="37" applyFont="1" applyBorder="1"/>
    <xf numFmtId="10" fontId="3" fillId="0" borderId="0" xfId="37" applyNumberFormat="1" applyFill="1" applyBorder="1" applyAlignment="1">
      <alignment horizontal="center"/>
    </xf>
    <xf numFmtId="172" fontId="3" fillId="0" borderId="0" xfId="37" applyNumberFormat="1" applyFill="1" applyBorder="1" applyAlignment="1">
      <alignment horizontal="center"/>
    </xf>
    <xf numFmtId="172" fontId="3" fillId="0" borderId="0" xfId="37" applyNumberFormat="1" applyFill="1" applyAlignment="1">
      <alignment horizontal="center"/>
    </xf>
    <xf numFmtId="0" fontId="3" fillId="0" borderId="0" xfId="37" applyFill="1" applyAlignment="1">
      <alignment horizontal="center"/>
    </xf>
    <xf numFmtId="169" fontId="3" fillId="0" borderId="0" xfId="37" applyNumberFormat="1" applyFill="1" applyAlignment="1">
      <alignment horizontal="center"/>
    </xf>
    <xf numFmtId="173" fontId="3" fillId="0" borderId="0" xfId="37" applyNumberFormat="1" applyFill="1" applyAlignment="1">
      <alignment horizontal="center"/>
    </xf>
    <xf numFmtId="172" fontId="3" fillId="0" borderId="0" xfId="37" applyNumberFormat="1" applyAlignment="1">
      <alignment horizontal="centerContinuous"/>
    </xf>
    <xf numFmtId="3" fontId="3" fillId="0" borderId="0" xfId="37" applyNumberFormat="1" applyFill="1" applyBorder="1" applyAlignment="1">
      <alignment horizontal="centerContinuous"/>
    </xf>
    <xf numFmtId="0" fontId="3" fillId="0" borderId="0" xfId="37" applyBorder="1" applyAlignment="1">
      <alignment horizontal="centerContinuous"/>
    </xf>
    <xf numFmtId="170" fontId="3" fillId="0" borderId="0" xfId="37" applyNumberFormat="1" applyBorder="1" applyAlignment="1">
      <alignment horizontal="right"/>
    </xf>
    <xf numFmtId="172" fontId="3" fillId="0" borderId="7" xfId="37" applyNumberFormat="1" applyBorder="1" applyAlignment="1">
      <alignment horizontal="centerContinuous"/>
    </xf>
    <xf numFmtId="3" fontId="3" fillId="0" borderId="8" xfId="37" applyNumberFormat="1" applyBorder="1" applyAlignment="1">
      <alignment horizontal="center"/>
    </xf>
    <xf numFmtId="172" fontId="3" fillId="0" borderId="8" xfId="37" applyNumberFormat="1" applyBorder="1" applyAlignment="1">
      <alignment horizontal="center"/>
    </xf>
    <xf numFmtId="173" fontId="3" fillId="0" borderId="0" xfId="37" applyNumberFormat="1" applyBorder="1" applyAlignment="1">
      <alignment horizontal="right"/>
    </xf>
    <xf numFmtId="172" fontId="3" fillId="0" borderId="9" xfId="37" applyNumberFormat="1" applyBorder="1"/>
    <xf numFmtId="173" fontId="3" fillId="0" borderId="9" xfId="37" applyNumberFormat="1" applyBorder="1"/>
    <xf numFmtId="173" fontId="3" fillId="0" borderId="9" xfId="37" applyNumberFormat="1" applyBorder="1" applyAlignment="1">
      <alignment horizontal="right"/>
    </xf>
    <xf numFmtId="175" fontId="3" fillId="0" borderId="21" xfId="37" applyNumberFormat="1" applyBorder="1" applyAlignment="1">
      <alignment horizontal="center"/>
    </xf>
    <xf numFmtId="10" fontId="3" fillId="0" borderId="0" xfId="37" applyNumberFormat="1" applyBorder="1" applyAlignment="1">
      <alignment horizontal="center"/>
    </xf>
    <xf numFmtId="173" fontId="3" fillId="0" borderId="0" xfId="37" applyNumberFormat="1" applyAlignment="1">
      <alignment horizontal="center"/>
    </xf>
    <xf numFmtId="172" fontId="3" fillId="0" borderId="8" xfId="37" applyNumberFormat="1" applyBorder="1"/>
    <xf numFmtId="173" fontId="3" fillId="0" borderId="8" xfId="37" applyNumberFormat="1" applyBorder="1" applyAlignment="1">
      <alignment horizontal="right"/>
    </xf>
    <xf numFmtId="173" fontId="3" fillId="0" borderId="8" xfId="37" applyNumberFormat="1" applyFill="1" applyBorder="1"/>
    <xf numFmtId="172" fontId="3" fillId="0" borderId="8" xfId="37" applyNumberFormat="1" applyFill="1" applyBorder="1"/>
    <xf numFmtId="172" fontId="3" fillId="0" borderId="0" xfId="37" applyNumberFormat="1" applyFill="1" applyBorder="1"/>
    <xf numFmtId="172" fontId="3" fillId="0" borderId="9" xfId="37" applyNumberFormat="1" applyFill="1" applyBorder="1"/>
    <xf numFmtId="170" fontId="3" fillId="0" borderId="0" xfId="37" applyNumberFormat="1" applyAlignment="1">
      <alignment horizontal="right"/>
    </xf>
    <xf numFmtId="172" fontId="3" fillId="0" borderId="0" xfId="37" applyNumberFormat="1"/>
    <xf numFmtId="3" fontId="3" fillId="0" borderId="0" xfId="37" applyNumberFormat="1" applyFill="1" applyBorder="1" applyAlignment="1">
      <alignment horizontal="center"/>
    </xf>
    <xf numFmtId="0" fontId="1" fillId="0" borderId="12" xfId="37" applyFont="1" applyBorder="1" applyProtection="1">
      <protection locked="0"/>
    </xf>
    <xf numFmtId="0" fontId="1" fillId="0" borderId="9" xfId="37" applyFont="1" applyBorder="1" applyProtection="1">
      <protection locked="0"/>
    </xf>
    <xf numFmtId="0" fontId="1" fillId="0" borderId="0" xfId="37" applyFont="1" applyBorder="1" applyProtection="1">
      <protection locked="0"/>
    </xf>
    <xf numFmtId="0" fontId="1" fillId="0" borderId="9" xfId="37" applyFont="1" applyBorder="1" applyAlignment="1">
      <alignment horizontal="center"/>
    </xf>
    <xf numFmtId="3" fontId="20" fillId="0" borderId="0" xfId="37" applyNumberFormat="1" applyFont="1" applyFill="1" applyBorder="1"/>
    <xf numFmtId="173" fontId="3" fillId="0" borderId="0" xfId="37" applyNumberFormat="1" applyFill="1" applyAlignment="1">
      <alignment horizontal="centerContinuous"/>
    </xf>
    <xf numFmtId="3" fontId="3" fillId="0" borderId="8" xfId="37" applyNumberFormat="1" applyFill="1" applyBorder="1" applyAlignment="1">
      <alignment horizontal="center"/>
    </xf>
    <xf numFmtId="3" fontId="3" fillId="0" borderId="9" xfId="37" applyNumberFormat="1" applyFill="1" applyBorder="1" applyProtection="1">
      <protection locked="0"/>
    </xf>
    <xf numFmtId="175" fontId="3" fillId="0" borderId="8" xfId="37" applyNumberFormat="1" applyFill="1" applyBorder="1" applyAlignment="1">
      <alignment horizontal="right"/>
    </xf>
    <xf numFmtId="175" fontId="3" fillId="0" borderId="9" xfId="37" applyNumberFormat="1" applyBorder="1" applyAlignment="1">
      <alignment horizontal="right"/>
    </xf>
    <xf numFmtId="172" fontId="3" fillId="0" borderId="0" xfId="37" applyNumberFormat="1" applyFill="1" applyBorder="1" applyAlignment="1">
      <alignment horizontal="right"/>
    </xf>
    <xf numFmtId="4" fontId="3" fillId="0" borderId="0" xfId="37" applyNumberFormat="1" applyBorder="1" applyAlignment="1">
      <alignment horizontal="center"/>
    </xf>
    <xf numFmtId="0" fontId="5" fillId="0" borderId="16" xfId="37" applyFont="1" applyBorder="1" applyAlignment="1"/>
    <xf numFmtId="44" fontId="3" fillId="0" borderId="0" xfId="37" applyNumberFormat="1" applyFill="1"/>
    <xf numFmtId="10" fontId="3" fillId="0" borderId="0" xfId="37" applyNumberFormat="1" applyFill="1"/>
    <xf numFmtId="165" fontId="3" fillId="0" borderId="0" xfId="37" applyNumberFormat="1" applyFill="1" applyBorder="1"/>
    <xf numFmtId="10" fontId="3" fillId="0" borderId="0" xfId="37" applyNumberFormat="1" applyFill="1" applyBorder="1"/>
    <xf numFmtId="0" fontId="3" fillId="0" borderId="0" xfId="37" applyFill="1" applyAlignment="1">
      <alignment horizontal="right"/>
    </xf>
    <xf numFmtId="3" fontId="20" fillId="0" borderId="0" xfId="37" applyNumberFormat="1" applyFont="1" applyFill="1"/>
    <xf numFmtId="0" fontId="1" fillId="0" borderId="0" xfId="37" applyFont="1" applyFill="1"/>
    <xf numFmtId="44" fontId="20" fillId="0" borderId="0" xfId="37" applyNumberFormat="1" applyFont="1" applyFill="1"/>
    <xf numFmtId="175" fontId="2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75" fontId="25" fillId="0" borderId="22" xfId="37" applyNumberFormat="1" applyFont="1" applyFill="1" applyBorder="1" applyAlignment="1">
      <alignment horizontal="center"/>
    </xf>
    <xf numFmtId="175" fontId="3" fillId="0" borderId="21" xfId="37" applyNumberFormat="1" applyFill="1" applyBorder="1" applyAlignment="1">
      <alignment horizontal="center"/>
    </xf>
    <xf numFmtId="0" fontId="1" fillId="0" borderId="20" xfId="37" applyFont="1" applyBorder="1" applyAlignment="1">
      <alignment horizontal="center"/>
    </xf>
    <xf numFmtId="42" fontId="3" fillId="0" borderId="0" xfId="37" applyNumberFormat="1" applyBorder="1" applyAlignment="1">
      <alignment horizontal="right"/>
    </xf>
    <xf numFmtId="175" fontId="25" fillId="0" borderId="19" xfId="37" applyNumberFormat="1" applyFont="1" applyFill="1" applyBorder="1" applyAlignment="1">
      <alignment horizontal="center"/>
    </xf>
    <xf numFmtId="0" fontId="1" fillId="0" borderId="18" xfId="37" applyFont="1" applyBorder="1" applyAlignment="1">
      <alignment horizontal="center"/>
    </xf>
    <xf numFmtId="175" fontId="25" fillId="0" borderId="19" xfId="37" applyNumberFormat="1" applyFont="1" applyBorder="1" applyAlignment="1">
      <alignment horizontal="center"/>
    </xf>
    <xf numFmtId="0" fontId="1" fillId="0" borderId="8" xfId="37" applyFont="1" applyFill="1" applyBorder="1" applyAlignment="1">
      <alignment horizontal="center"/>
    </xf>
    <xf numFmtId="0" fontId="3" fillId="0" borderId="0" xfId="37" applyFill="1" applyAlignment="1"/>
    <xf numFmtId="0" fontId="1" fillId="0" borderId="0" xfId="37" applyFont="1" applyFill="1" applyBorder="1" applyAlignment="1">
      <alignment horizontal="center"/>
    </xf>
    <xf numFmtId="0" fontId="3" fillId="0" borderId="0" xfId="37" applyFill="1" applyBorder="1" applyAlignment="1">
      <alignment horizontal="right"/>
    </xf>
    <xf numFmtId="44" fontId="3" fillId="0" borderId="0" xfId="37" applyNumberFormat="1" applyFill="1" applyBorder="1"/>
    <xf numFmtId="0" fontId="3" fillId="0" borderId="0" xfId="37" applyFill="1" applyBorder="1" applyAlignment="1"/>
    <xf numFmtId="165" fontId="1" fillId="0" borderId="0" xfId="37" applyNumberFormat="1" applyFont="1" applyFill="1"/>
    <xf numFmtId="165" fontId="3" fillId="0" borderId="9" xfId="37" applyNumberFormat="1" applyFill="1" applyBorder="1"/>
    <xf numFmtId="165" fontId="3" fillId="0" borderId="0" xfId="37" applyNumberFormat="1" applyFill="1" applyBorder="1" applyAlignment="1">
      <alignment horizontal="center"/>
    </xf>
    <xf numFmtId="0" fontId="5" fillId="0" borderId="0" xfId="37" applyFont="1" applyFill="1" applyBorder="1" applyAlignment="1">
      <alignment horizontal="centerContinuous"/>
    </xf>
    <xf numFmtId="0" fontId="1" fillId="0" borderId="0" xfId="37" applyFont="1" applyFill="1" applyBorder="1" applyAlignment="1">
      <alignment horizontal="center" wrapText="1"/>
    </xf>
    <xf numFmtId="9" fontId="3" fillId="0" borderId="0" xfId="23" applyFont="1" applyAlignment="1">
      <alignment horizontal="center"/>
    </xf>
    <xf numFmtId="0" fontId="3" fillId="0" borderId="12" xfId="37" applyFont="1" applyBorder="1"/>
    <xf numFmtId="172" fontId="23" fillId="0" borderId="0" xfId="37" applyNumberFormat="1" applyFont="1" applyBorder="1"/>
    <xf numFmtId="0" fontId="3" fillId="0" borderId="0" xfId="37" applyFont="1" applyFill="1" applyBorder="1" applyAlignment="1">
      <alignment horizontal="center"/>
    </xf>
    <xf numFmtId="9" fontId="23" fillId="0" borderId="0" xfId="23" applyFont="1" applyFill="1" applyBorder="1"/>
    <xf numFmtId="9" fontId="3" fillId="0" borderId="0" xfId="23" applyNumberFormat="1" applyFont="1" applyFill="1" applyBorder="1"/>
    <xf numFmtId="9" fontId="3" fillId="0" borderId="0" xfId="23" applyFont="1" applyFill="1" applyBorder="1"/>
    <xf numFmtId="44" fontId="3" fillId="0" borderId="0" xfId="37" applyNumberFormat="1" applyFill="1" applyBorder="1" applyAlignment="1">
      <alignment horizontal="right"/>
    </xf>
    <xf numFmtId="175" fontId="3" fillId="0" borderId="22" xfId="37" applyNumberFormat="1" applyFont="1" applyBorder="1" applyAlignment="1">
      <alignment horizontal="center"/>
    </xf>
    <xf numFmtId="179" fontId="3" fillId="0" borderId="18" xfId="37" applyNumberFormat="1" applyBorder="1" applyAlignment="1">
      <alignment horizontal="right"/>
    </xf>
    <xf numFmtId="179" fontId="3" fillId="0" borderId="19" xfId="37" applyNumberFormat="1" applyBorder="1" applyAlignment="1">
      <alignment horizontal="right"/>
    </xf>
    <xf numFmtId="179" fontId="3" fillId="0" borderId="15" xfId="37" applyNumberFormat="1" applyBorder="1" applyAlignment="1">
      <alignment horizontal="right"/>
    </xf>
    <xf numFmtId="179" fontId="3" fillId="0" borderId="0" xfId="37" applyNumberFormat="1" applyBorder="1" applyAlignment="1">
      <alignment horizontal="right"/>
    </xf>
    <xf numFmtId="172" fontId="23" fillId="0" borderId="0" xfId="37" applyNumberFormat="1" applyFont="1" applyFill="1" applyBorder="1"/>
    <xf numFmtId="173" fontId="23" fillId="0" borderId="0" xfId="37" applyNumberFormat="1" applyFont="1" applyFill="1" applyBorder="1"/>
    <xf numFmtId="172" fontId="3" fillId="0" borderId="0" xfId="37" applyNumberFormat="1" applyFont="1" applyBorder="1"/>
    <xf numFmtId="0" fontId="3" fillId="0" borderId="12" xfId="37" applyFont="1" applyBorder="1" applyProtection="1">
      <protection locked="0"/>
    </xf>
    <xf numFmtId="173" fontId="1" fillId="0" borderId="0" xfId="37" applyNumberFormat="1" applyFont="1" applyBorder="1"/>
    <xf numFmtId="42" fontId="1" fillId="0" borderId="23" xfId="0" applyNumberFormat="1" applyFont="1" applyBorder="1"/>
    <xf numFmtId="42" fontId="1" fillId="0" borderId="24" xfId="0" applyNumberFormat="1" applyFont="1" applyBorder="1"/>
    <xf numFmtId="10" fontId="20" fillId="0" borderId="0" xfId="37" applyNumberFormat="1" applyFont="1" applyFill="1" applyBorder="1" applyAlignment="1">
      <alignment horizontal="center"/>
    </xf>
    <xf numFmtId="165" fontId="3" fillId="0" borderId="0" xfId="37" applyNumberFormat="1" applyFill="1"/>
    <xf numFmtId="41" fontId="1" fillId="0" borderId="0" xfId="37" applyNumberFormat="1" applyFont="1" applyFill="1"/>
    <xf numFmtId="173" fontId="23" fillId="0" borderId="0" xfId="37" applyNumberFormat="1" applyFont="1" applyBorder="1"/>
    <xf numFmtId="175" fontId="3" fillId="0" borderId="0" xfId="0" applyNumberFormat="1" applyFont="1"/>
    <xf numFmtId="175" fontId="3" fillId="0" borderId="0" xfId="37" applyNumberFormat="1" applyFill="1" applyAlignment="1">
      <alignment horizontal="right"/>
    </xf>
    <xf numFmtId="0" fontId="3" fillId="0" borderId="0" xfId="37" applyFont="1"/>
    <xf numFmtId="166" fontId="3" fillId="0" borderId="0" xfId="37" applyNumberFormat="1"/>
    <xf numFmtId="166" fontId="3" fillId="0" borderId="0" xfId="37" applyNumberFormat="1" applyFill="1"/>
    <xf numFmtId="166" fontId="3" fillId="0" borderId="9" xfId="37" applyNumberFormat="1" applyBorder="1"/>
    <xf numFmtId="170" fontId="1" fillId="0" borderId="0" xfId="23" applyNumberFormat="1"/>
    <xf numFmtId="42" fontId="1" fillId="0" borderId="0" xfId="0" applyNumberFormat="1" applyFont="1" applyBorder="1"/>
    <xf numFmtId="0" fontId="5" fillId="0" borderId="0" xfId="37" applyFont="1"/>
    <xf numFmtId="41" fontId="0" fillId="0" borderId="0" xfId="0" applyNumberFormat="1" applyBorder="1"/>
    <xf numFmtId="42" fontId="1" fillId="0" borderId="0" xfId="0" applyNumberFormat="1" applyFont="1" applyFill="1" applyBorder="1"/>
    <xf numFmtId="42" fontId="25" fillId="0" borderId="0" xfId="0" applyNumberFormat="1" applyFont="1" applyBorder="1"/>
    <xf numFmtId="41" fontId="25" fillId="0" borderId="0" xfId="0" applyNumberFormat="1" applyFont="1" applyBorder="1"/>
    <xf numFmtId="175" fontId="23" fillId="0" borderId="0" xfId="0" applyNumberFormat="1" applyFont="1"/>
    <xf numFmtId="166" fontId="3" fillId="0" borderId="0" xfId="37" applyNumberFormat="1" applyBorder="1"/>
    <xf numFmtId="183" fontId="20" fillId="0" borderId="9" xfId="37" applyNumberFormat="1" applyFont="1" applyFill="1" applyBorder="1" applyAlignment="1">
      <alignment horizontal="center"/>
    </xf>
    <xf numFmtId="10" fontId="20" fillId="0" borderId="9" xfId="37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172" fontId="3" fillId="0" borderId="0" xfId="37" applyNumberFormat="1" applyFont="1" applyFill="1" applyBorder="1"/>
    <xf numFmtId="0" fontId="0" fillId="0" borderId="0" xfId="0" applyFill="1" applyAlignment="1">
      <alignment horizontal="left"/>
    </xf>
    <xf numFmtId="41" fontId="25" fillId="0" borderId="0" xfId="0" applyNumberFormat="1" applyFont="1" applyFill="1" applyBorder="1"/>
    <xf numFmtId="2" fontId="3" fillId="0" borderId="0" xfId="37" applyNumberFormat="1" applyFill="1"/>
    <xf numFmtId="44" fontId="3" fillId="0" borderId="20" xfId="37" applyNumberFormat="1" applyFont="1" applyFill="1" applyBorder="1" applyAlignment="1">
      <alignment horizontal="center"/>
    </xf>
    <xf numFmtId="165" fontId="22" fillId="0" borderId="22" xfId="37" applyNumberFormat="1" applyFont="1" applyFill="1" applyBorder="1"/>
    <xf numFmtId="44" fontId="3" fillId="0" borderId="22" xfId="37" applyNumberFormat="1" applyFont="1" applyFill="1" applyBorder="1" applyAlignment="1">
      <alignment horizontal="center"/>
    </xf>
    <xf numFmtId="44" fontId="23" fillId="0" borderId="0" xfId="37" applyNumberFormat="1" applyFont="1" applyFill="1" applyBorder="1"/>
    <xf numFmtId="44" fontId="3" fillId="0" borderId="0" xfId="37" applyNumberFormat="1" applyFont="1" applyFill="1" applyBorder="1"/>
    <xf numFmtId="179" fontId="3" fillId="0" borderId="0" xfId="37" applyNumberFormat="1" applyBorder="1" applyAlignment="1">
      <alignment horizontal="center"/>
    </xf>
    <xf numFmtId="165" fontId="3" fillId="0" borderId="21" xfId="37" applyNumberFormat="1" applyFill="1" applyBorder="1"/>
    <xf numFmtId="0" fontId="23" fillId="0" borderId="0" xfId="37" applyFont="1" applyFill="1" applyBorder="1" applyAlignment="1">
      <alignment horizontal="center"/>
    </xf>
    <xf numFmtId="0" fontId="1" fillId="0" borderId="0" xfId="0" applyFont="1" applyFill="1"/>
    <xf numFmtId="170" fontId="3" fillId="0" borderId="19" xfId="37" applyNumberFormat="1" applyFont="1" applyBorder="1" applyAlignment="1">
      <alignment horizontal="left"/>
    </xf>
    <xf numFmtId="170" fontId="3" fillId="0" borderId="19" xfId="37" applyNumberFormat="1" applyBorder="1" applyAlignment="1">
      <alignment horizontal="left"/>
    </xf>
    <xf numFmtId="170" fontId="3" fillId="0" borderId="0" xfId="37" applyNumberFormat="1" applyBorder="1" applyAlignment="1">
      <alignment horizontal="left"/>
    </xf>
    <xf numFmtId="179" fontId="3" fillId="0" borderId="0" xfId="37" applyNumberFormat="1" applyFont="1" applyFill="1" applyBorder="1" applyAlignment="1">
      <alignment horizontal="left"/>
    </xf>
    <xf numFmtId="172" fontId="3" fillId="0" borderId="8" xfId="37" applyNumberFormat="1" applyFill="1" applyBorder="1" applyAlignment="1">
      <alignment horizontal="right"/>
    </xf>
    <xf numFmtId="170" fontId="3" fillId="0" borderId="0" xfId="37" applyNumberFormat="1" applyFont="1" applyBorder="1" applyAlignment="1">
      <alignment horizontal="left"/>
    </xf>
    <xf numFmtId="0" fontId="0" fillId="0" borderId="0" xfId="0" applyBorder="1" applyAlignment="1"/>
    <xf numFmtId="172" fontId="23" fillId="0" borderId="0" xfId="0" applyNumberFormat="1" applyFont="1" applyBorder="1"/>
    <xf numFmtId="10" fontId="23" fillId="0" borderId="0" xfId="23" applyNumberFormat="1" applyFont="1" applyFill="1" applyBorder="1" applyAlignment="1">
      <alignment horizontal="center"/>
    </xf>
    <xf numFmtId="10" fontId="3" fillId="0" borderId="0" xfId="23" applyNumberFormat="1" applyFont="1" applyFill="1" applyBorder="1" applyAlignment="1">
      <alignment horizontal="center"/>
    </xf>
    <xf numFmtId="169" fontId="3" fillId="0" borderId="0" xfId="37" applyNumberFormat="1" applyFont="1" applyFill="1"/>
    <xf numFmtId="175" fontId="3" fillId="0" borderId="8" xfId="37" applyNumberFormat="1" applyFont="1" applyBorder="1" applyAlignment="1">
      <alignment horizontal="center"/>
    </xf>
    <xf numFmtId="175" fontId="3" fillId="0" borderId="0" xfId="37" applyNumberFormat="1" applyFont="1" applyBorder="1"/>
    <xf numFmtId="170" fontId="3" fillId="0" borderId="0" xfId="37" applyNumberFormat="1" applyAlignment="1">
      <alignment horizontal="left"/>
    </xf>
    <xf numFmtId="182" fontId="1" fillId="0" borderId="0" xfId="7" applyNumberFormat="1"/>
    <xf numFmtId="182" fontId="1" fillId="0" borderId="0" xfId="7" applyNumberFormat="1" applyBorder="1"/>
    <xf numFmtId="0" fontId="0" fillId="0" borderId="0" xfId="0" applyAlignment="1"/>
    <xf numFmtId="164" fontId="1" fillId="0" borderId="0" xfId="2" applyNumberFormat="1"/>
    <xf numFmtId="44" fontId="0" fillId="0" borderId="0" xfId="0" applyNumberFormat="1"/>
    <xf numFmtId="9" fontId="1" fillId="0" borderId="0" xfId="23"/>
    <xf numFmtId="164" fontId="1" fillId="0" borderId="0" xfId="2" applyNumberFormat="1" applyFont="1" applyBorder="1" applyAlignment="1"/>
    <xf numFmtId="44" fontId="0" fillId="0" borderId="0" xfId="0" applyNumberFormat="1" applyBorder="1" applyAlignment="1">
      <alignment horizontal="center"/>
    </xf>
    <xf numFmtId="44" fontId="0" fillId="0" borderId="0" xfId="0" applyNumberFormat="1" applyBorder="1"/>
    <xf numFmtId="44" fontId="0" fillId="0" borderId="0" xfId="0" applyNumberFormat="1" applyAlignment="1">
      <alignment horizontal="center"/>
    </xf>
    <xf numFmtId="44" fontId="0" fillId="0" borderId="8" xfId="0" applyNumberFormat="1" applyBorder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/>
    <xf numFmtId="44" fontId="0" fillId="0" borderId="8" xfId="0" applyNumberFormat="1" applyBorder="1"/>
    <xf numFmtId="44" fontId="1" fillId="0" borderId="0" xfId="7" applyFill="1"/>
    <xf numFmtId="182" fontId="1" fillId="0" borderId="0" xfId="7" applyNumberFormat="1" applyFill="1"/>
    <xf numFmtId="0" fontId="0" fillId="0" borderId="0" xfId="0" applyFill="1" applyAlignment="1">
      <alignment horizontal="left" indent="1"/>
    </xf>
    <xf numFmtId="182" fontId="1" fillId="0" borderId="0" xfId="7" applyNumberFormat="1" applyFill="1" applyBorder="1"/>
    <xf numFmtId="0" fontId="0" fillId="0" borderId="0" xfId="0" applyFill="1" applyAlignment="1"/>
    <xf numFmtId="164" fontId="1" fillId="0" borderId="0" xfId="2" applyNumberFormat="1" applyFill="1"/>
    <xf numFmtId="184" fontId="0" fillId="0" borderId="0" xfId="0" applyNumberFormat="1" applyFill="1"/>
    <xf numFmtId="44" fontId="0" fillId="0" borderId="0" xfId="0" applyNumberFormat="1" applyFill="1"/>
    <xf numFmtId="164" fontId="1" fillId="0" borderId="0" xfId="2" applyNumberFormat="1" applyFont="1" applyFill="1"/>
    <xf numFmtId="44" fontId="25" fillId="0" borderId="0" xfId="7" applyFont="1"/>
    <xf numFmtId="182" fontId="25" fillId="0" borderId="0" xfId="7" applyNumberFormat="1" applyFont="1"/>
    <xf numFmtId="182" fontId="25" fillId="0" borderId="0" xfId="7" applyNumberFormat="1" applyFont="1" applyBorder="1"/>
    <xf numFmtId="182" fontId="20" fillId="0" borderId="0" xfId="7" applyNumberFormat="1" applyFont="1" applyBorder="1"/>
    <xf numFmtId="182" fontId="20" fillId="0" borderId="8" xfId="7" applyNumberFormat="1" applyFont="1" applyBorder="1"/>
    <xf numFmtId="182" fontId="1" fillId="0" borderId="9" xfId="7" applyNumberFormat="1" applyBorder="1"/>
    <xf numFmtId="178" fontId="1" fillId="0" borderId="0" xfId="7" applyNumberFormat="1" applyBorder="1"/>
    <xf numFmtId="0" fontId="5" fillId="0" borderId="0" xfId="0" applyFont="1" applyFill="1" applyAlignment="1">
      <alignment horizontal="centerContinuous"/>
    </xf>
    <xf numFmtId="44" fontId="20" fillId="0" borderId="8" xfId="37" applyNumberFormat="1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/>
    <xf numFmtId="3" fontId="23" fillId="0" borderId="0" xfId="0" applyNumberFormat="1" applyFont="1" applyFill="1" applyBorder="1"/>
    <xf numFmtId="182" fontId="20" fillId="0" borderId="0" xfId="7" applyNumberFormat="1" applyFont="1" applyFill="1" applyBorder="1"/>
    <xf numFmtId="182" fontId="20" fillId="0" borderId="8" xfId="7" applyNumberFormat="1" applyFont="1" applyFill="1" applyBorder="1"/>
    <xf numFmtId="44" fontId="25" fillId="0" borderId="0" xfId="7" applyFont="1" applyFill="1"/>
    <xf numFmtId="182" fontId="25" fillId="0" borderId="0" xfId="7" applyNumberFormat="1" applyFont="1" applyFill="1"/>
    <xf numFmtId="182" fontId="20" fillId="0" borderId="0" xfId="7" applyNumberFormat="1" applyFont="1" applyFill="1"/>
    <xf numFmtId="44" fontId="25" fillId="0" borderId="0" xfId="7" applyNumberFormat="1" applyFont="1" applyFill="1"/>
    <xf numFmtId="9" fontId="0" fillId="0" borderId="0" xfId="23" applyFont="1" applyFill="1"/>
    <xf numFmtId="3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2" xfId="37" applyFill="1" applyBorder="1"/>
    <xf numFmtId="0" fontId="1" fillId="0" borderId="0" xfId="37" applyFont="1" applyFill="1" applyBorder="1"/>
    <xf numFmtId="0" fontId="3" fillId="0" borderId="9" xfId="37" applyFill="1" applyBorder="1" applyAlignment="1">
      <alignment horizontal="center"/>
    </xf>
    <xf numFmtId="3" fontId="3" fillId="0" borderId="9" xfId="37" applyNumberFormat="1" applyFill="1" applyBorder="1" applyAlignment="1">
      <alignment horizontal="center"/>
    </xf>
    <xf numFmtId="0" fontId="3" fillId="0" borderId="0" xfId="37" applyFont="1" applyBorder="1"/>
    <xf numFmtId="0" fontId="26" fillId="0" borderId="0" xfId="37" applyFont="1" applyBorder="1" applyAlignment="1">
      <alignment horizontal="left"/>
    </xf>
    <xf numFmtId="175" fontId="3" fillId="0" borderId="0" xfId="37" applyNumberFormat="1" applyFont="1" applyFill="1" applyBorder="1"/>
    <xf numFmtId="9" fontId="3" fillId="0" borderId="0" xfId="23" applyFont="1" applyFill="1"/>
    <xf numFmtId="183" fontId="3" fillId="0" borderId="0" xfId="37" applyNumberFormat="1" applyFill="1"/>
    <xf numFmtId="0" fontId="3" fillId="0" borderId="0" xfId="37" applyFont="1" applyBorder="1" applyProtection="1">
      <protection locked="0"/>
    </xf>
    <xf numFmtId="0" fontId="1" fillId="0" borderId="0" xfId="37" applyFont="1" applyBorder="1" applyAlignment="1">
      <alignment horizontal="center"/>
    </xf>
    <xf numFmtId="175" fontId="3" fillId="0" borderId="0" xfId="37" applyNumberFormat="1" applyFill="1" applyBorder="1" applyAlignment="1">
      <alignment horizontal="right"/>
    </xf>
    <xf numFmtId="3" fontId="20" fillId="0" borderId="8" xfId="37" applyNumberFormat="1" applyFont="1" applyFill="1" applyBorder="1"/>
    <xf numFmtId="173" fontId="3" fillId="0" borderId="0" xfId="37" applyNumberFormat="1" applyFill="1" applyBorder="1" applyAlignment="1">
      <alignment horizontal="right"/>
    </xf>
    <xf numFmtId="175" fontId="23" fillId="0" borderId="0" xfId="37" applyNumberFormat="1" applyFont="1" applyBorder="1" applyAlignment="1">
      <alignment horizontal="right"/>
    </xf>
    <xf numFmtId="0" fontId="1" fillId="0" borderId="0" xfId="37" applyFont="1" applyFill="1" applyBorder="1" applyProtection="1">
      <protection locked="0"/>
    </xf>
    <xf numFmtId="0" fontId="5" fillId="0" borderId="0" xfId="37" applyFont="1" applyFill="1" applyBorder="1" applyProtection="1">
      <protection locked="0"/>
    </xf>
    <xf numFmtId="179" fontId="3" fillId="0" borderId="0" xfId="37" applyNumberFormat="1" applyFill="1" applyBorder="1" applyAlignment="1">
      <alignment horizontal="right"/>
    </xf>
    <xf numFmtId="179" fontId="3" fillId="0" borderId="0" xfId="37" applyNumberFormat="1" applyFill="1" applyBorder="1" applyAlignment="1">
      <alignment horizontal="center"/>
    </xf>
    <xf numFmtId="175" fontId="23" fillId="0" borderId="0" xfId="37" applyNumberFormat="1" applyFont="1" applyFill="1" applyBorder="1" applyAlignment="1">
      <alignment horizontal="right"/>
    </xf>
    <xf numFmtId="0" fontId="3" fillId="0" borderId="0" xfId="37" applyFont="1" applyFill="1" applyBorder="1" applyProtection="1">
      <protection locked="0"/>
    </xf>
    <xf numFmtId="182" fontId="23" fillId="0" borderId="0" xfId="7" applyNumberFormat="1" applyFont="1" applyBorder="1"/>
    <xf numFmtId="8" fontId="3" fillId="0" borderId="0" xfId="37" applyNumberFormat="1" applyBorder="1"/>
    <xf numFmtId="8" fontId="1" fillId="0" borderId="0" xfId="37" applyNumberFormat="1" applyFont="1" applyBorder="1"/>
    <xf numFmtId="0" fontId="3" fillId="0" borderId="12" xfId="37" applyFont="1" applyFill="1" applyBorder="1"/>
    <xf numFmtId="0" fontId="5" fillId="0" borderId="16" xfId="37" applyFont="1" applyFill="1" applyBorder="1" applyProtection="1">
      <protection locked="0"/>
    </xf>
    <xf numFmtId="0" fontId="1" fillId="0" borderId="12" xfId="37" applyFont="1" applyFill="1" applyBorder="1"/>
    <xf numFmtId="3" fontId="3" fillId="0" borderId="0" xfId="37" applyNumberFormat="1" applyFill="1" applyBorder="1" applyAlignment="1">
      <alignment horizontal="right"/>
    </xf>
    <xf numFmtId="0" fontId="3" fillId="0" borderId="12" xfId="37" applyFont="1" applyFill="1" applyBorder="1" applyProtection="1">
      <protection locked="0"/>
    </xf>
    <xf numFmtId="0" fontId="1" fillId="0" borderId="19" xfId="37" applyFont="1" applyBorder="1" applyAlignment="1">
      <alignment horizontal="center"/>
    </xf>
    <xf numFmtId="173" fontId="3" fillId="0" borderId="0" xfId="37" applyNumberFormat="1" applyFont="1"/>
    <xf numFmtId="175" fontId="3" fillId="0" borderId="19" xfId="2" applyNumberFormat="1" applyFont="1" applyBorder="1" applyAlignment="1">
      <alignment horizontal="right"/>
    </xf>
    <xf numFmtId="3" fontId="3" fillId="0" borderId="0" xfId="37" applyNumberFormat="1" applyFont="1" applyFill="1"/>
    <xf numFmtId="8" fontId="3" fillId="0" borderId="0" xfId="37" applyNumberFormat="1" applyFont="1" applyBorder="1"/>
    <xf numFmtId="164" fontId="23" fillId="0" borderId="0" xfId="2" applyNumberFormat="1" applyFont="1" applyFill="1"/>
    <xf numFmtId="17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73" fontId="3" fillId="0" borderId="0" xfId="37" applyNumberFormat="1" applyFont="1" applyFill="1" applyBorder="1"/>
    <xf numFmtId="175" fontId="23" fillId="0" borderId="0" xfId="37" applyNumberFormat="1" applyFont="1" applyBorder="1"/>
    <xf numFmtId="179" fontId="3" fillId="0" borderId="0" xfId="37" applyNumberFormat="1" applyAlignment="1">
      <alignment horizontal="left"/>
    </xf>
    <xf numFmtId="166" fontId="3" fillId="0" borderId="0" xfId="37" applyNumberFormat="1" applyAlignment="1">
      <alignment horizontal="left"/>
    </xf>
    <xf numFmtId="173" fontId="23" fillId="0" borderId="0" xfId="37" applyNumberFormat="1" applyFont="1" applyBorder="1" applyAlignment="1">
      <alignment horizontal="right"/>
    </xf>
    <xf numFmtId="9" fontId="3" fillId="0" borderId="8" xfId="37" applyNumberFormat="1" applyBorder="1"/>
    <xf numFmtId="172" fontId="1" fillId="0" borderId="0" xfId="37" applyNumberFormat="1" applyFont="1" applyFill="1" applyBorder="1"/>
    <xf numFmtId="173" fontId="1" fillId="0" borderId="0" xfId="37" applyNumberFormat="1" applyFont="1" applyFill="1" applyBorder="1"/>
    <xf numFmtId="175" fontId="23" fillId="0" borderId="0" xfId="37" applyNumberFormat="1" applyFont="1"/>
    <xf numFmtId="0" fontId="3" fillId="0" borderId="0" xfId="37" applyAlignment="1">
      <alignment horizontal="left"/>
    </xf>
    <xf numFmtId="173" fontId="3" fillId="0" borderId="0" xfId="37" applyNumberFormat="1" applyBorder="1" applyAlignment="1">
      <alignment horizontal="left"/>
    </xf>
    <xf numFmtId="179" fontId="3" fillId="0" borderId="0" xfId="37" applyNumberFormat="1" applyBorder="1" applyAlignment="1">
      <alignment horizontal="left"/>
    </xf>
    <xf numFmtId="179" fontId="3" fillId="0" borderId="0" xfId="37" applyNumberFormat="1" applyFill="1" applyBorder="1" applyAlignment="1">
      <alignment horizontal="left"/>
    </xf>
    <xf numFmtId="173" fontId="3" fillId="0" borderId="8" xfId="37" applyNumberFormat="1" applyFill="1" applyBorder="1" applyAlignment="1">
      <alignment horizontal="center"/>
    </xf>
    <xf numFmtId="168" fontId="3" fillId="0" borderId="0" xfId="37" applyNumberFormat="1" applyFont="1" applyBorder="1" applyAlignment="1">
      <alignment horizontal="center"/>
    </xf>
    <xf numFmtId="0" fontId="3" fillId="0" borderId="0" xfId="37" applyFont="1" applyBorder="1" applyAlignment="1">
      <alignment horizontal="center"/>
    </xf>
    <xf numFmtId="168" fontId="23" fillId="0" borderId="0" xfId="37" applyNumberFormat="1" applyFont="1" applyBorder="1"/>
    <xf numFmtId="10" fontId="0" fillId="0" borderId="0" xfId="23" applyNumberFormat="1" applyFont="1" applyFill="1"/>
    <xf numFmtId="179" fontId="0" fillId="0" borderId="0" xfId="23" applyNumberFormat="1" applyFont="1"/>
    <xf numFmtId="10" fontId="0" fillId="0" borderId="0" xfId="23" applyNumberFormat="1" applyFont="1"/>
    <xf numFmtId="0" fontId="3" fillId="0" borderId="8" xfId="37" applyBorder="1" applyProtection="1">
      <protection locked="0"/>
    </xf>
    <xf numFmtId="3" fontId="1" fillId="0" borderId="9" xfId="37" applyNumberFormat="1" applyFont="1" applyFill="1" applyBorder="1"/>
    <xf numFmtId="173" fontId="3" fillId="0" borderId="0" xfId="37" applyNumberFormat="1" applyFont="1" applyBorder="1"/>
    <xf numFmtId="10" fontId="23" fillId="0" borderId="0" xfId="23" applyNumberFormat="1" applyFont="1" applyBorder="1" applyAlignment="1">
      <alignment horizontal="center"/>
    </xf>
    <xf numFmtId="175" fontId="1" fillId="0" borderId="19" xfId="37" applyNumberFormat="1" applyFont="1" applyBorder="1" applyAlignment="1">
      <alignment horizontal="center"/>
    </xf>
    <xf numFmtId="3" fontId="3" fillId="0" borderId="20" xfId="37" applyNumberFormat="1" applyBorder="1" applyAlignment="1">
      <alignment horizontal="center"/>
    </xf>
    <xf numFmtId="175" fontId="3" fillId="0" borderId="22" xfId="37" applyNumberFormat="1" applyFill="1" applyBorder="1" applyAlignment="1">
      <alignment horizontal="center"/>
    </xf>
    <xf numFmtId="10" fontId="23" fillId="0" borderId="0" xfId="23" applyNumberFormat="1" applyFont="1" applyBorder="1"/>
    <xf numFmtId="1" fontId="20" fillId="0" borderId="0" xfId="0" applyNumberFormat="1" applyFont="1"/>
    <xf numFmtId="1" fontId="20" fillId="0" borderId="8" xfId="0" applyNumberFormat="1" applyFont="1" applyBorder="1"/>
    <xf numFmtId="179" fontId="23" fillId="0" borderId="0" xfId="23" applyNumberFormat="1" applyFont="1" applyFill="1" applyBorder="1" applyAlignment="1">
      <alignment horizontal="right"/>
    </xf>
    <xf numFmtId="0" fontId="3" fillId="0" borderId="19" xfId="37" applyFill="1" applyBorder="1"/>
    <xf numFmtId="175" fontId="3" fillId="0" borderId="0" xfId="37" applyNumberFormat="1" applyFont="1" applyBorder="1" applyAlignment="1">
      <alignment horizontal="right"/>
    </xf>
    <xf numFmtId="179" fontId="3" fillId="0" borderId="19" xfId="37" applyNumberFormat="1" applyFill="1" applyBorder="1" applyAlignment="1">
      <alignment horizontal="right"/>
    </xf>
    <xf numFmtId="170" fontId="3" fillId="0" borderId="0" xfId="37" applyNumberFormat="1" applyFill="1" applyBorder="1" applyAlignment="1">
      <alignment horizontal="left"/>
    </xf>
    <xf numFmtId="179" fontId="3" fillId="0" borderId="19" xfId="37" applyNumberFormat="1" applyFill="1" applyBorder="1"/>
    <xf numFmtId="175" fontId="3" fillId="0" borderId="9" xfId="37" applyNumberFormat="1" applyFont="1" applyFill="1" applyBorder="1"/>
    <xf numFmtId="175" fontId="3" fillId="0" borderId="9" xfId="37" applyNumberFormat="1" applyFill="1" applyBorder="1" applyAlignment="1">
      <alignment horizontal="right"/>
    </xf>
    <xf numFmtId="179" fontId="3" fillId="0" borderId="19" xfId="37" applyNumberFormat="1" applyFont="1" applyFill="1" applyBorder="1" applyAlignment="1">
      <alignment horizontal="right"/>
    </xf>
    <xf numFmtId="173" fontId="3" fillId="0" borderId="8" xfId="37" applyNumberFormat="1" applyFill="1" applyBorder="1" applyAlignment="1">
      <alignment horizontal="right"/>
    </xf>
    <xf numFmtId="175" fontId="3" fillId="0" borderId="0" xfId="37" applyNumberFormat="1" applyFont="1" applyFill="1" applyBorder="1" applyProtection="1">
      <protection locked="0"/>
    </xf>
    <xf numFmtId="179" fontId="3" fillId="0" borderId="8" xfId="37" applyNumberFormat="1" applyBorder="1" applyAlignment="1">
      <alignment horizontal="right"/>
    </xf>
    <xf numFmtId="0" fontId="1" fillId="0" borderId="9" xfId="37" applyFont="1" applyFill="1" applyBorder="1" applyProtection="1">
      <protection locked="0"/>
    </xf>
    <xf numFmtId="173" fontId="3" fillId="0" borderId="9" xfId="37" applyNumberFormat="1" applyFill="1" applyBorder="1"/>
    <xf numFmtId="173" fontId="3" fillId="0" borderId="9" xfId="37" applyNumberFormat="1" applyFill="1" applyBorder="1" applyAlignment="1">
      <alignment horizontal="right"/>
    </xf>
    <xf numFmtId="179" fontId="3" fillId="0" borderId="18" xfId="37" applyNumberFormat="1" applyFill="1" applyBorder="1" applyAlignment="1">
      <alignment horizontal="right"/>
    </xf>
    <xf numFmtId="0" fontId="1" fillId="0" borderId="12" xfId="37" applyFont="1" applyFill="1" applyBorder="1" applyProtection="1">
      <protection locked="0"/>
    </xf>
    <xf numFmtId="179" fontId="3" fillId="0" borderId="19" xfId="37" applyNumberFormat="1" applyFill="1" applyBorder="1" applyAlignment="1">
      <alignment horizontal="center"/>
    </xf>
    <xf numFmtId="0" fontId="3" fillId="0" borderId="8" xfId="37" applyFont="1" applyFill="1" applyBorder="1"/>
    <xf numFmtId="175" fontId="3" fillId="0" borderId="8" xfId="37" applyNumberFormat="1" applyFont="1" applyFill="1" applyBorder="1"/>
    <xf numFmtId="172" fontId="3" fillId="0" borderId="0" xfId="37" applyNumberFormat="1" applyFont="1" applyFill="1" applyAlignment="1">
      <alignment horizontal="center"/>
    </xf>
    <xf numFmtId="170" fontId="3" fillId="0" borderId="19" xfId="37" applyNumberFormat="1" applyBorder="1" applyAlignment="1">
      <alignment horizontal="right"/>
    </xf>
    <xf numFmtId="175" fontId="3" fillId="0" borderId="0" xfId="37" applyNumberFormat="1" applyFont="1" applyFill="1" applyBorder="1" applyAlignment="1">
      <alignment horizontal="right"/>
    </xf>
    <xf numFmtId="170" fontId="3" fillId="0" borderId="19" xfId="37" applyNumberFormat="1" applyFill="1" applyBorder="1" applyAlignment="1">
      <alignment horizontal="right"/>
    </xf>
    <xf numFmtId="3" fontId="1" fillId="0" borderId="8" xfId="37" applyNumberFormat="1" applyFont="1" applyFill="1" applyBorder="1"/>
    <xf numFmtId="9" fontId="1" fillId="0" borderId="0" xfId="23" applyNumberFormat="1"/>
    <xf numFmtId="9" fontId="1" fillId="0" borderId="8" xfId="23" applyNumberFormat="1" applyBorder="1"/>
    <xf numFmtId="44" fontId="1" fillId="0" borderId="0" xfId="7" applyFill="1" applyBorder="1"/>
    <xf numFmtId="179" fontId="1" fillId="0" borderId="0" xfId="23" applyNumberFormat="1" applyFill="1"/>
    <xf numFmtId="3" fontId="3" fillId="0" borderId="9" xfId="0" applyNumberFormat="1" applyFont="1" applyFill="1" applyBorder="1"/>
    <xf numFmtId="179" fontId="1" fillId="0" borderId="0" xfId="23" applyNumberFormat="1"/>
    <xf numFmtId="179" fontId="0" fillId="0" borderId="0" xfId="0" applyNumberFormat="1"/>
    <xf numFmtId="173" fontId="20" fillId="7" borderId="0" xfId="37" applyNumberFormat="1" applyFont="1" applyFill="1" applyBorder="1"/>
    <xf numFmtId="172" fontId="3" fillId="7" borderId="0" xfId="37" applyNumberFormat="1" applyFont="1" applyFill="1" applyBorder="1"/>
    <xf numFmtId="173" fontId="23" fillId="7" borderId="0" xfId="37" applyNumberFormat="1" applyFont="1" applyFill="1" applyBorder="1"/>
    <xf numFmtId="172" fontId="1" fillId="7" borderId="0" xfId="37" applyNumberFormat="1" applyFont="1" applyFill="1" applyBorder="1"/>
    <xf numFmtId="173" fontId="1" fillId="7" borderId="0" xfId="37" applyNumberFormat="1" applyFont="1" applyFill="1" applyBorder="1"/>
    <xf numFmtId="172" fontId="23" fillId="7" borderId="0" xfId="37" applyNumberFormat="1" applyFont="1" applyFill="1" applyBorder="1"/>
    <xf numFmtId="172" fontId="3" fillId="7" borderId="0" xfId="37" applyNumberFormat="1" applyFill="1" applyBorder="1"/>
    <xf numFmtId="173" fontId="31" fillId="7" borderId="0" xfId="0" applyNumberFormat="1" applyFont="1" applyFill="1" applyBorder="1"/>
    <xf numFmtId="172" fontId="31" fillId="7" borderId="0" xfId="0" applyNumberFormat="1" applyFont="1" applyFill="1" applyBorder="1"/>
    <xf numFmtId="179" fontId="0" fillId="0" borderId="0" xfId="23" applyNumberFormat="1" applyFont="1" applyFill="1"/>
    <xf numFmtId="0" fontId="27" fillId="0" borderId="0" xfId="0" applyFont="1" applyAlignment="1">
      <alignment horizontal="centerContinuous"/>
    </xf>
    <xf numFmtId="0" fontId="27" fillId="0" borderId="0" xfId="0" applyFont="1" applyAlignment="1"/>
    <xf numFmtId="0" fontId="28" fillId="0" borderId="0" xfId="0" applyFont="1" applyAlignment="1">
      <alignment horizontal="centerContinuous"/>
    </xf>
    <xf numFmtId="0" fontId="27" fillId="0" borderId="0" xfId="0" applyFont="1"/>
    <xf numFmtId="0" fontId="27" fillId="0" borderId="0" xfId="0" applyFont="1" applyFill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42" fontId="29" fillId="0" borderId="0" xfId="0" applyNumberFormat="1" applyFont="1" applyFill="1"/>
    <xf numFmtId="42" fontId="27" fillId="0" borderId="0" xfId="0" applyNumberFormat="1" applyFont="1" applyFill="1"/>
    <xf numFmtId="3" fontId="29" fillId="0" borderId="0" xfId="0" applyNumberFormat="1" applyFont="1"/>
    <xf numFmtId="179" fontId="29" fillId="0" borderId="0" xfId="23" applyNumberFormat="1" applyFont="1"/>
    <xf numFmtId="42" fontId="27" fillId="0" borderId="0" xfId="0" applyNumberFormat="1" applyFont="1"/>
    <xf numFmtId="41" fontId="27" fillId="0" borderId="0" xfId="0" applyNumberFormat="1" applyFont="1"/>
    <xf numFmtId="42" fontId="30" fillId="0" borderId="0" xfId="0" applyNumberFormat="1" applyFont="1"/>
    <xf numFmtId="179" fontId="27" fillId="0" borderId="0" xfId="23" applyNumberFormat="1" applyFont="1"/>
    <xf numFmtId="0" fontId="27" fillId="0" borderId="0" xfId="0" applyFont="1" applyFill="1" applyBorder="1" applyAlignment="1">
      <alignment horizontal="left"/>
    </xf>
    <xf numFmtId="41" fontId="29" fillId="0" borderId="0" xfId="0" applyNumberFormat="1" applyFont="1" applyFill="1"/>
    <xf numFmtId="41" fontId="27" fillId="0" borderId="0" xfId="0" applyNumberFormat="1" applyFont="1" applyFill="1"/>
    <xf numFmtId="41" fontId="30" fillId="0" borderId="0" xfId="0" applyNumberFormat="1" applyFont="1"/>
    <xf numFmtId="0" fontId="27" fillId="0" borderId="0" xfId="0" applyFont="1" applyFill="1" applyAlignment="1">
      <alignment horizontal="left"/>
    </xf>
    <xf numFmtId="3" fontId="29" fillId="0" borderId="0" xfId="0" applyNumberFormat="1" applyFont="1" applyFill="1"/>
    <xf numFmtId="179" fontId="27" fillId="0" borderId="0" xfId="23" applyNumberFormat="1" applyFont="1" applyFill="1"/>
    <xf numFmtId="179" fontId="27" fillId="0" borderId="8" xfId="23" applyNumberFormat="1" applyFont="1" applyFill="1" applyBorder="1"/>
    <xf numFmtId="42" fontId="27" fillId="0" borderId="9" xfId="0" applyNumberFormat="1" applyFont="1" applyBorder="1"/>
    <xf numFmtId="3" fontId="27" fillId="0" borderId="9" xfId="0" applyNumberFormat="1" applyFont="1" applyBorder="1"/>
    <xf numFmtId="42" fontId="27" fillId="0" borderId="9" xfId="0" applyNumberFormat="1" applyFont="1" applyFill="1" applyBorder="1"/>
    <xf numFmtId="41" fontId="29" fillId="0" borderId="0" xfId="0" applyNumberFormat="1" applyFont="1"/>
    <xf numFmtId="3" fontId="27" fillId="0" borderId="0" xfId="0" applyNumberFormat="1" applyFont="1"/>
    <xf numFmtId="179" fontId="27" fillId="0" borderId="8" xfId="23" applyNumberFormat="1" applyFont="1" applyBorder="1"/>
    <xf numFmtId="42" fontId="29" fillId="0" borderId="0" xfId="0" applyNumberFormat="1" applyFont="1" applyFill="1" applyBorder="1"/>
    <xf numFmtId="42" fontId="27" fillId="0" borderId="0" xfId="0" applyNumberFormat="1" applyFont="1" applyBorder="1"/>
    <xf numFmtId="0" fontId="27" fillId="0" borderId="0" xfId="0" applyFont="1" applyFill="1" applyBorder="1"/>
    <xf numFmtId="0" fontId="27" fillId="0" borderId="0" xfId="0" applyFont="1" applyBorder="1"/>
    <xf numFmtId="10" fontId="27" fillId="0" borderId="0" xfId="23" applyNumberFormat="1" applyFont="1" applyFill="1"/>
    <xf numFmtId="42" fontId="27" fillId="0" borderId="0" xfId="23" applyNumberFormat="1" applyFont="1" applyFill="1"/>
    <xf numFmtId="10" fontId="23" fillId="0" borderId="0" xfId="23" applyNumberFormat="1" applyFont="1" applyFill="1" applyBorder="1"/>
    <xf numFmtId="10" fontId="27" fillId="0" borderId="0" xfId="23" applyNumberFormat="1" applyFont="1"/>
    <xf numFmtId="0" fontId="28" fillId="0" borderId="0" xfId="0" applyFont="1" applyAlignment="1">
      <alignment horizontal="center"/>
    </xf>
    <xf numFmtId="173" fontId="3" fillId="0" borderId="7" xfId="37" applyNumberFormat="1" applyBorder="1" applyAlignment="1">
      <alignment horizontal="center"/>
    </xf>
    <xf numFmtId="173" fontId="3" fillId="0" borderId="17" xfId="37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8" xfId="2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44">
    <cellStyle name="Calculation" xfId="1" builtinId="22" customBuiltin="1"/>
    <cellStyle name="Comma" xfId="2" builtinId="3"/>
    <cellStyle name="Comma0" xfId="3"/>
    <cellStyle name="Comma0 - Style4" xfId="4"/>
    <cellStyle name="Comma1 - Style1" xfId="5"/>
    <cellStyle name="Curren - Style2" xfId="6"/>
    <cellStyle name="Currency" xfId="7" builtinId="4"/>
    <cellStyle name="Currency0" xfId="8"/>
    <cellStyle name="Date" xfId="9"/>
    <cellStyle name="Entered" xfId="10"/>
    <cellStyle name="Fixed" xfId="11"/>
    <cellStyle name="Grey" xfId="12"/>
    <cellStyle name="Heading 1" xfId="13" builtinId="16" customBuiltin="1"/>
    <cellStyle name="Heading 2" xfId="14" builtinId="17" customBuiltin="1"/>
    <cellStyle name="Heading1" xfId="15"/>
    <cellStyle name="Heading2" xfId="16"/>
    <cellStyle name="Input [yellow]" xfId="17"/>
    <cellStyle name="modified border" xfId="18"/>
    <cellStyle name="modified border1" xfId="19"/>
    <cellStyle name="Normal" xfId="0" builtinId="0"/>
    <cellStyle name="Normal - Style1" xfId="20"/>
    <cellStyle name="Percen - Style2" xfId="21"/>
    <cellStyle name="Percen - Style3" xfId="22"/>
    <cellStyle name="Percent" xfId="23" builtinId="5"/>
    <cellStyle name="Percent [2]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31"/>
    <cellStyle name="Report Unit Cost" xfId="32"/>
    <cellStyle name="Reports Total" xfId="33"/>
    <cellStyle name="StmtTtl1" xfId="34"/>
    <cellStyle name="StmtTtl2" xfId="35"/>
    <cellStyle name="Style 1" xfId="36"/>
    <cellStyle name="Test" xfId="37"/>
    <cellStyle name="Title: - Style3" xfId="38"/>
    <cellStyle name="Title: - Style4" xfId="39"/>
    <cellStyle name="Title: Major" xfId="40"/>
    <cellStyle name="Title: Minor" xfId="41"/>
    <cellStyle name="Title: Worksheet" xfId="42"/>
    <cellStyle name="Total" xfId="4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%20&amp;%20Price%20Develop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garratt%20backup%205_29_02/Excel/La%20Paloma/Proforma/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39"/>
  <sheetViews>
    <sheetView tabSelected="1" topLeftCell="C1" workbookViewId="0">
      <selection activeCell="U13" sqref="U13"/>
    </sheetView>
  </sheetViews>
  <sheetFormatPr defaultRowHeight="12.75"/>
  <cols>
    <col min="1" max="1" width="2" customWidth="1"/>
    <col min="2" max="2" width="28.28515625" customWidth="1"/>
    <col min="3" max="3" width="15" bestFit="1" customWidth="1"/>
    <col min="4" max="5" width="13.42578125" bestFit="1" customWidth="1"/>
    <col min="6" max="6" width="12.7109375" bestFit="1" customWidth="1"/>
    <col min="7" max="7" width="9.42578125" bestFit="1" customWidth="1"/>
    <col min="8" max="8" width="12.28515625" bestFit="1" customWidth="1"/>
    <col min="9" max="9" width="11.28515625" bestFit="1" customWidth="1"/>
    <col min="10" max="10" width="12.28515625" bestFit="1" customWidth="1"/>
    <col min="11" max="12" width="13.42578125" bestFit="1" customWidth="1"/>
    <col min="13" max="13" width="15" bestFit="1" customWidth="1"/>
    <col min="14" max="14" width="12.85546875" bestFit="1" customWidth="1"/>
    <col min="15" max="16" width="8" bestFit="1" customWidth="1"/>
    <col min="17" max="17" width="3.5703125" customWidth="1"/>
    <col min="18" max="18" width="12.28515625" bestFit="1" customWidth="1"/>
    <col min="19" max="19" width="11.85546875" bestFit="1" customWidth="1"/>
    <col min="20" max="20" width="10.5703125" bestFit="1" customWidth="1"/>
    <col min="21" max="21" width="9.42578125" bestFit="1" customWidth="1"/>
  </cols>
  <sheetData>
    <row r="1" spans="2:21">
      <c r="B1" s="518" t="s">
        <v>83</v>
      </c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S1" s="22"/>
    </row>
    <row r="2" spans="2:21">
      <c r="B2" s="518" t="s">
        <v>175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S2" s="22"/>
    </row>
    <row r="3" spans="2:21">
      <c r="B3" s="518" t="s">
        <v>174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S3" s="22"/>
    </row>
    <row r="4" spans="2:21">
      <c r="B4" s="518" t="s">
        <v>205</v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18"/>
      <c r="S4" s="22"/>
    </row>
    <row r="5" spans="2:21" s="368" customFormat="1">
      <c r="B5" s="519"/>
      <c r="C5" s="519"/>
      <c r="D5" s="519"/>
      <c r="E5" s="519"/>
      <c r="F5" s="519"/>
      <c r="G5" s="562" t="s">
        <v>228</v>
      </c>
      <c r="H5" s="562"/>
      <c r="I5" s="562"/>
      <c r="J5" s="519"/>
      <c r="K5" s="519"/>
      <c r="L5" s="519"/>
      <c r="M5" s="519"/>
      <c r="N5" s="519"/>
      <c r="O5" s="519"/>
      <c r="P5" s="519"/>
      <c r="Q5" s="358"/>
      <c r="S5" s="384"/>
    </row>
    <row r="6" spans="2:21">
      <c r="B6" s="520"/>
      <c r="C6" s="521"/>
      <c r="D6" s="521"/>
      <c r="E6" s="521"/>
      <c r="F6" s="521"/>
      <c r="G6" s="521"/>
      <c r="H6" s="522"/>
      <c r="I6" s="522"/>
      <c r="J6" s="521"/>
      <c r="K6" s="521"/>
      <c r="L6" s="521"/>
      <c r="M6" s="521"/>
      <c r="N6" s="521"/>
      <c r="O6" s="521"/>
      <c r="P6" s="521"/>
      <c r="Q6" s="18"/>
      <c r="S6" s="22"/>
    </row>
    <row r="7" spans="2:21">
      <c r="B7" s="520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19"/>
      <c r="S7" s="22"/>
    </row>
    <row r="8" spans="2:21">
      <c r="B8" s="521"/>
      <c r="C8" s="523" t="s">
        <v>97</v>
      </c>
      <c r="D8" s="523" t="s">
        <v>97</v>
      </c>
      <c r="E8" s="523" t="s">
        <v>97</v>
      </c>
      <c r="F8" s="521"/>
      <c r="G8" s="521"/>
      <c r="H8" s="524" t="s">
        <v>2</v>
      </c>
      <c r="I8" s="521"/>
      <c r="J8" s="524" t="s">
        <v>34</v>
      </c>
      <c r="K8" s="525"/>
      <c r="L8" s="523" t="s">
        <v>97</v>
      </c>
      <c r="M8" s="525"/>
      <c r="N8" s="526"/>
      <c r="O8" s="521"/>
      <c r="P8" s="521"/>
      <c r="Q8" s="19"/>
      <c r="S8" s="22"/>
      <c r="T8" s="78" t="s">
        <v>34</v>
      </c>
      <c r="U8" s="78" t="s">
        <v>111</v>
      </c>
    </row>
    <row r="9" spans="2:21">
      <c r="B9" s="521"/>
      <c r="C9" s="523" t="s">
        <v>98</v>
      </c>
      <c r="D9" s="523" t="s">
        <v>100</v>
      </c>
      <c r="E9" s="523" t="s">
        <v>111</v>
      </c>
      <c r="F9" s="521"/>
      <c r="G9" s="527" t="s">
        <v>116</v>
      </c>
      <c r="H9" s="524" t="s">
        <v>111</v>
      </c>
      <c r="I9" s="524" t="s">
        <v>129</v>
      </c>
      <c r="J9" s="524" t="s">
        <v>2</v>
      </c>
      <c r="K9" s="528" t="s">
        <v>165</v>
      </c>
      <c r="L9" s="523" t="s">
        <v>100</v>
      </c>
      <c r="M9" s="528" t="s">
        <v>165</v>
      </c>
      <c r="N9" s="528" t="s">
        <v>165</v>
      </c>
      <c r="O9" s="524" t="s">
        <v>118</v>
      </c>
      <c r="P9" s="524" t="s">
        <v>118</v>
      </c>
      <c r="Q9" s="19"/>
      <c r="R9" s="26" t="s">
        <v>124</v>
      </c>
      <c r="S9" s="26" t="s">
        <v>118</v>
      </c>
      <c r="T9" s="26" t="s">
        <v>118</v>
      </c>
      <c r="U9" s="26" t="s">
        <v>116</v>
      </c>
    </row>
    <row r="10" spans="2:21">
      <c r="B10" s="521"/>
      <c r="C10" s="523" t="s">
        <v>99</v>
      </c>
      <c r="D10" s="523" t="s">
        <v>101</v>
      </c>
      <c r="E10" s="523" t="s">
        <v>101</v>
      </c>
      <c r="F10" s="527" t="s">
        <v>92</v>
      </c>
      <c r="G10" s="527" t="s">
        <v>89</v>
      </c>
      <c r="H10" s="524" t="s">
        <v>126</v>
      </c>
      <c r="I10" s="527" t="s">
        <v>128</v>
      </c>
      <c r="J10" s="527" t="s">
        <v>111</v>
      </c>
      <c r="K10" s="527" t="s">
        <v>111</v>
      </c>
      <c r="L10" s="523" t="s">
        <v>101</v>
      </c>
      <c r="M10" s="527" t="s">
        <v>34</v>
      </c>
      <c r="N10" s="527" t="s">
        <v>166</v>
      </c>
      <c r="O10" s="527" t="s">
        <v>111</v>
      </c>
      <c r="P10" s="527" t="s">
        <v>207</v>
      </c>
      <c r="Q10" s="26"/>
      <c r="R10" s="26" t="s">
        <v>157</v>
      </c>
      <c r="S10" s="26" t="s">
        <v>126</v>
      </c>
      <c r="T10" s="26" t="s">
        <v>126</v>
      </c>
      <c r="U10" s="26" t="s">
        <v>89</v>
      </c>
    </row>
    <row r="11" spans="2:21">
      <c r="B11" s="529" t="s">
        <v>82</v>
      </c>
      <c r="C11" s="529" t="s">
        <v>6</v>
      </c>
      <c r="D11" s="529" t="s">
        <v>6</v>
      </c>
      <c r="E11" s="529" t="s">
        <v>6</v>
      </c>
      <c r="F11" s="530" t="s">
        <v>112</v>
      </c>
      <c r="G11" s="530" t="s">
        <v>77</v>
      </c>
      <c r="H11" s="530" t="s">
        <v>127</v>
      </c>
      <c r="I11" s="530" t="s">
        <v>77</v>
      </c>
      <c r="J11" s="530" t="s">
        <v>77</v>
      </c>
      <c r="K11" s="530" t="s">
        <v>117</v>
      </c>
      <c r="L11" s="529" t="s">
        <v>6</v>
      </c>
      <c r="M11" s="530" t="s">
        <v>117</v>
      </c>
      <c r="N11" s="530" t="s">
        <v>111</v>
      </c>
      <c r="O11" s="530" t="s">
        <v>77</v>
      </c>
      <c r="P11" s="530" t="s">
        <v>77</v>
      </c>
      <c r="Q11" s="26"/>
      <c r="R11" s="77" t="s">
        <v>129</v>
      </c>
      <c r="S11" s="26" t="s">
        <v>129</v>
      </c>
      <c r="T11" s="26" t="s">
        <v>129</v>
      </c>
      <c r="U11" s="26" t="s">
        <v>77</v>
      </c>
    </row>
    <row r="12" spans="2:21">
      <c r="B12" s="524" t="s">
        <v>139</v>
      </c>
      <c r="C12" s="527" t="s">
        <v>140</v>
      </c>
      <c r="D12" s="527" t="s">
        <v>141</v>
      </c>
      <c r="E12" s="527" t="s">
        <v>142</v>
      </c>
      <c r="F12" s="527" t="s">
        <v>143</v>
      </c>
      <c r="G12" s="527" t="s">
        <v>144</v>
      </c>
      <c r="H12" s="527" t="s">
        <v>145</v>
      </c>
      <c r="I12" s="527" t="s">
        <v>146</v>
      </c>
      <c r="J12" s="527" t="s">
        <v>153</v>
      </c>
      <c r="K12" s="527" t="s">
        <v>147</v>
      </c>
      <c r="L12" s="527" t="s">
        <v>148</v>
      </c>
      <c r="M12" s="527" t="s">
        <v>149</v>
      </c>
      <c r="N12" s="527" t="s">
        <v>150</v>
      </c>
      <c r="O12" s="527" t="s">
        <v>151</v>
      </c>
      <c r="P12" s="527" t="s">
        <v>152</v>
      </c>
      <c r="Q12" s="25"/>
      <c r="R12" s="22"/>
      <c r="S12" s="22"/>
    </row>
    <row r="13" spans="2:21">
      <c r="B13" s="531" t="s">
        <v>113</v>
      </c>
      <c r="C13" s="532">
        <v>674882702.38084996</v>
      </c>
      <c r="D13" s="532">
        <v>448168678.96340001</v>
      </c>
      <c r="E13" s="533">
        <f>C13-D13</f>
        <v>226714023.41744995</v>
      </c>
      <c r="F13" s="534">
        <v>532765816</v>
      </c>
      <c r="G13" s="535">
        <v>1</v>
      </c>
      <c r="H13" s="536">
        <f t="shared" ref="H13:H20" si="0">E13*G13*$H$28</f>
        <v>29540837.25129373</v>
      </c>
      <c r="I13" s="537">
        <f t="shared" ref="I13:I20" si="1">$I$39*(H13/SUM($H$13:$H$20))</f>
        <v>-93815.005974214393</v>
      </c>
      <c r="J13" s="536">
        <f t="shared" ref="J13:J21" si="2">SUM(H13:I13)</f>
        <v>29447022.245319515</v>
      </c>
      <c r="K13" s="538">
        <f>'Rate Design Res'!I53</f>
        <v>256160282.89000002</v>
      </c>
      <c r="L13" s="536">
        <f>D13</f>
        <v>448168678.96340001</v>
      </c>
      <c r="M13" s="536">
        <f>SUM(K13:L13)</f>
        <v>704328961.85339999</v>
      </c>
      <c r="N13" s="536">
        <f>K13-E13</f>
        <v>29446259.472550064</v>
      </c>
      <c r="O13" s="539">
        <f t="shared" ref="O13:O25" si="3">N13/E13</f>
        <v>0.12988283225131814</v>
      </c>
      <c r="P13" s="539">
        <f t="shared" ref="P13:P25" si="4">N13/C13</f>
        <v>4.3631670168267175E-2</v>
      </c>
      <c r="Q13" s="331"/>
      <c r="R13" s="80">
        <f>N13-J13</f>
        <v>-762.77276945114136</v>
      </c>
      <c r="S13" s="517">
        <f>J13/E13</f>
        <v>0.1298861967223727</v>
      </c>
      <c r="T13" s="464">
        <f>J13/M13</f>
        <v>4.1808620460290914E-2</v>
      </c>
      <c r="U13" s="507">
        <f>S13/$H$28</f>
        <v>0.9968242265723154</v>
      </c>
    </row>
    <row r="14" spans="2:21">
      <c r="B14" s="540" t="s">
        <v>209</v>
      </c>
      <c r="C14" s="541">
        <v>235933074.63913</v>
      </c>
      <c r="D14" s="541">
        <v>170546291.34088999</v>
      </c>
      <c r="E14" s="542">
        <f>C14-D14</f>
        <v>65386783.298240006</v>
      </c>
      <c r="F14" s="534">
        <v>203951509</v>
      </c>
      <c r="G14" s="535">
        <v>1.45</v>
      </c>
      <c r="H14" s="537">
        <f t="shared" si="0"/>
        <v>12353851.902452976</v>
      </c>
      <c r="I14" s="537">
        <f t="shared" si="1"/>
        <v>-39233.034601361171</v>
      </c>
      <c r="J14" s="537">
        <f t="shared" si="2"/>
        <v>12314618.867851615</v>
      </c>
      <c r="K14" s="543">
        <f>'Rate Design C&amp;I'!I135</f>
        <v>77701375.409999996</v>
      </c>
      <c r="L14" s="537">
        <f t="shared" ref="L14:L21" si="5">D14</f>
        <v>170546291.34088999</v>
      </c>
      <c r="M14" s="537">
        <f>SUM(K14:L14)</f>
        <v>248247666.75088999</v>
      </c>
      <c r="N14" s="537">
        <f>K14-E14</f>
        <v>12314592.11175999</v>
      </c>
      <c r="O14" s="539">
        <f t="shared" si="3"/>
        <v>0.18833457605019482</v>
      </c>
      <c r="P14" s="539">
        <f t="shared" si="4"/>
        <v>5.2195276692747296E-2</v>
      </c>
      <c r="Q14" s="332"/>
      <c r="R14" s="80">
        <f t="shared" ref="R14:R23" si="6">N14-J14</f>
        <v>-26.756091624498367</v>
      </c>
      <c r="S14" s="517">
        <f t="shared" ref="S14:S23" si="7">J14/E14</f>
        <v>0.18833498524744041</v>
      </c>
      <c r="T14" s="464">
        <f t="shared" ref="T14:T23" si="8">J14/M14</f>
        <v>4.9606181717748075E-2</v>
      </c>
      <c r="U14" s="507">
        <f t="shared" ref="U14:U25" si="9">S14/$H$28</f>
        <v>1.4453951285298574</v>
      </c>
    </row>
    <row r="15" spans="2:21">
      <c r="B15" s="531" t="s">
        <v>93</v>
      </c>
      <c r="C15" s="541">
        <v>68999637.676447719</v>
      </c>
      <c r="D15" s="541">
        <v>55270172.940273575</v>
      </c>
      <c r="E15" s="542">
        <f t="shared" ref="E15:E21" si="10">C15-D15</f>
        <v>13729464.736174144</v>
      </c>
      <c r="F15" s="534">
        <v>68401668.229774833</v>
      </c>
      <c r="G15" s="535">
        <v>0</v>
      </c>
      <c r="H15" s="537">
        <f t="shared" si="0"/>
        <v>0</v>
      </c>
      <c r="I15" s="537">
        <f t="shared" si="1"/>
        <v>0</v>
      </c>
      <c r="J15" s="537">
        <f t="shared" si="2"/>
        <v>0</v>
      </c>
      <c r="K15" s="543">
        <f>'Rate Design C&amp;I'!I136</f>
        <v>13729423.911222113</v>
      </c>
      <c r="L15" s="537">
        <f t="shared" si="5"/>
        <v>55270172.940273575</v>
      </c>
      <c r="M15" s="537">
        <f t="shared" ref="M15:M24" si="11">SUM(K15:L15)</f>
        <v>68999596.851495683</v>
      </c>
      <c r="N15" s="537">
        <f>K15-E15</f>
        <v>-40.824952030554414</v>
      </c>
      <c r="O15" s="539">
        <f t="shared" si="3"/>
        <v>-2.9735283068239051E-6</v>
      </c>
      <c r="P15" s="539">
        <f t="shared" si="4"/>
        <v>-5.9166907835067613E-7</v>
      </c>
      <c r="Q15" s="332"/>
      <c r="R15" s="80">
        <f t="shared" si="6"/>
        <v>-40.824952030554414</v>
      </c>
      <c r="S15" s="517">
        <f t="shared" si="7"/>
        <v>0</v>
      </c>
      <c r="T15" s="464">
        <f t="shared" si="8"/>
        <v>0</v>
      </c>
      <c r="U15" s="507">
        <f t="shared" si="9"/>
        <v>0</v>
      </c>
    </row>
    <row r="16" spans="2:21">
      <c r="B16" s="531" t="s">
        <v>94</v>
      </c>
      <c r="C16" s="541">
        <v>125338.18176000001</v>
      </c>
      <c r="D16" s="541">
        <v>96405.960959999997</v>
      </c>
      <c r="E16" s="542">
        <f t="shared" si="10"/>
        <v>28932.22080000001</v>
      </c>
      <c r="F16" s="534">
        <v>120864</v>
      </c>
      <c r="G16" s="535">
        <v>1</v>
      </c>
      <c r="H16" s="537">
        <f t="shared" si="0"/>
        <v>3769.8683702400012</v>
      </c>
      <c r="I16" s="537">
        <f t="shared" si="1"/>
        <v>-11.972247796076894</v>
      </c>
      <c r="J16" s="537">
        <f t="shared" si="2"/>
        <v>3757.8961224439245</v>
      </c>
      <c r="K16" s="543">
        <f>'Rate Design C&amp;I'!I137</f>
        <v>32680.21</v>
      </c>
      <c r="L16" s="537">
        <f t="shared" si="5"/>
        <v>96405.960959999997</v>
      </c>
      <c r="M16" s="537">
        <f t="shared" si="11"/>
        <v>129086.17095999999</v>
      </c>
      <c r="N16" s="537">
        <f t="shared" ref="N16:N21" si="12">K16-E16</f>
        <v>3747.9891999999891</v>
      </c>
      <c r="O16" s="539">
        <f t="shared" si="3"/>
        <v>0.12954377840224376</v>
      </c>
      <c r="P16" s="539">
        <f t="shared" si="4"/>
        <v>2.9903012373170626E-2</v>
      </c>
      <c r="Q16" s="332"/>
      <c r="R16" s="80">
        <f t="shared" si="6"/>
        <v>-9.9069224439354002</v>
      </c>
      <c r="S16" s="517">
        <f t="shared" si="7"/>
        <v>0.1298861967223727</v>
      </c>
      <c r="T16" s="464">
        <f t="shared" si="8"/>
        <v>2.9111531425069431E-2</v>
      </c>
      <c r="U16" s="507">
        <f t="shared" si="9"/>
        <v>0.9968242265723154</v>
      </c>
    </row>
    <row r="17" spans="2:21">
      <c r="B17" s="531" t="s">
        <v>86</v>
      </c>
      <c r="C17" s="541">
        <v>18969275.97978586</v>
      </c>
      <c r="D17" s="541">
        <v>12412191.749624392</v>
      </c>
      <c r="E17" s="542">
        <f t="shared" si="10"/>
        <v>6557084.2301614676</v>
      </c>
      <c r="F17" s="534">
        <v>62955045.406274498</v>
      </c>
      <c r="G17" s="535">
        <v>0</v>
      </c>
      <c r="H17" s="537">
        <f t="shared" si="0"/>
        <v>0</v>
      </c>
      <c r="I17" s="537">
        <f t="shared" si="1"/>
        <v>0</v>
      </c>
      <c r="J17" s="537">
        <f t="shared" si="2"/>
        <v>0</v>
      </c>
      <c r="K17" s="543">
        <f>'Rate Design Int &amp; Trans'!I21+'Rate Design Int &amp; Trans'!I45</f>
        <v>6557128.7999999989</v>
      </c>
      <c r="L17" s="537">
        <f t="shared" si="5"/>
        <v>12412191.749624392</v>
      </c>
      <c r="M17" s="537">
        <f t="shared" si="11"/>
        <v>18969320.549624391</v>
      </c>
      <c r="N17" s="537">
        <f t="shared" si="12"/>
        <v>44.569838531315327</v>
      </c>
      <c r="O17" s="539">
        <f t="shared" si="3"/>
        <v>6.7972039044887792E-6</v>
      </c>
      <c r="P17" s="539">
        <f t="shared" si="4"/>
        <v>2.3495803729573059E-6</v>
      </c>
      <c r="Q17" s="332"/>
      <c r="R17" s="80">
        <f t="shared" si="6"/>
        <v>44.569838531315327</v>
      </c>
      <c r="S17" s="517">
        <f t="shared" si="7"/>
        <v>0</v>
      </c>
      <c r="T17" s="464">
        <f t="shared" si="8"/>
        <v>0</v>
      </c>
      <c r="U17" s="507">
        <f t="shared" si="9"/>
        <v>0</v>
      </c>
    </row>
    <row r="18" spans="2:21">
      <c r="B18" s="531" t="s">
        <v>95</v>
      </c>
      <c r="C18" s="541">
        <v>17171387.626643989</v>
      </c>
      <c r="D18" s="541">
        <v>13628512.908899998</v>
      </c>
      <c r="E18" s="542">
        <f t="shared" si="10"/>
        <v>3542874.7177439909</v>
      </c>
      <c r="F18" s="534">
        <v>16961705</v>
      </c>
      <c r="G18" s="535">
        <v>0</v>
      </c>
      <c r="H18" s="537">
        <f t="shared" si="0"/>
        <v>0</v>
      </c>
      <c r="I18" s="537">
        <f t="shared" si="1"/>
        <v>0</v>
      </c>
      <c r="J18" s="537">
        <f t="shared" si="2"/>
        <v>0</v>
      </c>
      <c r="K18" s="543">
        <f>'Rate Design Int &amp; Trans'!I85</f>
        <v>3542836.01</v>
      </c>
      <c r="L18" s="537">
        <f t="shared" si="5"/>
        <v>13628512.908899998</v>
      </c>
      <c r="M18" s="537">
        <f t="shared" si="11"/>
        <v>17171348.918899998</v>
      </c>
      <c r="N18" s="537">
        <f t="shared" si="12"/>
        <v>-38.707743991166353</v>
      </c>
      <c r="O18" s="539">
        <f t="shared" si="3"/>
        <v>-1.0925518703019345E-5</v>
      </c>
      <c r="P18" s="539">
        <f t="shared" si="4"/>
        <v>-2.2542001166583339E-6</v>
      </c>
      <c r="Q18" s="332"/>
      <c r="R18" s="80">
        <f t="shared" si="6"/>
        <v>-38.707743991166353</v>
      </c>
      <c r="S18" s="517">
        <f t="shared" si="7"/>
        <v>0</v>
      </c>
      <c r="T18" s="464">
        <f t="shared" si="8"/>
        <v>0</v>
      </c>
      <c r="U18" s="507">
        <f t="shared" si="9"/>
        <v>0</v>
      </c>
    </row>
    <row r="19" spans="2:21">
      <c r="B19" s="531" t="s">
        <v>96</v>
      </c>
      <c r="C19" s="541">
        <v>34104449.728832163</v>
      </c>
      <c r="D19" s="541">
        <v>28300673.540085167</v>
      </c>
      <c r="E19" s="542">
        <f t="shared" si="10"/>
        <v>5803776.1887469962</v>
      </c>
      <c r="F19" s="534">
        <v>136096989.121667</v>
      </c>
      <c r="G19" s="535">
        <v>1.3</v>
      </c>
      <c r="H19" s="537">
        <f t="shared" si="0"/>
        <v>983101.64861185371</v>
      </c>
      <c r="I19" s="537">
        <f t="shared" si="1"/>
        <v>-3122.1080923744607</v>
      </c>
      <c r="J19" s="537">
        <f t="shared" si="2"/>
        <v>979979.5405194792</v>
      </c>
      <c r="K19" s="543">
        <f>'Rate Design Int &amp; Trans'!I146+'Rate Design Int &amp; Trans'!I171</f>
        <v>6758894.3199999994</v>
      </c>
      <c r="L19" s="537">
        <f t="shared" si="5"/>
        <v>28300673.540085167</v>
      </c>
      <c r="M19" s="537">
        <f t="shared" si="11"/>
        <v>35059567.860085167</v>
      </c>
      <c r="N19" s="537">
        <f t="shared" si="12"/>
        <v>955118.13125300314</v>
      </c>
      <c r="O19" s="539">
        <f t="shared" si="3"/>
        <v>0.16456839481592897</v>
      </c>
      <c r="P19" s="539">
        <f t="shared" si="4"/>
        <v>2.8005674885454579E-2</v>
      </c>
      <c r="Q19" s="332"/>
      <c r="R19" s="80">
        <f t="shared" si="6"/>
        <v>-24861.409266476054</v>
      </c>
      <c r="S19" s="517">
        <f t="shared" si="7"/>
        <v>0.16885205573908449</v>
      </c>
      <c r="T19" s="464">
        <f t="shared" si="8"/>
        <v>2.7951843115418783E-2</v>
      </c>
      <c r="U19" s="507">
        <f t="shared" si="9"/>
        <v>1.29587149454401</v>
      </c>
    </row>
    <row r="20" spans="2:21">
      <c r="B20" s="531" t="s">
        <v>87</v>
      </c>
      <c r="C20" s="541">
        <v>2339132.3305316232</v>
      </c>
      <c r="D20" s="541">
        <v>19576.69436959859</v>
      </c>
      <c r="E20" s="542">
        <f t="shared" si="10"/>
        <v>2319555.6361620245</v>
      </c>
      <c r="F20" s="534">
        <v>27966706.242283702</v>
      </c>
      <c r="G20" s="535">
        <v>1.3</v>
      </c>
      <c r="H20" s="537">
        <f t="shared" si="0"/>
        <v>392909.52920948534</v>
      </c>
      <c r="I20" s="537">
        <f t="shared" si="1"/>
        <v>-1247.7916423475549</v>
      </c>
      <c r="J20" s="537">
        <f t="shared" si="2"/>
        <v>391661.73756713775</v>
      </c>
      <c r="K20" s="543">
        <f>'Rate Design Int &amp; Trans'!I220</f>
        <v>2736054.0800000005</v>
      </c>
      <c r="L20" s="537">
        <f t="shared" si="5"/>
        <v>19576.69436959859</v>
      </c>
      <c r="M20" s="537">
        <f t="shared" si="11"/>
        <v>2755630.7743695993</v>
      </c>
      <c r="N20" s="537">
        <f t="shared" si="12"/>
        <v>416498.44383797608</v>
      </c>
      <c r="O20" s="539">
        <f t="shared" si="3"/>
        <v>0.1795595834584599</v>
      </c>
      <c r="P20" s="539">
        <f t="shared" si="4"/>
        <v>0.17805681123791614</v>
      </c>
      <c r="Q20" s="332"/>
      <c r="R20" s="80">
        <f t="shared" si="6"/>
        <v>24836.706270838331</v>
      </c>
      <c r="S20" s="517">
        <f t="shared" si="7"/>
        <v>0.16885205573908449</v>
      </c>
      <c r="T20" s="464">
        <f t="shared" si="8"/>
        <v>0.14213142820512212</v>
      </c>
      <c r="U20" s="507">
        <f t="shared" si="9"/>
        <v>1.29587149454401</v>
      </c>
    </row>
    <row r="21" spans="2:21" s="22" customFormat="1">
      <c r="B21" s="544" t="s">
        <v>208</v>
      </c>
      <c r="C21" s="541">
        <v>1589366.0411945099</v>
      </c>
      <c r="D21" s="541">
        <v>0</v>
      </c>
      <c r="E21" s="542">
        <f t="shared" si="10"/>
        <v>1589366.0411945099</v>
      </c>
      <c r="F21" s="545">
        <v>34987866</v>
      </c>
      <c r="G21" s="546">
        <f>(H21/E21)/$H$28</f>
        <v>0</v>
      </c>
      <c r="H21" s="541">
        <v>0</v>
      </c>
      <c r="I21" s="542"/>
      <c r="J21" s="542">
        <f t="shared" si="2"/>
        <v>0</v>
      </c>
      <c r="K21" s="542">
        <f>E21</f>
        <v>1589366.0411945099</v>
      </c>
      <c r="L21" s="537">
        <f t="shared" si="5"/>
        <v>0</v>
      </c>
      <c r="M21" s="542">
        <f t="shared" si="11"/>
        <v>1589366.0411945099</v>
      </c>
      <c r="N21" s="542">
        <f t="shared" si="12"/>
        <v>0</v>
      </c>
      <c r="O21" s="547">
        <f t="shared" si="3"/>
        <v>0</v>
      </c>
      <c r="P21" s="547">
        <f t="shared" si="4"/>
        <v>0</v>
      </c>
      <c r="Q21" s="341"/>
      <c r="R21" s="79">
        <f t="shared" si="6"/>
        <v>0</v>
      </c>
      <c r="S21" s="517">
        <f t="shared" si="7"/>
        <v>0</v>
      </c>
      <c r="T21" s="464">
        <f t="shared" si="8"/>
        <v>0</v>
      </c>
      <c r="U21" s="507">
        <f t="shared" si="9"/>
        <v>0</v>
      </c>
    </row>
    <row r="22" spans="2:21">
      <c r="B22" s="521" t="s">
        <v>35</v>
      </c>
      <c r="C22" s="548">
        <f>SUM(C13:C21)</f>
        <v>1054114364.5851759</v>
      </c>
      <c r="D22" s="548">
        <f>SUM(D13:D21)</f>
        <v>728442504.09850276</v>
      </c>
      <c r="E22" s="548">
        <f>SUM(E13:E21)</f>
        <v>325671860.48667312</v>
      </c>
      <c r="F22" s="549">
        <f>SUM(F13:F21)</f>
        <v>1084208169</v>
      </c>
      <c r="G22" s="535"/>
      <c r="H22" s="548">
        <f t="shared" ref="H22:N22" si="13">SUM(H13:H21)</f>
        <v>43274470.19993829</v>
      </c>
      <c r="I22" s="548">
        <f t="shared" si="13"/>
        <v>-137429.91255809364</v>
      </c>
      <c r="J22" s="548">
        <f t="shared" si="13"/>
        <v>43137040.287380181</v>
      </c>
      <c r="K22" s="548">
        <f t="shared" si="13"/>
        <v>368808041.67241657</v>
      </c>
      <c r="L22" s="550">
        <f t="shared" si="13"/>
        <v>728442504.09850276</v>
      </c>
      <c r="M22" s="548">
        <f t="shared" si="13"/>
        <v>1097250545.7709196</v>
      </c>
      <c r="N22" s="548">
        <f t="shared" si="13"/>
        <v>43136181.185743548</v>
      </c>
      <c r="O22" s="539">
        <f t="shared" si="3"/>
        <v>0.13245289636409571</v>
      </c>
      <c r="P22" s="539">
        <f t="shared" si="4"/>
        <v>4.0921727883595313E-2</v>
      </c>
      <c r="Q22" s="82"/>
      <c r="R22" s="81">
        <f>SUM(R13:R21)</f>
        <v>-859.10163664770516</v>
      </c>
      <c r="S22" s="517">
        <f t="shared" si="7"/>
        <v>0.13245553430043858</v>
      </c>
      <c r="T22" s="464">
        <f t="shared" si="8"/>
        <v>3.9313756054750869E-2</v>
      </c>
      <c r="U22" s="507">
        <f t="shared" si="9"/>
        <v>1.0165428572558601</v>
      </c>
    </row>
    <row r="23" spans="2:21">
      <c r="B23" s="531" t="s">
        <v>114</v>
      </c>
      <c r="C23" s="551">
        <v>7788789</v>
      </c>
      <c r="D23" s="537"/>
      <c r="E23" s="537">
        <f>C23</f>
        <v>7788789</v>
      </c>
      <c r="F23" s="552"/>
      <c r="G23" s="539">
        <f>H23/E23/H28</f>
        <v>0.31640190330032214</v>
      </c>
      <c r="H23" s="551">
        <f>H29*E23</f>
        <v>321109.71261980105</v>
      </c>
      <c r="I23" s="537"/>
      <c r="J23" s="537">
        <f>SUM(H23:I23)</f>
        <v>321109.71261980105</v>
      </c>
      <c r="K23" s="543">
        <f>E23+'Rate Design Rental'!K31</f>
        <v>8109789.25</v>
      </c>
      <c r="L23" s="542"/>
      <c r="M23" s="537">
        <f t="shared" si="11"/>
        <v>8109789.25</v>
      </c>
      <c r="N23" s="542">
        <f>K23-E23</f>
        <v>321000.25</v>
      </c>
      <c r="O23" s="539">
        <f t="shared" si="3"/>
        <v>4.1213114131092778E-2</v>
      </c>
      <c r="P23" s="539">
        <f t="shared" si="4"/>
        <v>4.1213114131092778E-2</v>
      </c>
      <c r="Q23" s="332"/>
      <c r="R23" s="80">
        <f t="shared" si="6"/>
        <v>-109.46261980105191</v>
      </c>
      <c r="S23" s="517">
        <f t="shared" si="7"/>
        <v>4.1227168000031976E-2</v>
      </c>
      <c r="T23" s="464">
        <f t="shared" si="8"/>
        <v>3.9595321496153683E-2</v>
      </c>
      <c r="U23" s="507">
        <f t="shared" si="9"/>
        <v>0.31640190330032214</v>
      </c>
    </row>
    <row r="24" spans="2:21">
      <c r="B24" s="531" t="s">
        <v>115</v>
      </c>
      <c r="C24" s="551">
        <f>14080433-C23</f>
        <v>6291644</v>
      </c>
      <c r="D24" s="537"/>
      <c r="E24" s="537">
        <f>C24</f>
        <v>6291644</v>
      </c>
      <c r="F24" s="552"/>
      <c r="G24" s="535"/>
      <c r="H24" s="537">
        <f>E24*G24*$H$28</f>
        <v>0</v>
      </c>
      <c r="I24" s="537"/>
      <c r="J24" s="537"/>
      <c r="K24" s="537">
        <f>E24</f>
        <v>6291644</v>
      </c>
      <c r="L24" s="542"/>
      <c r="M24" s="537">
        <f t="shared" si="11"/>
        <v>6291644</v>
      </c>
      <c r="N24" s="537"/>
      <c r="O24" s="553">
        <f t="shared" si="3"/>
        <v>0</v>
      </c>
      <c r="P24" s="553">
        <f t="shared" si="4"/>
        <v>0</v>
      </c>
      <c r="Q24" s="329"/>
      <c r="S24" s="463"/>
      <c r="U24" s="507"/>
    </row>
    <row r="25" spans="2:21">
      <c r="B25" s="531" t="s">
        <v>34</v>
      </c>
      <c r="C25" s="548">
        <f>SUM(C22:C24)</f>
        <v>1068194797.5851759</v>
      </c>
      <c r="D25" s="548">
        <f>SUM(D22:D24)</f>
        <v>728442504.09850276</v>
      </c>
      <c r="E25" s="548">
        <f>SUM(E22:E24)</f>
        <v>339752293.48667312</v>
      </c>
      <c r="F25" s="549">
        <f>SUM(F22:F24)</f>
        <v>1084208169</v>
      </c>
      <c r="G25" s="535"/>
      <c r="H25" s="548">
        <f t="shared" ref="H25:N25" si="14">SUM(H22:H24)</f>
        <v>43595579.912558094</v>
      </c>
      <c r="I25" s="548">
        <f t="shared" si="14"/>
        <v>-137429.91255809364</v>
      </c>
      <c r="J25" s="548">
        <f t="shared" si="14"/>
        <v>43458149.999999985</v>
      </c>
      <c r="K25" s="548">
        <f t="shared" si="14"/>
        <v>383209474.92241657</v>
      </c>
      <c r="L25" s="550">
        <f t="shared" si="14"/>
        <v>728442504.09850276</v>
      </c>
      <c r="M25" s="548">
        <f t="shared" si="14"/>
        <v>1111651979.0209196</v>
      </c>
      <c r="N25" s="548">
        <f t="shared" si="14"/>
        <v>43457181.435743548</v>
      </c>
      <c r="O25" s="539">
        <f t="shared" si="3"/>
        <v>0.12790842701830993</v>
      </c>
      <c r="P25" s="539">
        <f t="shared" si="4"/>
        <v>4.0682824456724012E-2</v>
      </c>
      <c r="Q25" s="82"/>
      <c r="R25" s="81">
        <f>SUM(R22:R24)</f>
        <v>-968.56425644875708</v>
      </c>
      <c r="S25" s="463">
        <f>J25/E25</f>
        <v>0.12791127781365411</v>
      </c>
      <c r="T25" s="464">
        <f>J25/M25</f>
        <v>3.9093305117196366E-2</v>
      </c>
      <c r="U25" s="507">
        <f t="shared" si="9"/>
        <v>0.98166751967501231</v>
      </c>
    </row>
    <row r="26" spans="2:21">
      <c r="B26" s="521"/>
      <c r="C26" s="521"/>
      <c r="D26" s="521"/>
      <c r="E26" s="521"/>
      <c r="F26" s="521"/>
      <c r="G26" s="521"/>
      <c r="H26" s="521"/>
      <c r="I26" s="521"/>
      <c r="J26" s="521"/>
      <c r="K26" s="536"/>
      <c r="L26" s="522"/>
      <c r="M26" s="521"/>
      <c r="N26" s="536"/>
      <c r="O26" s="522"/>
      <c r="P26" s="521"/>
      <c r="Q26" s="18"/>
      <c r="R26" s="326"/>
      <c r="S26" s="465"/>
    </row>
    <row r="27" spans="2:21">
      <c r="B27" s="531" t="s">
        <v>120</v>
      </c>
      <c r="C27" s="521"/>
      <c r="D27" s="521"/>
      <c r="E27" s="521"/>
      <c r="F27" s="521"/>
      <c r="G27" s="521"/>
      <c r="H27" s="554">
        <v>43458150</v>
      </c>
      <c r="I27" s="521"/>
      <c r="J27" s="521"/>
      <c r="K27" s="536"/>
      <c r="L27" s="533"/>
      <c r="M27" s="536"/>
      <c r="N27" s="555"/>
      <c r="O27" s="556"/>
      <c r="P27" s="557"/>
      <c r="Q27" s="82"/>
    </row>
    <row r="28" spans="2:21">
      <c r="B28" s="531" t="s">
        <v>119</v>
      </c>
      <c r="C28" s="521"/>
      <c r="D28" s="521"/>
      <c r="E28" s="521"/>
      <c r="F28" s="521"/>
      <c r="G28" s="521"/>
      <c r="H28" s="558">
        <f>ROUND(H27/(E22+E23),4)</f>
        <v>0.1303</v>
      </c>
      <c r="I28" s="558"/>
      <c r="J28" s="558"/>
      <c r="K28" s="558"/>
      <c r="L28" s="533"/>
      <c r="M28" s="559"/>
      <c r="N28" s="555"/>
      <c r="O28" s="557"/>
      <c r="P28" s="557"/>
      <c r="Q28" s="18"/>
    </row>
    <row r="29" spans="2:21">
      <c r="B29" s="521"/>
      <c r="C29" s="521"/>
      <c r="D29" s="521"/>
      <c r="E29" s="536"/>
      <c r="F29" s="521"/>
      <c r="G29" s="521"/>
      <c r="H29" s="561">
        <f>+H27/C22</f>
        <v>4.1227168000031976E-2</v>
      </c>
      <c r="I29" s="521"/>
      <c r="J29" s="521"/>
      <c r="K29" s="521"/>
      <c r="L29" s="533"/>
      <c r="M29" s="521"/>
      <c r="N29" s="555"/>
      <c r="O29" s="556"/>
      <c r="P29" s="557"/>
      <c r="Q29" s="329"/>
    </row>
    <row r="30" spans="2:21">
      <c r="E30" s="80"/>
      <c r="L30" s="22"/>
      <c r="M30" s="18"/>
      <c r="N30" s="18"/>
      <c r="O30" s="25"/>
      <c r="P30" s="18"/>
      <c r="Q30" s="82"/>
    </row>
    <row r="31" spans="2:21">
      <c r="E31" s="80"/>
      <c r="L31" s="79"/>
      <c r="M31" s="330"/>
      <c r="N31" s="25"/>
      <c r="O31" s="25"/>
      <c r="P31" s="25"/>
      <c r="Q31" s="25"/>
      <c r="R31" s="22"/>
      <c r="S31" s="22"/>
      <c r="T31" s="22"/>
    </row>
    <row r="32" spans="2:21">
      <c r="E32" s="80"/>
      <c r="M32" s="330"/>
      <c r="N32" s="25"/>
      <c r="O32" s="25"/>
      <c r="P32" s="25"/>
      <c r="Q32" s="25"/>
      <c r="R32" s="22"/>
      <c r="S32" s="22"/>
      <c r="T32" s="22"/>
    </row>
    <row r="33" spans="2:20">
      <c r="B33" s="338" t="s">
        <v>206</v>
      </c>
      <c r="C33" s="22"/>
      <c r="D33" s="22"/>
      <c r="E33" s="22"/>
      <c r="F33" s="22"/>
      <c r="M33" s="22"/>
      <c r="N33" s="22"/>
      <c r="O33" s="22"/>
      <c r="P33" s="22"/>
      <c r="Q33" s="22"/>
      <c r="R33" s="22"/>
      <c r="S33" s="22"/>
      <c r="T33" s="22"/>
    </row>
    <row r="34" spans="2:20">
      <c r="B34" s="337"/>
      <c r="M34" s="22"/>
      <c r="N34" s="22"/>
      <c r="O34" s="22"/>
      <c r="P34" s="22"/>
      <c r="Q34" s="22"/>
      <c r="R34" s="22"/>
      <c r="S34" s="22"/>
      <c r="T34" s="22"/>
    </row>
    <row r="35" spans="2:20" s="22" customFormat="1">
      <c r="B35" s="351"/>
      <c r="C35" s="351"/>
      <c r="D35" s="351"/>
      <c r="E35" s="351"/>
    </row>
    <row r="38" spans="2:20" ht="13.5" thickBot="1"/>
    <row r="39" spans="2:20" ht="13.5" thickBot="1">
      <c r="I39" s="314">
        <f>H27-H25</f>
        <v>-137429.91255809367</v>
      </c>
      <c r="J39" s="315">
        <f>H27-J25</f>
        <v>0</v>
      </c>
      <c r="K39" s="327"/>
      <c r="L39" s="327"/>
      <c r="M39" s="327"/>
      <c r="N39" s="327"/>
    </row>
  </sheetData>
  <mergeCells count="1">
    <mergeCell ref="G5:I5"/>
  </mergeCells>
  <phoneticPr fontId="17" type="noConversion"/>
  <printOptions horizontalCentered="1"/>
  <pageMargins left="0" right="0" top="1.75" bottom="1" header="1" footer="0.5"/>
  <pageSetup scale="69" orientation="landscape" blackAndWhite="1" horizontalDpi="300" verticalDpi="300" r:id="rId1"/>
  <headerFooter alignWithMargins="0">
    <oddHeader>&amp;R&amp;"Times New Roman,Regular"Exhibit No.___(TES-6)
UE-072300/UG-072301
May 30, 2008</oddHeader>
    <oddFooter>&amp;R&amp;"Times New Roman,Regular"Page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4"/>
  <dimension ref="A2:Q479"/>
  <sheetViews>
    <sheetView topLeftCell="C1" zoomScale="80" zoomScaleNormal="80" workbookViewId="0">
      <selection activeCell="H14" sqref="H14"/>
    </sheetView>
  </sheetViews>
  <sheetFormatPr defaultRowHeight="12.75"/>
  <cols>
    <col min="1" max="1" width="2.5703125" style="1" customWidth="1"/>
    <col min="2" max="2" width="32.28515625" style="16" customWidth="1"/>
    <col min="3" max="3" width="9.85546875" style="16" bestFit="1" customWidth="1"/>
    <col min="4" max="4" width="12.5703125" style="11" bestFit="1" customWidth="1"/>
    <col min="5" max="5" width="16" style="1" bestFit="1" customWidth="1"/>
    <col min="6" max="6" width="14.7109375" style="16" bestFit="1" customWidth="1"/>
    <col min="7" max="7" width="3.28515625" style="7" customWidth="1"/>
    <col min="8" max="8" width="10.5703125" style="1" bestFit="1" customWidth="1"/>
    <col min="9" max="9" width="16.42578125" style="13" bestFit="1" customWidth="1"/>
    <col min="10" max="10" width="3" style="3" customWidth="1"/>
    <col min="11" max="11" width="13.5703125" style="1" bestFit="1" customWidth="1"/>
    <col min="12" max="12" width="11" style="17" bestFit="1" customWidth="1"/>
    <col min="13" max="13" width="2.42578125" style="17" customWidth="1"/>
    <col min="14" max="14" width="1.5703125" style="17" customWidth="1"/>
    <col min="15" max="15" width="14" style="1" customWidth="1"/>
    <col min="16" max="16" width="12.42578125" style="1" bestFit="1" customWidth="1"/>
    <col min="17" max="17" width="16.140625" style="21" customWidth="1"/>
    <col min="18" max="16384" width="9.140625" style="1"/>
  </cols>
  <sheetData>
    <row r="2" spans="2:17">
      <c r="B2" s="32" t="s">
        <v>83</v>
      </c>
      <c r="C2" s="32"/>
      <c r="D2" s="396"/>
      <c r="E2" s="32"/>
      <c r="F2" s="32"/>
      <c r="G2" s="32"/>
      <c r="H2" s="32"/>
      <c r="I2" s="32"/>
      <c r="J2" s="32"/>
      <c r="K2" s="32"/>
      <c r="L2" s="32"/>
      <c r="M2" s="218"/>
      <c r="N2" s="444"/>
      <c r="O2" s="445"/>
    </row>
    <row r="3" spans="2:17">
      <c r="B3" s="32" t="s">
        <v>175</v>
      </c>
      <c r="C3" s="32"/>
      <c r="D3" s="396"/>
      <c r="E3" s="32"/>
      <c r="F3" s="32"/>
      <c r="G3" s="32"/>
      <c r="H3" s="32"/>
      <c r="I3" s="32"/>
      <c r="J3" s="32"/>
      <c r="K3" s="32"/>
      <c r="L3" s="32"/>
      <c r="M3" s="218"/>
      <c r="N3" s="444"/>
      <c r="O3" s="445"/>
    </row>
    <row r="4" spans="2:17">
      <c r="B4" s="32" t="s">
        <v>174</v>
      </c>
      <c r="C4" s="32"/>
      <c r="D4" s="396"/>
      <c r="E4" s="32"/>
      <c r="F4" s="32"/>
      <c r="G4" s="32"/>
      <c r="H4" s="32"/>
      <c r="I4" s="32"/>
      <c r="J4" s="32"/>
      <c r="K4" s="32"/>
      <c r="L4" s="32"/>
      <c r="M4" s="218"/>
      <c r="N4" s="444"/>
      <c r="O4" s="445"/>
    </row>
    <row r="5" spans="2:17">
      <c r="B5" s="219" t="s">
        <v>217</v>
      </c>
      <c r="C5" s="32"/>
      <c r="D5" s="396"/>
      <c r="E5" s="32"/>
      <c r="F5" s="32"/>
      <c r="G5" s="32"/>
      <c r="H5" s="32"/>
      <c r="I5" s="32"/>
      <c r="J5" s="32"/>
      <c r="K5" s="32"/>
      <c r="L5" s="32"/>
      <c r="M5" s="218"/>
      <c r="N5" s="444"/>
      <c r="O5" s="445"/>
    </row>
    <row r="7" spans="2:17" ht="15" customHeight="1">
      <c r="B7" s="58"/>
      <c r="C7" s="50"/>
      <c r="D7" s="75" t="s">
        <v>0</v>
      </c>
      <c r="E7" s="95" t="s">
        <v>1</v>
      </c>
      <c r="F7" s="96"/>
      <c r="G7" s="50"/>
      <c r="H7" s="95" t="s">
        <v>2</v>
      </c>
      <c r="I7" s="96"/>
      <c r="J7" s="59"/>
      <c r="K7" s="96" t="s">
        <v>3</v>
      </c>
      <c r="L7" s="97"/>
      <c r="M7" s="35"/>
      <c r="N7" s="35"/>
      <c r="O7" s="4"/>
    </row>
    <row r="8" spans="2:17">
      <c r="B8" s="60" t="s">
        <v>4</v>
      </c>
      <c r="C8" s="5" t="s">
        <v>91</v>
      </c>
      <c r="D8" s="398" t="s">
        <v>5</v>
      </c>
      <c r="E8" s="5" t="s">
        <v>6</v>
      </c>
      <c r="F8" s="6" t="s">
        <v>39</v>
      </c>
      <c r="G8" s="5"/>
      <c r="H8" s="5" t="s">
        <v>6</v>
      </c>
      <c r="I8" s="6" t="s">
        <v>39</v>
      </c>
      <c r="J8" s="6"/>
      <c r="K8" s="6" t="s">
        <v>7</v>
      </c>
      <c r="L8" s="61" t="s">
        <v>8</v>
      </c>
      <c r="M8" s="34"/>
      <c r="N8" s="34"/>
      <c r="O8" s="4"/>
    </row>
    <row r="9" spans="2:17">
      <c r="B9" s="2"/>
      <c r="C9" s="2"/>
      <c r="D9" s="31"/>
      <c r="E9" s="2"/>
      <c r="F9" s="2"/>
      <c r="H9" s="2"/>
      <c r="I9" s="3"/>
      <c r="K9" s="2"/>
      <c r="L9" s="27"/>
      <c r="M9" s="27"/>
      <c r="N9" s="27"/>
    </row>
    <row r="10" spans="2:17">
      <c r="B10" s="62" t="s">
        <v>84</v>
      </c>
      <c r="C10" s="99"/>
      <c r="D10" s="399"/>
      <c r="E10" s="56"/>
      <c r="F10" s="56"/>
      <c r="G10" s="63"/>
      <c r="H10" s="56"/>
      <c r="I10" s="93"/>
      <c r="J10" s="93"/>
      <c r="K10" s="93"/>
      <c r="L10" s="108"/>
      <c r="M10" s="27"/>
      <c r="N10" s="27"/>
    </row>
    <row r="11" spans="2:17">
      <c r="B11" s="64"/>
      <c r="C11" s="2"/>
      <c r="D11" s="31"/>
      <c r="E11" s="2"/>
      <c r="F11" s="2"/>
      <c r="G11" s="8"/>
      <c r="H11" s="2"/>
      <c r="I11" s="23"/>
      <c r="J11" s="23"/>
      <c r="K11" s="23"/>
      <c r="L11" s="109"/>
      <c r="M11" s="27"/>
      <c r="N11" s="27"/>
      <c r="O11" s="50" t="s">
        <v>125</v>
      </c>
      <c r="P11" s="2"/>
    </row>
    <row r="12" spans="2:17">
      <c r="B12" s="65" t="s">
        <v>202</v>
      </c>
      <c r="C12" s="100" t="s">
        <v>80</v>
      </c>
      <c r="D12" s="400">
        <v>8081187</v>
      </c>
      <c r="E12" s="41">
        <v>8.25</v>
      </c>
      <c r="F12" s="23">
        <f>SUM(+D12*E12)</f>
        <v>66669792.75</v>
      </c>
      <c r="H12" s="515">
        <v>8.25</v>
      </c>
      <c r="I12" s="23">
        <f>SUM(+D12*H12)</f>
        <v>66669792.75</v>
      </c>
      <c r="J12" s="23"/>
      <c r="K12" s="23">
        <f>I12-F12</f>
        <v>0</v>
      </c>
      <c r="L12" s="109"/>
      <c r="M12" s="27"/>
      <c r="N12" s="27"/>
      <c r="O12" s="276">
        <f>'Rate Spread-Margin'!J13*((D13+D25)/(D13+D25+D42))</f>
        <v>29446142.204832479</v>
      </c>
      <c r="P12" s="2"/>
      <c r="Q12" s="23"/>
    </row>
    <row r="13" spans="2:17">
      <c r="B13" s="64" t="s">
        <v>102</v>
      </c>
      <c r="C13" s="2" t="s">
        <v>15</v>
      </c>
      <c r="D13" s="400">
        <v>532746609</v>
      </c>
      <c r="E13" s="52">
        <v>0.30038999999999999</v>
      </c>
      <c r="F13" s="23">
        <f>ROUND(D13*E13,2)</f>
        <v>160031753.88</v>
      </c>
      <c r="H13" s="516">
        <v>0.35565999999999998</v>
      </c>
      <c r="I13" s="23">
        <f>ROUND(D13*H13,2)</f>
        <v>189476658.96000001</v>
      </c>
      <c r="J13" s="23"/>
      <c r="K13" s="23">
        <f>I13-F13</f>
        <v>29444905.080000013</v>
      </c>
      <c r="L13" s="110"/>
      <c r="M13" s="2"/>
      <c r="N13" s="2"/>
      <c r="O13" s="30" t="s">
        <v>158</v>
      </c>
      <c r="P13" s="2"/>
      <c r="Q13" s="23"/>
    </row>
    <row r="14" spans="2:17">
      <c r="B14" s="54" t="s">
        <v>10</v>
      </c>
      <c r="C14" s="101"/>
      <c r="D14" s="40"/>
      <c r="E14" s="2"/>
      <c r="F14" s="93">
        <f>SUM(F12:F13)</f>
        <v>226701546.63</v>
      </c>
      <c r="H14" s="31"/>
      <c r="I14" s="93">
        <f>SUM(I12:I13)</f>
        <v>256146451.71000001</v>
      </c>
      <c r="J14" s="23"/>
      <c r="K14" s="93">
        <f>SUM(K12:K13)</f>
        <v>29444905.080000013</v>
      </c>
      <c r="L14" s="113">
        <f>ROUND(K14/F14,5)</f>
        <v>0.12988</v>
      </c>
      <c r="M14" s="2"/>
      <c r="N14" s="2"/>
      <c r="O14" s="76">
        <f>(K14+K26)-O12</f>
        <v>-1055.5648324675858</v>
      </c>
      <c r="P14" s="2"/>
      <c r="Q14" s="43"/>
    </row>
    <row r="15" spans="2:17">
      <c r="B15" s="66"/>
      <c r="C15" s="102"/>
      <c r="D15" s="31"/>
      <c r="E15" s="49"/>
      <c r="F15" s="84"/>
      <c r="H15" s="31"/>
      <c r="I15" s="23"/>
      <c r="J15" s="23"/>
      <c r="K15" s="23"/>
      <c r="L15" s="109"/>
      <c r="M15" s="28"/>
      <c r="N15" s="28"/>
      <c r="O15" s="296"/>
    </row>
    <row r="16" spans="2:17">
      <c r="B16" s="64" t="s">
        <v>211</v>
      </c>
      <c r="C16" s="2" t="s">
        <v>15</v>
      </c>
      <c r="D16" s="40">
        <f>D13</f>
        <v>532746609</v>
      </c>
      <c r="E16" s="52">
        <v>0.84119999999999995</v>
      </c>
      <c r="F16" s="93">
        <f>E16*D16</f>
        <v>448146447.49079996</v>
      </c>
      <c r="G16" s="2"/>
      <c r="H16" s="42">
        <f>E16</f>
        <v>0.84119999999999995</v>
      </c>
      <c r="I16" s="93">
        <f>H16*D16</f>
        <v>448146447.49079996</v>
      </c>
      <c r="J16" s="23"/>
      <c r="K16" s="93">
        <f>I16-F16</f>
        <v>0</v>
      </c>
      <c r="L16" s="113">
        <f>ROUND(K16/F16,5)</f>
        <v>0</v>
      </c>
      <c r="M16" s="28"/>
      <c r="N16" s="28"/>
      <c r="O16" s="55"/>
      <c r="P16" s="53"/>
      <c r="Q16" s="53"/>
    </row>
    <row r="17" spans="1:17" ht="14.25" customHeight="1">
      <c r="B17" s="64"/>
      <c r="C17" s="2"/>
      <c r="D17" s="31"/>
      <c r="E17" s="31"/>
      <c r="F17" s="23"/>
      <c r="H17" s="10"/>
      <c r="I17" s="23"/>
      <c r="J17" s="23"/>
      <c r="K17" s="23"/>
      <c r="L17" s="109"/>
      <c r="M17" s="2"/>
      <c r="N17" s="2"/>
      <c r="O17" s="53"/>
      <c r="P17" s="53"/>
      <c r="Q17" s="53"/>
    </row>
    <row r="18" spans="1:17">
      <c r="B18" s="54" t="s">
        <v>38</v>
      </c>
      <c r="C18" s="101"/>
      <c r="D18" s="31"/>
      <c r="E18" s="2"/>
      <c r="F18" s="93">
        <f>F14+F16</f>
        <v>674847994.12080002</v>
      </c>
      <c r="H18" s="2"/>
      <c r="I18" s="93">
        <f>I14+I16</f>
        <v>704292899.20079994</v>
      </c>
      <c r="J18" s="23"/>
      <c r="K18" s="93">
        <f>K14+K16</f>
        <v>29444905.080000013</v>
      </c>
      <c r="L18" s="113">
        <f>ROUND(K18/F18,5)</f>
        <v>4.3630000000000002E-2</v>
      </c>
      <c r="M18" s="28"/>
      <c r="N18" s="28"/>
      <c r="O18" s="28"/>
      <c r="P18" s="12"/>
      <c r="Q18" s="20"/>
    </row>
    <row r="19" spans="1:17">
      <c r="B19" s="54"/>
      <c r="C19" s="101"/>
      <c r="D19" s="31"/>
      <c r="E19" s="31"/>
      <c r="F19" s="85"/>
      <c r="H19" s="2"/>
      <c r="I19" s="23"/>
      <c r="J19" s="23"/>
      <c r="K19" s="94"/>
      <c r="L19" s="110"/>
      <c r="M19" s="28"/>
    </row>
    <row r="20" spans="1:17" s="11" customFormat="1">
      <c r="B20" s="67"/>
      <c r="C20" s="57"/>
      <c r="D20" s="57"/>
      <c r="E20" s="57"/>
      <c r="F20" s="86"/>
      <c r="G20" s="68"/>
      <c r="H20" s="57"/>
      <c r="I20" s="86"/>
      <c r="J20" s="86"/>
      <c r="K20" s="86"/>
      <c r="L20" s="111"/>
      <c r="M20" s="31"/>
      <c r="N20" s="31"/>
    </row>
    <row r="21" spans="1:17" s="11" customFormat="1">
      <c r="B21" s="31"/>
      <c r="C21" s="31"/>
      <c r="D21" s="31"/>
      <c r="F21" s="87"/>
      <c r="G21" s="40"/>
      <c r="H21" s="31"/>
      <c r="I21" s="85"/>
      <c r="J21" s="85"/>
      <c r="K21" s="85"/>
      <c r="L21" s="112"/>
      <c r="M21" s="31"/>
      <c r="N21" s="31"/>
      <c r="O21" s="31"/>
    </row>
    <row r="22" spans="1:17">
      <c r="A22" s="11"/>
      <c r="B22" s="98" t="s">
        <v>88</v>
      </c>
      <c r="C22" s="103"/>
      <c r="D22" s="399"/>
      <c r="E22" s="69"/>
      <c r="F22" s="88"/>
      <c r="G22" s="63"/>
      <c r="H22" s="56"/>
      <c r="I22" s="93"/>
      <c r="J22" s="93"/>
      <c r="K22" s="93"/>
      <c r="L22" s="113"/>
      <c r="M22" s="2"/>
      <c r="N22" s="2"/>
      <c r="O22" s="2"/>
    </row>
    <row r="23" spans="1:17" s="11" customFormat="1">
      <c r="B23" s="70"/>
      <c r="C23" s="31"/>
      <c r="D23" s="31"/>
      <c r="E23" s="31"/>
      <c r="F23" s="85"/>
      <c r="G23" s="37"/>
      <c r="H23" s="31"/>
      <c r="I23" s="85"/>
      <c r="J23" s="85"/>
      <c r="K23" s="85"/>
      <c r="L23" s="114"/>
      <c r="M23" s="38"/>
      <c r="N23" s="38"/>
      <c r="O23" s="277"/>
      <c r="P23" s="31"/>
      <c r="Q23" s="39"/>
    </row>
    <row r="24" spans="1:17" s="11" customFormat="1" ht="13.5" customHeight="1">
      <c r="B24" s="65" t="s">
        <v>202</v>
      </c>
      <c r="C24" s="100" t="s">
        <v>80</v>
      </c>
      <c r="D24" s="400">
        <v>60</v>
      </c>
      <c r="E24" s="41">
        <v>8.25</v>
      </c>
      <c r="F24" s="85">
        <f>SUM(+D24*E24)</f>
        <v>495</v>
      </c>
      <c r="G24" s="40"/>
      <c r="H24" s="515">
        <f>H12</f>
        <v>8.25</v>
      </c>
      <c r="I24" s="85">
        <f>SUM(+D24*H24)</f>
        <v>495</v>
      </c>
      <c r="J24" s="85"/>
      <c r="K24" s="85">
        <f>I24-F24</f>
        <v>0</v>
      </c>
      <c r="L24" s="114"/>
      <c r="M24" s="38"/>
      <c r="N24" s="38"/>
      <c r="O24" s="276"/>
      <c r="P24" s="31"/>
      <c r="Q24" s="39"/>
    </row>
    <row r="25" spans="1:17" s="11" customFormat="1" ht="13.5" customHeight="1">
      <c r="B25" s="64" t="s">
        <v>102</v>
      </c>
      <c r="C25" s="2" t="s">
        <v>15</v>
      </c>
      <c r="D25" s="400">
        <v>3285</v>
      </c>
      <c r="E25" s="52">
        <v>0.30038999999999999</v>
      </c>
      <c r="F25" s="85">
        <f>ROUND(D25*E25,2)</f>
        <v>986.78</v>
      </c>
      <c r="G25" s="40"/>
      <c r="H25" s="516">
        <f>H13</f>
        <v>0.35565999999999998</v>
      </c>
      <c r="I25" s="85">
        <f>ROUND(D25*H25,2)</f>
        <v>1168.3399999999999</v>
      </c>
      <c r="J25" s="85"/>
      <c r="K25" s="85">
        <f>I25-F25</f>
        <v>181.55999999999995</v>
      </c>
      <c r="L25" s="115"/>
      <c r="M25" s="38"/>
      <c r="N25" s="38"/>
      <c r="O25" s="30"/>
      <c r="P25" s="31"/>
      <c r="Q25" s="39"/>
    </row>
    <row r="26" spans="1:17" s="11" customFormat="1" ht="13.5" customHeight="1">
      <c r="B26" s="54" t="s">
        <v>10</v>
      </c>
      <c r="C26" s="100"/>
      <c r="D26" s="40"/>
      <c r="E26" s="31"/>
      <c r="F26" s="93">
        <f>SUM(F24:F25)</f>
        <v>1481.78</v>
      </c>
      <c r="G26" s="40"/>
      <c r="H26" s="31"/>
      <c r="I26" s="93">
        <f>SUM(I24:I25)</f>
        <v>1663.34</v>
      </c>
      <c r="J26" s="85"/>
      <c r="K26" s="93">
        <f>SUM(K24:K25)</f>
        <v>181.55999999999995</v>
      </c>
      <c r="L26" s="113">
        <f>ROUND(K26/F26,5)</f>
        <v>0.12253</v>
      </c>
      <c r="M26" s="31"/>
      <c r="N26" s="31"/>
      <c r="O26" s="30"/>
      <c r="P26" s="31"/>
      <c r="Q26" s="43"/>
    </row>
    <row r="27" spans="1:17" s="11" customFormat="1" ht="13.5" customHeight="1">
      <c r="B27" s="71"/>
      <c r="C27" s="72"/>
      <c r="D27" s="31"/>
      <c r="E27" s="31"/>
      <c r="F27" s="89"/>
      <c r="G27" s="40"/>
      <c r="H27" s="31"/>
      <c r="I27" s="85"/>
      <c r="J27" s="85"/>
      <c r="K27" s="85"/>
      <c r="L27" s="114"/>
      <c r="M27" s="31"/>
      <c r="N27" s="31"/>
      <c r="O27" s="107"/>
      <c r="Q27" s="39"/>
    </row>
    <row r="28" spans="1:17" s="11" customFormat="1" ht="13.5" customHeight="1">
      <c r="B28" s="64" t="s">
        <v>211</v>
      </c>
      <c r="C28" s="2" t="s">
        <v>15</v>
      </c>
      <c r="D28" s="40">
        <f>D25</f>
        <v>3285</v>
      </c>
      <c r="E28" s="52">
        <v>2.6912400000000001</v>
      </c>
      <c r="F28" s="93">
        <f>E28*D28</f>
        <v>8840.7234000000008</v>
      </c>
      <c r="G28" s="31"/>
      <c r="H28" s="42">
        <f>E28</f>
        <v>2.6912400000000001</v>
      </c>
      <c r="I28" s="93">
        <f>H28*D28</f>
        <v>8840.7234000000008</v>
      </c>
      <c r="J28" s="85"/>
      <c r="K28" s="93">
        <f>I28-F28</f>
        <v>0</v>
      </c>
      <c r="L28" s="113">
        <f>ROUND(K28/F28,5)</f>
        <v>0</v>
      </c>
      <c r="M28" s="38"/>
      <c r="N28" s="38"/>
      <c r="O28" s="55"/>
      <c r="P28" s="53"/>
      <c r="Q28" s="53"/>
    </row>
    <row r="29" spans="1:17" s="11" customFormat="1" ht="13.5" customHeight="1">
      <c r="B29" s="70"/>
      <c r="C29" s="31"/>
      <c r="D29" s="31"/>
      <c r="E29" s="52"/>
      <c r="F29" s="85"/>
      <c r="G29" s="40"/>
      <c r="H29" s="46"/>
      <c r="I29" s="85"/>
      <c r="J29" s="85"/>
      <c r="K29" s="85"/>
      <c r="L29" s="115"/>
      <c r="M29" s="44"/>
      <c r="N29" s="44"/>
      <c r="O29" s="105"/>
      <c r="P29" s="53"/>
      <c r="Q29" s="53"/>
    </row>
    <row r="30" spans="1:17" s="11" customFormat="1" ht="13.5" customHeight="1">
      <c r="B30" s="65" t="s">
        <v>38</v>
      </c>
      <c r="C30" s="100"/>
      <c r="D30" s="31"/>
      <c r="E30" s="31"/>
      <c r="F30" s="93">
        <f>F26+F28</f>
        <v>10322.503400000001</v>
      </c>
      <c r="G30" s="40"/>
      <c r="H30" s="31"/>
      <c r="I30" s="93">
        <f>I26+I28</f>
        <v>10504.063400000001</v>
      </c>
      <c r="J30" s="85"/>
      <c r="K30" s="93">
        <f>K26+K28</f>
        <v>181.55999999999995</v>
      </c>
      <c r="L30" s="113">
        <f>ROUND(K30/F30,5)</f>
        <v>1.7590000000000001E-2</v>
      </c>
      <c r="M30" s="31"/>
      <c r="N30" s="31"/>
      <c r="O30" s="106"/>
      <c r="P30" s="53"/>
      <c r="Q30" s="45"/>
    </row>
    <row r="31" spans="1:17" s="11" customFormat="1" ht="13.5" customHeight="1">
      <c r="B31" s="70"/>
      <c r="C31" s="31"/>
      <c r="D31" s="31"/>
      <c r="E31" s="47"/>
      <c r="F31" s="90"/>
      <c r="G31" s="40"/>
      <c r="H31" s="31"/>
      <c r="I31" s="85"/>
      <c r="J31" s="85"/>
      <c r="K31" s="85"/>
      <c r="L31" s="115"/>
      <c r="M31" s="44"/>
      <c r="N31" s="44"/>
      <c r="P31" s="53"/>
    </row>
    <row r="32" spans="1:17" s="11" customFormat="1" ht="13.5" customHeight="1">
      <c r="B32" s="67"/>
      <c r="C32" s="57"/>
      <c r="D32" s="57"/>
      <c r="E32" s="57"/>
      <c r="F32" s="86"/>
      <c r="G32" s="57"/>
      <c r="H32" s="57"/>
      <c r="I32" s="86"/>
      <c r="J32" s="86"/>
      <c r="K32" s="86"/>
      <c r="L32" s="111"/>
      <c r="M32" s="31"/>
      <c r="N32" s="31"/>
      <c r="P32" s="53"/>
      <c r="Q32" s="39"/>
    </row>
    <row r="33" spans="2:17" s="11" customFormat="1" ht="13.5" customHeight="1">
      <c r="B33" s="31"/>
      <c r="C33" s="31"/>
      <c r="D33" s="31"/>
      <c r="E33" s="47"/>
      <c r="F33" s="90"/>
      <c r="G33" s="40"/>
      <c r="H33" s="31"/>
      <c r="I33" s="85"/>
      <c r="J33" s="85"/>
      <c r="K33" s="85"/>
      <c r="L33" s="112"/>
      <c r="M33" s="31"/>
      <c r="N33" s="31"/>
      <c r="P33" s="53"/>
      <c r="Q33" s="39"/>
    </row>
    <row r="34" spans="2:17" s="11" customFormat="1" ht="13.5" customHeight="1">
      <c r="B34" s="31"/>
      <c r="C34" s="31"/>
      <c r="D34" s="31"/>
      <c r="E34" s="47"/>
      <c r="F34" s="90"/>
      <c r="G34" s="40"/>
      <c r="H34" s="31"/>
      <c r="I34" s="85"/>
      <c r="J34" s="85"/>
      <c r="K34" s="85"/>
      <c r="L34" s="112"/>
      <c r="M34" s="31"/>
      <c r="N34" s="31"/>
      <c r="P34" s="53"/>
      <c r="Q34" s="39"/>
    </row>
    <row r="35" spans="2:17" ht="13.5" customHeight="1">
      <c r="B35" s="98" t="s">
        <v>85</v>
      </c>
      <c r="C35" s="99"/>
      <c r="D35" s="399"/>
      <c r="E35" s="69"/>
      <c r="F35" s="88"/>
      <c r="G35" s="63"/>
      <c r="H35" s="56"/>
      <c r="I35" s="93"/>
      <c r="J35" s="93"/>
      <c r="K35" s="93"/>
      <c r="L35" s="113"/>
      <c r="M35" s="2"/>
      <c r="N35" s="2"/>
      <c r="P35" s="53"/>
    </row>
    <row r="36" spans="2:17" ht="13.5" customHeight="1">
      <c r="B36" s="66"/>
      <c r="C36" s="102"/>
      <c r="D36" s="408" t="s">
        <v>11</v>
      </c>
      <c r="E36" s="2"/>
      <c r="F36" s="23"/>
      <c r="G36" s="15"/>
      <c r="H36" s="2"/>
      <c r="I36" s="23"/>
      <c r="J36" s="23"/>
      <c r="K36" s="23"/>
      <c r="L36" s="109"/>
      <c r="M36" s="27"/>
      <c r="N36" s="27"/>
      <c r="O36" s="75" t="s">
        <v>130</v>
      </c>
      <c r="P36" s="53"/>
    </row>
    <row r="37" spans="2:17" ht="13.5" customHeight="1">
      <c r="B37" s="54" t="s">
        <v>12</v>
      </c>
      <c r="C37" s="101" t="s">
        <v>104</v>
      </c>
      <c r="D37" s="400">
        <v>728</v>
      </c>
      <c r="E37" s="41">
        <v>13.28</v>
      </c>
      <c r="F37" s="23">
        <f>ROUND(D37*E37,2)</f>
        <v>9667.84</v>
      </c>
      <c r="H37" s="41">
        <v>14.68</v>
      </c>
      <c r="I37" s="23">
        <f>ROUND(D37*H37,2)</f>
        <v>10687.04</v>
      </c>
      <c r="J37" s="23"/>
      <c r="K37" s="23">
        <f>I37-F37</f>
        <v>1019.2000000000007</v>
      </c>
      <c r="L37" s="109"/>
      <c r="M37" s="29"/>
      <c r="N37" s="29"/>
      <c r="O37" s="276">
        <f>'Rate Spread-Margin'!J13-O12</f>
        <v>880.04048703610897</v>
      </c>
      <c r="P37" s="53"/>
    </row>
    <row r="38" spans="2:17" ht="13.5" customHeight="1">
      <c r="B38" s="64" t="s">
        <v>13</v>
      </c>
      <c r="C38" s="101" t="s">
        <v>104</v>
      </c>
      <c r="D38" s="400">
        <v>86</v>
      </c>
      <c r="E38" s="41">
        <v>12.28</v>
      </c>
      <c r="F38" s="23">
        <f>ROUND(D38*E38,2)</f>
        <v>1056.08</v>
      </c>
      <c r="H38" s="3">
        <f>H37-1</f>
        <v>13.68</v>
      </c>
      <c r="I38" s="23">
        <f>ROUND(D38*H38,2)</f>
        <v>1176.48</v>
      </c>
      <c r="J38" s="23"/>
      <c r="K38" s="23">
        <f>I38-F38</f>
        <v>120.40000000000009</v>
      </c>
      <c r="L38" s="109"/>
      <c r="M38" s="29"/>
      <c r="N38" s="29"/>
      <c r="O38" s="30" t="s">
        <v>158</v>
      </c>
      <c r="P38" s="53"/>
    </row>
    <row r="39" spans="2:17" ht="13.5" customHeight="1">
      <c r="B39" s="64" t="s">
        <v>14</v>
      </c>
      <c r="C39" s="101" t="s">
        <v>104</v>
      </c>
      <c r="D39" s="400">
        <v>24</v>
      </c>
      <c r="E39" s="41">
        <v>11.28</v>
      </c>
      <c r="F39" s="23">
        <f>ROUND(D39*E39,2)</f>
        <v>270.72000000000003</v>
      </c>
      <c r="H39" s="3">
        <f>H38-1</f>
        <v>12.68</v>
      </c>
      <c r="I39" s="23">
        <f>ROUND(D39*H39,2)</f>
        <v>304.32</v>
      </c>
      <c r="J39" s="23"/>
      <c r="K39" s="23">
        <f>I39-F39</f>
        <v>33.599999999999966</v>
      </c>
      <c r="L39" s="109"/>
      <c r="M39" s="29"/>
      <c r="N39" s="29"/>
      <c r="O39" s="76">
        <f>K40-O37</f>
        <v>293.15951296389176</v>
      </c>
      <c r="P39" s="53"/>
    </row>
    <row r="40" spans="2:17" ht="13.5" customHeight="1">
      <c r="B40" s="70" t="s">
        <v>34</v>
      </c>
      <c r="C40" s="31"/>
      <c r="D40" s="505">
        <f>SUM(D37:D39)</f>
        <v>838</v>
      </c>
      <c r="E40" s="31"/>
      <c r="F40" s="93">
        <f>SUM(F37:F39)</f>
        <v>10994.64</v>
      </c>
      <c r="H40" s="7"/>
      <c r="I40" s="93">
        <f>SUM(I37:I39)</f>
        <v>12167.84</v>
      </c>
      <c r="J40" s="23"/>
      <c r="K40" s="93">
        <f>SUM(K37:K39)</f>
        <v>1173.2000000000007</v>
      </c>
      <c r="L40" s="113">
        <f>ROUND(K40/F40,5)</f>
        <v>0.10671</v>
      </c>
      <c r="M40" s="28"/>
      <c r="N40" s="28"/>
      <c r="P40" s="53"/>
    </row>
    <row r="41" spans="2:17" ht="13.5" customHeight="1">
      <c r="B41" s="64"/>
      <c r="C41" s="2"/>
      <c r="D41" s="31"/>
      <c r="E41" s="31"/>
      <c r="F41" s="23"/>
      <c r="G41" s="2"/>
      <c r="H41" s="2"/>
      <c r="I41" s="23"/>
      <c r="J41" s="23"/>
      <c r="K41" s="23"/>
      <c r="L41" s="110"/>
      <c r="M41" s="2"/>
      <c r="N41" s="2"/>
      <c r="O41" s="53"/>
      <c r="P41" s="53"/>
      <c r="Q41" s="53"/>
    </row>
    <row r="42" spans="2:17" ht="13.5" customHeight="1">
      <c r="B42" s="54" t="s">
        <v>81</v>
      </c>
      <c r="C42" s="101"/>
      <c r="D42" s="505">
        <f>+D40*19</f>
        <v>15922</v>
      </c>
      <c r="E42" s="40"/>
      <c r="F42" s="84"/>
      <c r="H42" s="2"/>
      <c r="I42" s="23"/>
      <c r="J42" s="23"/>
      <c r="K42" s="23"/>
      <c r="L42" s="109"/>
      <c r="O42" s="55"/>
      <c r="P42" s="53"/>
      <c r="Q42" s="53"/>
    </row>
    <row r="43" spans="2:17" ht="13.5" customHeight="1">
      <c r="B43" s="64"/>
      <c r="C43" s="2"/>
      <c r="D43" s="31"/>
      <c r="E43" s="31"/>
      <c r="F43" s="91"/>
      <c r="G43" s="40"/>
      <c r="H43" s="31"/>
      <c r="I43" s="85"/>
      <c r="J43" s="23"/>
      <c r="K43" s="23"/>
      <c r="L43" s="109"/>
      <c r="M43" s="27"/>
      <c r="N43" s="27"/>
      <c r="O43" s="53"/>
      <c r="P43" s="53"/>
      <c r="Q43" s="53"/>
    </row>
    <row r="44" spans="2:17" ht="13.5" customHeight="1">
      <c r="B44" s="64" t="s">
        <v>211</v>
      </c>
      <c r="C44" s="101"/>
      <c r="D44" s="40">
        <f>D42</f>
        <v>15922</v>
      </c>
      <c r="E44" s="359">
        <f>15.98/19</f>
        <v>0.84105263157894739</v>
      </c>
      <c r="F44" s="93">
        <f>D44*E44</f>
        <v>13391.24</v>
      </c>
      <c r="G44" s="14"/>
      <c r="H44" s="359">
        <f>15.98/19</f>
        <v>0.84105263157894739</v>
      </c>
      <c r="I44" s="93">
        <f>D44*H44</f>
        <v>13391.24</v>
      </c>
      <c r="J44" s="23"/>
      <c r="K44" s="93">
        <f>I44-F44</f>
        <v>0</v>
      </c>
      <c r="L44" s="113">
        <f>ROUND(K44/F44,5)</f>
        <v>0</v>
      </c>
      <c r="M44" s="28"/>
      <c r="N44" s="28"/>
      <c r="O44" s="9"/>
      <c r="P44" s="4"/>
      <c r="Q44" s="20"/>
    </row>
    <row r="45" spans="2:17" ht="13.5" customHeight="1">
      <c r="B45" s="64"/>
      <c r="C45" s="2"/>
      <c r="D45" s="31"/>
      <c r="E45" s="2"/>
      <c r="F45" s="23"/>
      <c r="H45" s="2"/>
      <c r="I45" s="23"/>
      <c r="J45" s="23"/>
      <c r="K45" s="23"/>
      <c r="L45" s="116"/>
      <c r="M45" s="30"/>
      <c r="N45" s="30"/>
    </row>
    <row r="46" spans="2:17" ht="13.5" customHeight="1">
      <c r="B46" s="64" t="s">
        <v>38</v>
      </c>
      <c r="C46" s="2"/>
      <c r="D46" s="31"/>
      <c r="E46" s="2"/>
      <c r="F46" s="93">
        <f>F40+F44</f>
        <v>24385.879999999997</v>
      </c>
      <c r="H46" s="2"/>
      <c r="I46" s="93">
        <f>I40+I44</f>
        <v>25559.08</v>
      </c>
      <c r="J46" s="23"/>
      <c r="K46" s="93">
        <f>K40+K44</f>
        <v>1173.2000000000007</v>
      </c>
      <c r="L46" s="113">
        <f>ROUND(K46/F46,5)</f>
        <v>4.811E-2</v>
      </c>
      <c r="M46" s="28"/>
      <c r="N46" s="28"/>
    </row>
    <row r="47" spans="2:17">
      <c r="B47" s="64"/>
      <c r="C47" s="2"/>
      <c r="D47" s="31"/>
      <c r="E47" s="31"/>
      <c r="F47" s="85"/>
      <c r="H47" s="2"/>
      <c r="I47" s="23"/>
      <c r="J47" s="23"/>
      <c r="K47" s="23"/>
      <c r="L47" s="116"/>
      <c r="M47" s="30"/>
      <c r="N47" s="30"/>
    </row>
    <row r="48" spans="2:17">
      <c r="B48" s="73"/>
      <c r="C48" s="104"/>
      <c r="D48" s="57"/>
      <c r="E48" s="51"/>
      <c r="F48" s="92"/>
      <c r="G48" s="48"/>
      <c r="H48" s="51"/>
      <c r="I48" s="74"/>
      <c r="J48" s="74"/>
      <c r="K48" s="51"/>
      <c r="L48" s="117"/>
    </row>
    <row r="49" spans="2:16">
      <c r="B49" s="1"/>
      <c r="K49" s="2"/>
    </row>
    <row r="50" spans="2:16">
      <c r="B50" s="16" t="s">
        <v>226</v>
      </c>
      <c r="K50" s="2"/>
    </row>
    <row r="51" spans="2:16">
      <c r="B51" s="1"/>
      <c r="F51" s="5" t="s">
        <v>33</v>
      </c>
      <c r="I51" s="6" t="s">
        <v>2</v>
      </c>
      <c r="K51" s="6" t="s">
        <v>172</v>
      </c>
    </row>
    <row r="52" spans="2:16">
      <c r="B52" s="1" t="s">
        <v>168</v>
      </c>
      <c r="F52" s="320">
        <f>F16+F28+F44</f>
        <v>448168679.45419997</v>
      </c>
      <c r="I52" s="320">
        <f>I16+I28+I44</f>
        <v>448168679.45419997</v>
      </c>
      <c r="J52" s="320"/>
      <c r="K52" s="23">
        <f>I52-F52</f>
        <v>0</v>
      </c>
    </row>
    <row r="53" spans="2:16">
      <c r="B53" s="1" t="s">
        <v>169</v>
      </c>
      <c r="F53" s="320">
        <f>F14+F26+F40</f>
        <v>226714023.04999998</v>
      </c>
      <c r="G53" s="320"/>
      <c r="H53" s="320"/>
      <c r="I53" s="320">
        <f>I14+I26+I40</f>
        <v>256160282.89000002</v>
      </c>
      <c r="J53" s="320"/>
      <c r="K53" s="23">
        <f>I53-F53</f>
        <v>29446259.840000033</v>
      </c>
      <c r="L53" s="320"/>
      <c r="O53" s="333"/>
      <c r="P53" s="320"/>
    </row>
    <row r="54" spans="2:16">
      <c r="B54" s="1" t="s">
        <v>170</v>
      </c>
      <c r="F54" s="93">
        <f>F52+F53</f>
        <v>674882702.50419998</v>
      </c>
      <c r="I54" s="93">
        <f>I52+I53</f>
        <v>704328962.34420002</v>
      </c>
      <c r="K54" s="93">
        <f>K52+K53</f>
        <v>29446259.840000033</v>
      </c>
    </row>
    <row r="55" spans="2:16">
      <c r="B55" s="1"/>
      <c r="F55" s="320"/>
      <c r="I55" s="320"/>
      <c r="K55" s="23"/>
    </row>
    <row r="56" spans="2:16">
      <c r="B56" s="1" t="s">
        <v>210</v>
      </c>
      <c r="F56" s="1"/>
      <c r="K56" s="2"/>
    </row>
    <row r="57" spans="2:16">
      <c r="B57" s="1"/>
      <c r="F57" s="1"/>
    </row>
    <row r="58" spans="2:16">
      <c r="B58" s="1"/>
      <c r="F58" s="1"/>
    </row>
    <row r="59" spans="2:16">
      <c r="B59" s="1"/>
      <c r="F59" s="1"/>
    </row>
    <row r="60" spans="2:16">
      <c r="B60" s="1"/>
      <c r="F60" s="1"/>
    </row>
    <row r="61" spans="2:16">
      <c r="B61" s="1"/>
      <c r="F61" s="1"/>
    </row>
    <row r="62" spans="2:16">
      <c r="B62" s="1"/>
      <c r="F62" s="1"/>
    </row>
    <row r="63" spans="2:16">
      <c r="B63" s="1"/>
      <c r="F63" s="1"/>
    </row>
    <row r="64" spans="2:16">
      <c r="B64" s="1"/>
      <c r="F64" s="1"/>
    </row>
    <row r="65" spans="2:6">
      <c r="B65" s="1"/>
      <c r="F65" s="1"/>
    </row>
    <row r="66" spans="2:6">
      <c r="B66" s="1"/>
      <c r="F66" s="1"/>
    </row>
    <row r="67" spans="2:6">
      <c r="B67" s="1"/>
      <c r="F67" s="1"/>
    </row>
    <row r="68" spans="2:6">
      <c r="B68" s="1"/>
      <c r="F68" s="1"/>
    </row>
    <row r="69" spans="2:6">
      <c r="B69" s="1"/>
      <c r="F69" s="1"/>
    </row>
    <row r="70" spans="2:6">
      <c r="B70" s="1"/>
      <c r="F70" s="1"/>
    </row>
    <row r="71" spans="2:6">
      <c r="B71" s="1"/>
      <c r="F71" s="1"/>
    </row>
    <row r="72" spans="2:6">
      <c r="B72" s="1"/>
      <c r="F72" s="1"/>
    </row>
    <row r="73" spans="2:6">
      <c r="B73" s="1"/>
      <c r="F73" s="1"/>
    </row>
    <row r="74" spans="2:6">
      <c r="B74" s="1"/>
      <c r="F74" s="1"/>
    </row>
    <row r="75" spans="2:6">
      <c r="B75" s="1"/>
      <c r="F75" s="1"/>
    </row>
    <row r="76" spans="2:6">
      <c r="B76" s="1"/>
      <c r="F76" s="1"/>
    </row>
    <row r="77" spans="2:6">
      <c r="B77" s="1"/>
      <c r="F77" s="1"/>
    </row>
    <row r="78" spans="2:6">
      <c r="B78" s="1"/>
      <c r="F78" s="1"/>
    </row>
    <row r="79" spans="2:6">
      <c r="B79" s="1"/>
      <c r="F79" s="1"/>
    </row>
    <row r="80" spans="2:6">
      <c r="B80" s="1"/>
      <c r="F80" s="1"/>
    </row>
    <row r="81" spans="2:6">
      <c r="B81" s="1"/>
      <c r="F81" s="1"/>
    </row>
    <row r="82" spans="2:6">
      <c r="B82" s="1"/>
      <c r="F82" s="1"/>
    </row>
    <row r="83" spans="2:6">
      <c r="B83" s="1"/>
      <c r="F83" s="1"/>
    </row>
    <row r="84" spans="2:6">
      <c r="B84" s="1"/>
      <c r="F84" s="1"/>
    </row>
    <row r="85" spans="2:6">
      <c r="B85" s="1"/>
      <c r="F85" s="1"/>
    </row>
    <row r="86" spans="2:6">
      <c r="B86" s="1"/>
      <c r="F86" s="1"/>
    </row>
    <row r="87" spans="2:6">
      <c r="B87" s="1"/>
      <c r="F87" s="1"/>
    </row>
    <row r="88" spans="2:6">
      <c r="B88" s="1"/>
      <c r="F88" s="1"/>
    </row>
    <row r="89" spans="2:6">
      <c r="B89" s="1"/>
      <c r="F89" s="1"/>
    </row>
    <row r="90" spans="2:6">
      <c r="B90" s="1"/>
      <c r="F90" s="1"/>
    </row>
    <row r="91" spans="2:6">
      <c r="B91" s="1"/>
      <c r="F91" s="1"/>
    </row>
    <row r="92" spans="2:6">
      <c r="B92" s="1"/>
      <c r="F92" s="1"/>
    </row>
    <row r="93" spans="2:6">
      <c r="B93" s="1"/>
      <c r="F93" s="1"/>
    </row>
    <row r="94" spans="2:6">
      <c r="B94" s="1"/>
      <c r="F94" s="1"/>
    </row>
    <row r="95" spans="2:6">
      <c r="B95" s="1"/>
      <c r="F95" s="1"/>
    </row>
    <row r="96" spans="2:6">
      <c r="B96" s="1"/>
      <c r="F96" s="1"/>
    </row>
    <row r="97" spans="2:6">
      <c r="B97" s="1"/>
      <c r="F97" s="1"/>
    </row>
    <row r="98" spans="2:6">
      <c r="B98" s="1"/>
      <c r="F98" s="1"/>
    </row>
    <row r="99" spans="2:6">
      <c r="B99" s="1"/>
      <c r="F99" s="1"/>
    </row>
    <row r="100" spans="2:6">
      <c r="B100" s="1"/>
      <c r="F100" s="1"/>
    </row>
    <row r="101" spans="2:6">
      <c r="B101" s="1"/>
      <c r="F101" s="1"/>
    </row>
    <row r="102" spans="2:6">
      <c r="B102" s="1"/>
      <c r="F102" s="1"/>
    </row>
    <row r="103" spans="2:6">
      <c r="B103" s="1"/>
      <c r="F103" s="1"/>
    </row>
    <row r="104" spans="2:6">
      <c r="B104" s="1"/>
      <c r="F104" s="1"/>
    </row>
    <row r="105" spans="2:6">
      <c r="B105" s="1"/>
      <c r="F105" s="1"/>
    </row>
    <row r="106" spans="2:6">
      <c r="B106" s="1"/>
      <c r="F106" s="1"/>
    </row>
    <row r="107" spans="2:6">
      <c r="B107" s="1"/>
      <c r="F107" s="1"/>
    </row>
    <row r="108" spans="2:6">
      <c r="B108" s="1"/>
      <c r="F108" s="1"/>
    </row>
    <row r="109" spans="2:6">
      <c r="B109" s="1"/>
      <c r="F109" s="1"/>
    </row>
    <row r="110" spans="2:6">
      <c r="B110" s="1"/>
      <c r="F110" s="1"/>
    </row>
    <row r="111" spans="2:6">
      <c r="B111" s="1"/>
      <c r="F111" s="1"/>
    </row>
    <row r="112" spans="2:6">
      <c r="B112" s="1"/>
      <c r="F112" s="1"/>
    </row>
    <row r="113" spans="2:6">
      <c r="B113" s="1"/>
      <c r="F113" s="1"/>
    </row>
    <row r="114" spans="2:6">
      <c r="B114" s="1"/>
      <c r="F114" s="1"/>
    </row>
    <row r="115" spans="2:6">
      <c r="B115" s="1"/>
      <c r="F115" s="1"/>
    </row>
    <row r="116" spans="2:6">
      <c r="B116" s="1"/>
      <c r="F116" s="1"/>
    </row>
    <row r="117" spans="2:6">
      <c r="B117" s="1"/>
      <c r="F117" s="1"/>
    </row>
    <row r="118" spans="2:6">
      <c r="B118" s="1"/>
      <c r="F118" s="1"/>
    </row>
    <row r="119" spans="2:6">
      <c r="B119" s="1"/>
      <c r="F119" s="1"/>
    </row>
    <row r="120" spans="2:6">
      <c r="B120" s="1"/>
      <c r="F120" s="1"/>
    </row>
    <row r="121" spans="2:6">
      <c r="B121" s="1"/>
      <c r="F121" s="1"/>
    </row>
    <row r="122" spans="2:6">
      <c r="B122" s="1"/>
      <c r="F122" s="1"/>
    </row>
    <row r="123" spans="2:6">
      <c r="B123" s="1"/>
      <c r="F123" s="1"/>
    </row>
    <row r="124" spans="2:6">
      <c r="B124" s="1"/>
      <c r="F124" s="1"/>
    </row>
    <row r="125" spans="2:6">
      <c r="B125" s="1"/>
      <c r="F125" s="1"/>
    </row>
    <row r="126" spans="2:6">
      <c r="B126" s="1"/>
      <c r="F126" s="1"/>
    </row>
    <row r="127" spans="2:6">
      <c r="B127" s="1"/>
      <c r="F127" s="1"/>
    </row>
    <row r="128" spans="2:6">
      <c r="B128" s="1"/>
      <c r="F128" s="1"/>
    </row>
    <row r="129" spans="2:6">
      <c r="B129" s="1"/>
      <c r="F129" s="1"/>
    </row>
    <row r="130" spans="2:6">
      <c r="B130" s="1"/>
      <c r="F130" s="1"/>
    </row>
    <row r="131" spans="2:6">
      <c r="B131" s="1"/>
      <c r="F131" s="1"/>
    </row>
    <row r="132" spans="2:6">
      <c r="B132" s="1"/>
      <c r="F132" s="1"/>
    </row>
    <row r="133" spans="2:6">
      <c r="B133" s="1"/>
      <c r="F133" s="1"/>
    </row>
    <row r="134" spans="2:6">
      <c r="B134" s="1"/>
      <c r="F134" s="1"/>
    </row>
    <row r="135" spans="2:6">
      <c r="B135" s="1"/>
      <c r="F135" s="1"/>
    </row>
    <row r="136" spans="2:6">
      <c r="B136" s="1"/>
      <c r="F136" s="1"/>
    </row>
    <row r="137" spans="2:6">
      <c r="B137" s="1"/>
      <c r="F137" s="1"/>
    </row>
    <row r="138" spans="2:6">
      <c r="B138" s="1"/>
      <c r="F138" s="1"/>
    </row>
    <row r="139" spans="2:6">
      <c r="B139" s="1"/>
      <c r="F139" s="1"/>
    </row>
    <row r="140" spans="2:6">
      <c r="B140" s="1"/>
      <c r="F140" s="1"/>
    </row>
    <row r="141" spans="2:6">
      <c r="B141" s="1"/>
      <c r="F141" s="1"/>
    </row>
    <row r="142" spans="2:6">
      <c r="B142" s="1"/>
      <c r="F142" s="1"/>
    </row>
    <row r="143" spans="2:6">
      <c r="B143" s="1"/>
      <c r="F143" s="1"/>
    </row>
    <row r="144" spans="2:6">
      <c r="B144" s="1"/>
      <c r="F144" s="1"/>
    </row>
    <row r="145" spans="2:6">
      <c r="B145" s="1"/>
      <c r="F145" s="1"/>
    </row>
    <row r="146" spans="2:6">
      <c r="B146" s="1"/>
      <c r="F146" s="1"/>
    </row>
    <row r="147" spans="2:6">
      <c r="B147" s="1"/>
      <c r="F147" s="1"/>
    </row>
    <row r="148" spans="2:6">
      <c r="B148" s="1"/>
      <c r="F148" s="1"/>
    </row>
    <row r="149" spans="2:6">
      <c r="B149" s="1"/>
      <c r="F149" s="1"/>
    </row>
    <row r="150" spans="2:6">
      <c r="B150" s="1"/>
      <c r="F150" s="1"/>
    </row>
    <row r="151" spans="2:6">
      <c r="B151" s="1"/>
      <c r="F151" s="1"/>
    </row>
    <row r="152" spans="2:6">
      <c r="B152" s="1"/>
      <c r="F152" s="1"/>
    </row>
    <row r="153" spans="2:6">
      <c r="B153" s="1"/>
      <c r="F153" s="1"/>
    </row>
    <row r="154" spans="2:6">
      <c r="B154" s="1"/>
      <c r="F154" s="1"/>
    </row>
    <row r="155" spans="2:6">
      <c r="B155" s="1"/>
      <c r="F155" s="1"/>
    </row>
    <row r="156" spans="2:6">
      <c r="B156" s="1"/>
      <c r="F156" s="1"/>
    </row>
    <row r="157" spans="2:6">
      <c r="B157" s="1"/>
      <c r="F157" s="1"/>
    </row>
    <row r="158" spans="2:6">
      <c r="B158" s="1"/>
      <c r="F158" s="1"/>
    </row>
    <row r="159" spans="2:6">
      <c r="B159" s="1"/>
      <c r="F159" s="1"/>
    </row>
    <row r="160" spans="2:6">
      <c r="B160" s="1"/>
      <c r="F160" s="1"/>
    </row>
    <row r="161" spans="2:6">
      <c r="B161" s="1"/>
      <c r="F161" s="1"/>
    </row>
    <row r="162" spans="2:6">
      <c r="B162" s="1"/>
      <c r="F162" s="1"/>
    </row>
    <row r="163" spans="2:6">
      <c r="B163" s="1"/>
      <c r="F163" s="1"/>
    </row>
    <row r="164" spans="2:6">
      <c r="B164" s="1"/>
      <c r="F164" s="1"/>
    </row>
    <row r="165" spans="2:6">
      <c r="B165" s="1"/>
      <c r="F165" s="1"/>
    </row>
    <row r="166" spans="2:6">
      <c r="B166" s="1"/>
      <c r="F166" s="1"/>
    </row>
    <row r="167" spans="2:6">
      <c r="B167" s="1"/>
      <c r="F167" s="1"/>
    </row>
    <row r="168" spans="2:6">
      <c r="B168" s="1"/>
      <c r="F168" s="1"/>
    </row>
    <row r="169" spans="2:6">
      <c r="B169" s="1"/>
      <c r="F169" s="1"/>
    </row>
    <row r="170" spans="2:6">
      <c r="B170" s="1"/>
      <c r="F170" s="1"/>
    </row>
    <row r="171" spans="2:6">
      <c r="B171" s="1"/>
      <c r="F171" s="1"/>
    </row>
    <row r="172" spans="2:6">
      <c r="B172" s="1"/>
      <c r="F172" s="1"/>
    </row>
    <row r="173" spans="2:6">
      <c r="B173" s="1"/>
      <c r="F173" s="1"/>
    </row>
    <row r="174" spans="2:6">
      <c r="B174" s="1"/>
      <c r="F174" s="1"/>
    </row>
    <row r="175" spans="2:6">
      <c r="B175" s="1"/>
      <c r="F175" s="1"/>
    </row>
    <row r="176" spans="2:6">
      <c r="B176" s="1"/>
      <c r="F176" s="1"/>
    </row>
    <row r="177" spans="2:6">
      <c r="B177" s="1"/>
      <c r="F177" s="1"/>
    </row>
    <row r="178" spans="2:6">
      <c r="B178" s="1"/>
      <c r="F178" s="1"/>
    </row>
    <row r="179" spans="2:6">
      <c r="B179" s="1"/>
      <c r="F179" s="1"/>
    </row>
    <row r="180" spans="2:6">
      <c r="B180" s="1"/>
      <c r="F180" s="1"/>
    </row>
    <row r="181" spans="2:6">
      <c r="B181" s="1"/>
      <c r="F181" s="1"/>
    </row>
    <row r="182" spans="2:6">
      <c r="B182" s="1"/>
      <c r="F182" s="1"/>
    </row>
    <row r="183" spans="2:6">
      <c r="B183" s="1"/>
      <c r="F183" s="1"/>
    </row>
    <row r="184" spans="2:6">
      <c r="B184" s="1"/>
      <c r="F184" s="1"/>
    </row>
    <row r="185" spans="2:6">
      <c r="B185" s="1"/>
      <c r="F185" s="1"/>
    </row>
    <row r="186" spans="2:6">
      <c r="B186" s="1"/>
      <c r="F186" s="1"/>
    </row>
    <row r="187" spans="2:6">
      <c r="B187" s="1"/>
      <c r="F187" s="1"/>
    </row>
    <row r="188" spans="2:6">
      <c r="B188" s="1"/>
      <c r="F188" s="1"/>
    </row>
    <row r="189" spans="2:6">
      <c r="B189" s="1"/>
      <c r="F189" s="1"/>
    </row>
    <row r="190" spans="2:6">
      <c r="B190" s="1"/>
      <c r="F190" s="1"/>
    </row>
    <row r="191" spans="2:6">
      <c r="B191" s="1"/>
      <c r="F191" s="1"/>
    </row>
    <row r="192" spans="2:6">
      <c r="B192" s="1"/>
      <c r="F192" s="1"/>
    </row>
    <row r="193" spans="2:6">
      <c r="B193" s="1"/>
      <c r="F193" s="1"/>
    </row>
    <row r="194" spans="2:6">
      <c r="B194" s="1"/>
      <c r="F194" s="1"/>
    </row>
    <row r="195" spans="2:6">
      <c r="B195" s="1"/>
      <c r="F195" s="1"/>
    </row>
    <row r="196" spans="2:6">
      <c r="B196" s="1"/>
      <c r="F196" s="1"/>
    </row>
    <row r="197" spans="2:6">
      <c r="B197" s="1"/>
      <c r="F197" s="1"/>
    </row>
    <row r="198" spans="2:6">
      <c r="B198" s="1"/>
      <c r="F198" s="1"/>
    </row>
    <row r="199" spans="2:6">
      <c r="B199" s="1"/>
      <c r="F199" s="1"/>
    </row>
    <row r="200" spans="2:6">
      <c r="B200" s="1"/>
    </row>
    <row r="201" spans="2:6">
      <c r="B201" s="1"/>
    </row>
    <row r="202" spans="2:6">
      <c r="B202" s="1"/>
    </row>
    <row r="203" spans="2:6">
      <c r="B203" s="1"/>
    </row>
    <row r="204" spans="2:6">
      <c r="B204" s="1"/>
    </row>
    <row r="205" spans="2:6">
      <c r="B205" s="1"/>
    </row>
    <row r="206" spans="2:6">
      <c r="B206" s="1"/>
    </row>
    <row r="207" spans="2:6">
      <c r="B207" s="1"/>
    </row>
    <row r="208" spans="2:6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</sheetData>
  <phoneticPr fontId="0" type="noConversion"/>
  <printOptions horizontalCentered="1"/>
  <pageMargins left="0.5" right="0.5" top="1" bottom="0.7" header="0.75" footer="0.5"/>
  <pageSetup scale="80" orientation="landscape" blackAndWhite="1" r:id="rId1"/>
  <headerFooter alignWithMargins="0">
    <oddHeader>&amp;RExhibit No.___(JKP-10)
Page &amp;P of &amp;N</oddHeader>
    <oddFooter>&amp;L&amp;F  &amp;A&amp;C&amp;P&amp;R&amp;D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/>
  <dimension ref="A2:W169"/>
  <sheetViews>
    <sheetView topLeftCell="C37" zoomScale="85" zoomScaleNormal="85" workbookViewId="0">
      <selection activeCell="H119" sqref="H119"/>
    </sheetView>
  </sheetViews>
  <sheetFormatPr defaultRowHeight="12.75"/>
  <cols>
    <col min="1" max="1" width="2.42578125" style="118" customWidth="1"/>
    <col min="2" max="2" width="31.42578125" style="118" bestFit="1" customWidth="1"/>
    <col min="3" max="3" width="9.85546875" style="118" bestFit="1" customWidth="1"/>
    <col min="4" max="4" width="12.140625" style="118" bestFit="1" customWidth="1"/>
    <col min="5" max="5" width="10.7109375" style="118" bestFit="1" customWidth="1"/>
    <col min="6" max="6" width="12.85546875" style="217" bestFit="1" customWidth="1"/>
    <col min="7" max="7" width="6" style="214" customWidth="1"/>
    <col min="8" max="8" width="10.7109375" style="118" bestFit="1" customWidth="1"/>
    <col min="9" max="9" width="14.5703125" style="217" bestFit="1" customWidth="1"/>
    <col min="10" max="10" width="2.28515625" style="217" customWidth="1"/>
    <col min="11" max="11" width="12.5703125" style="217" bestFit="1" customWidth="1"/>
    <col min="12" max="12" width="6.42578125" style="129" bestFit="1" customWidth="1"/>
    <col min="13" max="13" width="2.140625" style="365" customWidth="1"/>
    <col min="14" max="14" width="2" style="129" customWidth="1"/>
    <col min="15" max="15" width="18.5703125" style="118" bestFit="1" customWidth="1"/>
    <col min="16" max="16" width="11.85546875" style="118" customWidth="1"/>
    <col min="17" max="17" width="14.85546875" style="123" customWidth="1"/>
    <col min="18" max="18" width="13.140625" style="118" customWidth="1"/>
    <col min="19" max="19" width="13.85546875" style="118" bestFit="1" customWidth="1"/>
    <col min="20" max="21" width="14.85546875" style="118" bestFit="1" customWidth="1"/>
    <col min="22" max="16384" width="9.140625" style="118"/>
  </cols>
  <sheetData>
    <row r="2" spans="1:18">
      <c r="B2" s="219" t="s">
        <v>83</v>
      </c>
      <c r="C2" s="119"/>
      <c r="D2" s="119"/>
      <c r="E2" s="119"/>
      <c r="F2" s="120"/>
      <c r="G2" s="121"/>
      <c r="H2" s="119"/>
      <c r="I2" s="120"/>
      <c r="J2" s="120"/>
      <c r="K2" s="120"/>
      <c r="L2" s="122"/>
      <c r="N2" s="128"/>
      <c r="O2" s="125"/>
    </row>
    <row r="3" spans="1:18">
      <c r="B3" s="219" t="s">
        <v>175</v>
      </c>
      <c r="C3" s="119"/>
      <c r="D3" s="119"/>
      <c r="E3" s="119"/>
      <c r="F3" s="119"/>
      <c r="G3" s="124"/>
      <c r="H3" s="119"/>
      <c r="I3" s="119"/>
      <c r="J3" s="119"/>
      <c r="K3" s="119"/>
      <c r="L3" s="119"/>
      <c r="M3" s="455"/>
      <c r="N3" s="128"/>
      <c r="O3" s="125"/>
    </row>
    <row r="4" spans="1:18">
      <c r="B4" s="219" t="s">
        <v>174</v>
      </c>
      <c r="C4" s="119"/>
      <c r="D4" s="119"/>
      <c r="E4" s="119"/>
      <c r="F4" s="119"/>
      <c r="G4" s="124"/>
      <c r="H4" s="119"/>
      <c r="I4" s="119"/>
      <c r="J4" s="119"/>
      <c r="K4" s="119"/>
      <c r="L4" s="119"/>
      <c r="M4" s="455"/>
      <c r="N4" s="128"/>
      <c r="O4" s="125"/>
    </row>
    <row r="5" spans="1:18">
      <c r="B5" s="219" t="s">
        <v>217</v>
      </c>
      <c r="C5" s="119"/>
      <c r="D5" s="119"/>
      <c r="E5" s="119"/>
      <c r="F5" s="119"/>
      <c r="G5" s="124"/>
      <c r="H5" s="119"/>
      <c r="I5" s="119"/>
      <c r="J5" s="119"/>
      <c r="K5" s="119"/>
      <c r="L5" s="119"/>
      <c r="M5" s="455"/>
      <c r="N5" s="128"/>
      <c r="O5" s="125"/>
    </row>
    <row r="6" spans="1:18" ht="13.5" customHeight="1">
      <c r="B6" s="125"/>
      <c r="C6" s="125"/>
      <c r="D6" s="125"/>
      <c r="E6" s="125"/>
      <c r="F6" s="126"/>
      <c r="G6" s="127"/>
      <c r="H6" s="125"/>
      <c r="I6" s="126"/>
      <c r="J6" s="126"/>
      <c r="K6" s="126"/>
      <c r="L6" s="128"/>
    </row>
    <row r="7" spans="1:18" ht="12" customHeight="1">
      <c r="B7" s="130"/>
      <c r="C7" s="131"/>
      <c r="D7" s="411" t="s">
        <v>0</v>
      </c>
      <c r="E7" s="132" t="s">
        <v>1</v>
      </c>
      <c r="F7" s="133"/>
      <c r="G7" s="134"/>
      <c r="H7" s="132" t="s">
        <v>2</v>
      </c>
      <c r="I7" s="133"/>
      <c r="J7" s="135"/>
      <c r="K7" s="563" t="s">
        <v>3</v>
      </c>
      <c r="L7" s="564"/>
      <c r="M7" s="456"/>
      <c r="N7" s="136"/>
      <c r="O7" s="137"/>
    </row>
    <row r="8" spans="1:18">
      <c r="B8" s="138" t="s">
        <v>4</v>
      </c>
      <c r="C8" s="139" t="s">
        <v>91</v>
      </c>
      <c r="D8" s="141" t="s">
        <v>5</v>
      </c>
      <c r="E8" s="139" t="s">
        <v>6</v>
      </c>
      <c r="F8" s="140" t="s">
        <v>39</v>
      </c>
      <c r="G8" s="141"/>
      <c r="H8" s="139" t="s">
        <v>6</v>
      </c>
      <c r="I8" s="140" t="s">
        <v>39</v>
      </c>
      <c r="J8" s="140"/>
      <c r="K8" s="140" t="s">
        <v>7</v>
      </c>
      <c r="L8" s="142" t="s">
        <v>8</v>
      </c>
      <c r="M8" s="354"/>
      <c r="N8" s="143"/>
      <c r="O8" s="137"/>
    </row>
    <row r="9" spans="1:18">
      <c r="A9" s="144"/>
      <c r="B9" s="145"/>
      <c r="C9" s="145"/>
      <c r="D9" s="145"/>
      <c r="E9" s="145"/>
      <c r="F9" s="146"/>
      <c r="G9" s="134"/>
      <c r="H9" s="145"/>
      <c r="I9" s="146"/>
      <c r="J9" s="146"/>
      <c r="K9" s="146"/>
      <c r="L9" s="143"/>
      <c r="M9" s="354"/>
      <c r="N9" s="143"/>
      <c r="O9" s="144"/>
      <c r="P9" s="144"/>
      <c r="Q9" s="147"/>
    </row>
    <row r="10" spans="1:18">
      <c r="B10" s="223" t="s">
        <v>223</v>
      </c>
      <c r="C10" s="148"/>
      <c r="D10" s="149"/>
      <c r="E10" s="149"/>
      <c r="F10" s="150"/>
      <c r="G10" s="151"/>
      <c r="H10" s="149"/>
      <c r="I10" s="150"/>
      <c r="J10" s="150"/>
      <c r="K10" s="150"/>
      <c r="L10" s="152"/>
      <c r="M10" s="457"/>
      <c r="N10" s="153"/>
      <c r="O10" s="154"/>
      <c r="P10" s="144"/>
      <c r="Q10" s="147"/>
      <c r="R10" s="144"/>
    </row>
    <row r="11" spans="1:18">
      <c r="B11" s="155"/>
      <c r="C11" s="144"/>
      <c r="D11" s="156"/>
      <c r="E11" s="144"/>
      <c r="F11" s="157"/>
      <c r="G11" s="158"/>
      <c r="H11" s="144"/>
      <c r="I11" s="157"/>
      <c r="J11" s="157"/>
      <c r="K11" s="157"/>
      <c r="L11" s="159"/>
      <c r="M11" s="457"/>
      <c r="N11" s="153"/>
      <c r="O11" s="280" t="s">
        <v>131</v>
      </c>
      <c r="P11" s="144"/>
      <c r="Q11" s="147"/>
      <c r="R11" s="144"/>
    </row>
    <row r="12" spans="1:18">
      <c r="B12" s="161" t="s">
        <v>202</v>
      </c>
      <c r="C12" s="162" t="s">
        <v>80</v>
      </c>
      <c r="D12" s="259">
        <f>617144+30723</f>
        <v>647867</v>
      </c>
      <c r="E12" s="221">
        <v>17.5</v>
      </c>
      <c r="F12" s="157">
        <f>ROUND(D12*E12,2)</f>
        <v>11337672.5</v>
      </c>
      <c r="G12" s="158"/>
      <c r="H12" s="508">
        <v>17.5</v>
      </c>
      <c r="I12" s="176">
        <f>ROUND(D12*H12,2)</f>
        <v>11337672.5</v>
      </c>
      <c r="J12" s="157"/>
      <c r="K12" s="157">
        <f>I12-F12</f>
        <v>0</v>
      </c>
      <c r="L12" s="159"/>
      <c r="M12" s="457"/>
      <c r="N12" s="153"/>
      <c r="O12" s="278">
        <f>+'Rate Spread-Margin'!J14</f>
        <v>12314618.867851615</v>
      </c>
      <c r="P12" s="144"/>
      <c r="Q12" s="147"/>
      <c r="R12" s="144"/>
    </row>
    <row r="13" spans="1:18">
      <c r="B13" s="155" t="s">
        <v>102</v>
      </c>
      <c r="C13" s="224" t="s">
        <v>15</v>
      </c>
      <c r="D13" s="259">
        <f>186544263+17407246</f>
        <v>203951509</v>
      </c>
      <c r="E13" s="222">
        <v>0.26461000000000001</v>
      </c>
      <c r="F13" s="157">
        <f>ROUND(D13*E13,2)</f>
        <v>53967608.799999997</v>
      </c>
      <c r="G13" s="158"/>
      <c r="H13" s="513">
        <v>0.32499</v>
      </c>
      <c r="I13" s="176">
        <f>ROUND(D13*H13,2)</f>
        <v>66282200.909999996</v>
      </c>
      <c r="J13" s="157"/>
      <c r="K13" s="157">
        <f>I13-F13</f>
        <v>12314592.109999999</v>
      </c>
      <c r="L13" s="159"/>
      <c r="M13" s="457"/>
      <c r="N13" s="153"/>
      <c r="O13" s="304" t="s">
        <v>158</v>
      </c>
      <c r="P13" s="144"/>
      <c r="Q13" s="147"/>
      <c r="R13" s="144"/>
    </row>
    <row r="14" spans="1:18">
      <c r="B14" s="166" t="s">
        <v>10</v>
      </c>
      <c r="C14" s="167"/>
      <c r="D14" s="158"/>
      <c r="E14" s="168"/>
      <c r="F14" s="150">
        <f>SUM(F12:F13)</f>
        <v>65305281.299999997</v>
      </c>
      <c r="G14" s="158"/>
      <c r="H14" s="156"/>
      <c r="I14" s="207">
        <f>SUM(I12:I13)</f>
        <v>77619873.409999996</v>
      </c>
      <c r="J14" s="157"/>
      <c r="K14" s="150">
        <f>SUM(K12:K13)</f>
        <v>12314592.109999999</v>
      </c>
      <c r="L14" s="152">
        <f>ROUND(K14/F14,5)</f>
        <v>0.18856999999999999</v>
      </c>
      <c r="M14" s="457"/>
      <c r="N14" s="153"/>
      <c r="O14" s="279">
        <f>K14+K27-O12</f>
        <v>-26.757851615548134</v>
      </c>
      <c r="P14" s="144"/>
      <c r="Q14" s="147"/>
      <c r="R14" s="144"/>
    </row>
    <row r="15" spans="1:18">
      <c r="B15" s="155"/>
      <c r="C15" s="144"/>
      <c r="D15" s="168"/>
      <c r="E15" s="168"/>
      <c r="F15" s="157"/>
      <c r="G15" s="158"/>
      <c r="H15" s="156"/>
      <c r="I15" s="176"/>
      <c r="J15" s="157"/>
      <c r="K15" s="157"/>
      <c r="L15" s="159"/>
      <c r="M15" s="457"/>
      <c r="N15" s="153"/>
      <c r="O15" s="336"/>
      <c r="P15" s="169"/>
      <c r="Q15" s="170"/>
      <c r="R15" s="144"/>
    </row>
    <row r="16" spans="1:18">
      <c r="B16" s="64" t="s">
        <v>211</v>
      </c>
      <c r="C16" s="224" t="s">
        <v>15</v>
      </c>
      <c r="D16" s="158">
        <f>D13</f>
        <v>203951509</v>
      </c>
      <c r="E16" s="222">
        <v>0.83621000000000001</v>
      </c>
      <c r="F16" s="157">
        <f>E16*D16</f>
        <v>170546291.34088999</v>
      </c>
      <c r="G16" s="168"/>
      <c r="H16" s="452">
        <f>E16</f>
        <v>0.83621000000000001</v>
      </c>
      <c r="I16" s="176">
        <f>H16*D16</f>
        <v>170546291.34088999</v>
      </c>
      <c r="J16" s="157"/>
      <c r="K16" s="157">
        <f>I16-F16</f>
        <v>0</v>
      </c>
      <c r="L16" s="159">
        <f>ROUND(K16/F16,5)</f>
        <v>0</v>
      </c>
      <c r="M16" s="457"/>
      <c r="N16" s="153"/>
      <c r="O16" s="144"/>
      <c r="P16" s="144"/>
      <c r="Q16" s="147"/>
      <c r="R16" s="144"/>
    </row>
    <row r="17" spans="1:18">
      <c r="B17" s="155"/>
      <c r="C17" s="144"/>
      <c r="D17" s="168"/>
      <c r="E17" s="165"/>
      <c r="F17" s="157"/>
      <c r="G17" s="171"/>
      <c r="H17" s="172"/>
      <c r="I17" s="176"/>
      <c r="J17" s="157"/>
      <c r="K17" s="157"/>
      <c r="L17" s="159"/>
      <c r="M17" s="457"/>
      <c r="N17" s="153"/>
      <c r="O17" s="145"/>
      <c r="P17" s="145"/>
      <c r="Q17" s="145"/>
      <c r="R17" s="144"/>
    </row>
    <row r="18" spans="1:18">
      <c r="B18" s="166" t="s">
        <v>38</v>
      </c>
      <c r="C18" s="144"/>
      <c r="D18" s="168"/>
      <c r="E18" s="144"/>
      <c r="F18" s="150">
        <f>F16+F14</f>
        <v>235851572.64089</v>
      </c>
      <c r="G18" s="171"/>
      <c r="H18" s="173"/>
      <c r="I18" s="207">
        <f>I16+I14</f>
        <v>248166164.75088999</v>
      </c>
      <c r="J18" s="157"/>
      <c r="K18" s="150">
        <f>K14+K16</f>
        <v>12314592.109999999</v>
      </c>
      <c r="L18" s="152">
        <f>ROUND(K18/F18,5)</f>
        <v>5.2209999999999999E-2</v>
      </c>
      <c r="M18" s="457"/>
      <c r="N18" s="153"/>
      <c r="O18" s="281"/>
      <c r="P18" s="145"/>
      <c r="Q18" s="145"/>
      <c r="R18" s="144"/>
    </row>
    <row r="19" spans="1:18">
      <c r="B19" s="177"/>
      <c r="C19" s="466"/>
      <c r="D19" s="183"/>
      <c r="E19" s="459"/>
      <c r="F19" s="202"/>
      <c r="G19" s="183"/>
      <c r="H19" s="451"/>
      <c r="I19" s="201"/>
      <c r="J19" s="178"/>
      <c r="K19" s="178"/>
      <c r="L19" s="184"/>
      <c r="M19" s="457"/>
      <c r="N19" s="153"/>
      <c r="O19" s="145"/>
      <c r="P19" s="145"/>
      <c r="Q19" s="145"/>
      <c r="R19" s="144"/>
    </row>
    <row r="20" spans="1:18">
      <c r="A20" s="144"/>
      <c r="B20" s="144"/>
      <c r="C20" s="144"/>
      <c r="D20" s="168"/>
      <c r="E20" s="144"/>
      <c r="F20" s="190"/>
      <c r="G20" s="171"/>
      <c r="H20" s="173"/>
      <c r="I20" s="190"/>
      <c r="J20" s="190"/>
      <c r="K20" s="157"/>
      <c r="L20" s="185"/>
      <c r="M20" s="457"/>
      <c r="N20" s="153"/>
      <c r="O20" s="144"/>
    </row>
    <row r="21" spans="1:18">
      <c r="A21" s="144"/>
      <c r="B21" s="223" t="s">
        <v>224</v>
      </c>
      <c r="C21" s="148"/>
      <c r="D21" s="149"/>
      <c r="E21" s="149"/>
      <c r="F21" s="150"/>
      <c r="G21" s="151"/>
      <c r="H21" s="149"/>
      <c r="I21" s="150"/>
      <c r="J21" s="150"/>
      <c r="K21" s="150"/>
      <c r="L21" s="152"/>
      <c r="M21" s="457"/>
      <c r="N21" s="153"/>
      <c r="O21" s="144"/>
    </row>
    <row r="22" spans="1:18">
      <c r="A22" s="144"/>
      <c r="B22" s="155"/>
      <c r="C22" s="144"/>
      <c r="D22" s="156"/>
      <c r="E22" s="144"/>
      <c r="F22" s="157"/>
      <c r="G22" s="158"/>
      <c r="H22" s="144"/>
      <c r="I22" s="157"/>
      <c r="J22" s="157"/>
      <c r="K22" s="157"/>
      <c r="L22" s="159"/>
      <c r="M22" s="457"/>
      <c r="N22" s="153"/>
      <c r="O22" s="144"/>
    </row>
    <row r="23" spans="1:18">
      <c r="A23" s="144"/>
      <c r="B23" s="161" t="s">
        <v>202</v>
      </c>
      <c r="C23" s="162" t="s">
        <v>80</v>
      </c>
      <c r="D23" s="259"/>
      <c r="E23" s="221"/>
      <c r="F23" s="157">
        <f>ROUND(D23*E23,2)</f>
        <v>0</v>
      </c>
      <c r="G23" s="158"/>
      <c r="H23" s="508">
        <f>H12+300</f>
        <v>317.5</v>
      </c>
      <c r="I23" s="176">
        <f>ROUND(D23*H23,2)</f>
        <v>0</v>
      </c>
      <c r="J23" s="157"/>
      <c r="K23" s="157">
        <f>I23-F23</f>
        <v>0</v>
      </c>
      <c r="L23" s="159"/>
      <c r="M23" s="457"/>
      <c r="N23" s="153"/>
      <c r="O23" s="144"/>
    </row>
    <row r="24" spans="1:18">
      <c r="A24" s="144"/>
      <c r="B24" s="155" t="s">
        <v>102</v>
      </c>
      <c r="C24" s="224" t="s">
        <v>15</v>
      </c>
      <c r="D24" s="259"/>
      <c r="E24" s="222"/>
      <c r="F24" s="157">
        <f>ROUND(D24*E24,2)</f>
        <v>0</v>
      </c>
      <c r="G24" s="158"/>
      <c r="H24" s="509">
        <f>H13</f>
        <v>0.32499</v>
      </c>
      <c r="I24" s="176">
        <f>ROUND(D24*H24,2)</f>
        <v>0</v>
      </c>
      <c r="J24" s="157"/>
      <c r="K24" s="157">
        <f>I24-F24</f>
        <v>0</v>
      </c>
      <c r="L24" s="159"/>
      <c r="M24" s="457"/>
      <c r="N24" s="153"/>
      <c r="O24" s="144"/>
    </row>
    <row r="25" spans="1:18">
      <c r="A25" s="144"/>
      <c r="B25" s="437" t="s">
        <v>122</v>
      </c>
      <c r="C25" s="224"/>
      <c r="D25" s="259"/>
      <c r="E25" s="222"/>
      <c r="F25" s="157">
        <f>ROUND(D25*E25,2)</f>
        <v>0</v>
      </c>
      <c r="G25" s="158"/>
      <c r="H25" s="309">
        <v>0</v>
      </c>
      <c r="I25" s="176">
        <f>ROUND(D25*H25,2)</f>
        <v>0</v>
      </c>
      <c r="J25" s="157"/>
      <c r="K25" s="157">
        <f>I25-F25</f>
        <v>0</v>
      </c>
      <c r="L25" s="159"/>
      <c r="M25" s="457"/>
      <c r="N25" s="153"/>
      <c r="O25" s="144"/>
    </row>
    <row r="26" spans="1:18">
      <c r="A26" s="144"/>
      <c r="B26" s="437" t="s">
        <v>78</v>
      </c>
      <c r="C26" s="224"/>
      <c r="D26" s="259"/>
      <c r="E26" s="222"/>
      <c r="F26" s="157">
        <f>ROUND(D26*E26,2)</f>
        <v>0</v>
      </c>
      <c r="G26" s="158"/>
      <c r="H26" s="309">
        <v>-5.0000000000000001E-3</v>
      </c>
      <c r="I26" s="176">
        <f>ROUND(D26*H26,2)</f>
        <v>0</v>
      </c>
      <c r="J26" s="157"/>
      <c r="K26" s="157">
        <f>I26-F26</f>
        <v>0</v>
      </c>
      <c r="L26" s="159"/>
      <c r="M26" s="457"/>
      <c r="N26" s="153"/>
      <c r="O26" s="144"/>
    </row>
    <row r="27" spans="1:18">
      <c r="A27" s="144"/>
      <c r="B27" s="166" t="s">
        <v>10</v>
      </c>
      <c r="C27" s="167"/>
      <c r="D27" s="158"/>
      <c r="E27" s="168"/>
      <c r="F27" s="150">
        <f>SUM(F23:F24)</f>
        <v>0</v>
      </c>
      <c r="G27" s="158"/>
      <c r="H27" s="156"/>
      <c r="I27" s="207">
        <f>SUM(I23:I26)</f>
        <v>0</v>
      </c>
      <c r="J27" s="157"/>
      <c r="K27" s="207">
        <f>SUM(K23:K26)</f>
        <v>0</v>
      </c>
      <c r="L27" s="152"/>
      <c r="M27" s="457"/>
      <c r="N27" s="153"/>
      <c r="O27" s="144"/>
    </row>
    <row r="28" spans="1:18">
      <c r="A28" s="144"/>
      <c r="B28" s="155"/>
      <c r="C28" s="144"/>
      <c r="D28" s="168"/>
      <c r="E28" s="168"/>
      <c r="F28" s="157"/>
      <c r="G28" s="158"/>
      <c r="H28" s="156"/>
      <c r="I28" s="176"/>
      <c r="J28" s="157"/>
      <c r="K28" s="157"/>
      <c r="L28" s="159"/>
      <c r="M28" s="457"/>
      <c r="N28" s="153"/>
      <c r="O28" s="144"/>
    </row>
    <row r="29" spans="1:18">
      <c r="A29" s="144"/>
      <c r="B29" s="435" t="s">
        <v>160</v>
      </c>
      <c r="C29" s="224" t="s">
        <v>15</v>
      </c>
      <c r="D29" s="158"/>
      <c r="E29" s="222"/>
      <c r="F29" s="157">
        <f>E29*D29</f>
        <v>0</v>
      </c>
      <c r="G29" s="168"/>
      <c r="H29" s="222">
        <v>6.9999999999999999E-4</v>
      </c>
      <c r="I29" s="176">
        <f>H29*D29</f>
        <v>0</v>
      </c>
      <c r="J29" s="157"/>
      <c r="K29" s="157">
        <f>I29-F29</f>
        <v>0</v>
      </c>
      <c r="L29" s="159"/>
      <c r="M29" s="457"/>
      <c r="N29" s="153"/>
      <c r="O29" s="144"/>
    </row>
    <row r="30" spans="1:18">
      <c r="A30" s="144"/>
      <c r="B30" s="166" t="s">
        <v>38</v>
      </c>
      <c r="C30" s="144"/>
      <c r="D30" s="168"/>
      <c r="E30" s="144"/>
      <c r="F30" s="150">
        <f>F29+F27</f>
        <v>0</v>
      </c>
      <c r="G30" s="171"/>
      <c r="H30" s="173"/>
      <c r="I30" s="207">
        <f>I29+I27</f>
        <v>0</v>
      </c>
      <c r="J30" s="157"/>
      <c r="K30" s="150">
        <f>K27+K29</f>
        <v>0</v>
      </c>
      <c r="L30" s="152"/>
      <c r="M30" s="457"/>
      <c r="N30" s="153"/>
      <c r="O30" s="144"/>
    </row>
    <row r="31" spans="1:18">
      <c r="A31" s="144"/>
      <c r="B31" s="177"/>
      <c r="C31" s="466"/>
      <c r="D31" s="183"/>
      <c r="E31" s="459"/>
      <c r="F31" s="202"/>
      <c r="G31" s="183"/>
      <c r="H31" s="451"/>
      <c r="I31" s="201"/>
      <c r="J31" s="178"/>
      <c r="K31" s="178"/>
      <c r="L31" s="184"/>
      <c r="M31" s="457"/>
      <c r="N31" s="153"/>
      <c r="O31" s="144"/>
    </row>
    <row r="32" spans="1:18">
      <c r="A32" s="144"/>
      <c r="B32" s="144"/>
      <c r="C32" s="144"/>
      <c r="D32" s="168"/>
      <c r="E32" s="144"/>
      <c r="F32" s="190"/>
      <c r="G32" s="171"/>
      <c r="H32" s="173"/>
      <c r="I32" s="190"/>
      <c r="J32" s="190"/>
      <c r="K32" s="157"/>
      <c r="L32" s="185"/>
      <c r="M32" s="457"/>
      <c r="N32" s="153"/>
      <c r="O32" s="144"/>
    </row>
    <row r="33" spans="1:15">
      <c r="A33" s="144"/>
      <c r="B33" s="223" t="s">
        <v>225</v>
      </c>
      <c r="C33" s="148"/>
      <c r="D33" s="149"/>
      <c r="E33" s="149"/>
      <c r="F33" s="150"/>
      <c r="G33" s="151"/>
      <c r="H33" s="149"/>
      <c r="I33" s="150"/>
      <c r="J33" s="150"/>
      <c r="K33" s="150"/>
      <c r="L33" s="152"/>
      <c r="M33" s="457"/>
      <c r="N33" s="153"/>
      <c r="O33" s="144"/>
    </row>
    <row r="34" spans="1:15">
      <c r="A34" s="144"/>
      <c r="B34" s="155"/>
      <c r="C34" s="144"/>
      <c r="D34" s="156"/>
      <c r="E34" s="144"/>
      <c r="F34" s="157"/>
      <c r="G34" s="158"/>
      <c r="H34" s="144"/>
      <c r="I34" s="157"/>
      <c r="J34" s="157"/>
      <c r="K34" s="157"/>
      <c r="L34" s="159"/>
      <c r="M34" s="457"/>
      <c r="N34" s="153"/>
      <c r="O34" s="144"/>
    </row>
    <row r="35" spans="1:15">
      <c r="A35" s="144"/>
      <c r="B35" s="161" t="s">
        <v>202</v>
      </c>
      <c r="C35" s="162" t="s">
        <v>80</v>
      </c>
      <c r="D35" s="180">
        <f>D12+D23</f>
        <v>647867</v>
      </c>
      <c r="E35" s="221"/>
      <c r="F35" s="157">
        <f>F12+F23</f>
        <v>11337672.5</v>
      </c>
      <c r="G35" s="158"/>
      <c r="H35" s="220"/>
      <c r="I35" s="157">
        <f>I12+I23</f>
        <v>11337672.5</v>
      </c>
      <c r="J35" s="157"/>
      <c r="K35" s="157">
        <f>I35-F35</f>
        <v>0</v>
      </c>
      <c r="L35" s="159"/>
      <c r="M35" s="457"/>
      <c r="N35" s="153"/>
      <c r="O35" s="144"/>
    </row>
    <row r="36" spans="1:15">
      <c r="A36" s="144"/>
      <c r="B36" s="155" t="s">
        <v>102</v>
      </c>
      <c r="C36" s="224" t="s">
        <v>15</v>
      </c>
      <c r="D36" s="180">
        <f>D13+D24</f>
        <v>203951509</v>
      </c>
      <c r="E36" s="222"/>
      <c r="F36" s="157">
        <f>F13+F24</f>
        <v>53967608.799999997</v>
      </c>
      <c r="G36" s="158"/>
      <c r="H36" s="309"/>
      <c r="I36" s="157">
        <f>I13+I24</f>
        <v>66282200.909999996</v>
      </c>
      <c r="J36" s="157"/>
      <c r="K36" s="157">
        <f>I36-F36</f>
        <v>12314592.109999999</v>
      </c>
      <c r="L36" s="159"/>
      <c r="M36" s="457"/>
      <c r="N36" s="153"/>
      <c r="O36" s="144"/>
    </row>
    <row r="37" spans="1:15">
      <c r="A37" s="144"/>
      <c r="B37" s="166" t="s">
        <v>10</v>
      </c>
      <c r="C37" s="167"/>
      <c r="D37" s="158"/>
      <c r="E37" s="168"/>
      <c r="F37" s="150">
        <f>SUM(F35:F36)</f>
        <v>65305281.299999997</v>
      </c>
      <c r="G37" s="158"/>
      <c r="H37" s="156"/>
      <c r="I37" s="150">
        <f>SUM(I35:I36)</f>
        <v>77619873.409999996</v>
      </c>
      <c r="J37" s="157"/>
      <c r="K37" s="150">
        <f>SUM(K35:K36)</f>
        <v>12314592.109999999</v>
      </c>
      <c r="L37" s="152">
        <f>ROUND(K37/F37,5)</f>
        <v>0.18856999999999999</v>
      </c>
      <c r="M37" s="457"/>
      <c r="N37" s="153"/>
      <c r="O37" s="144"/>
    </row>
    <row r="38" spans="1:15">
      <c r="A38" s="144"/>
      <c r="B38" s="155"/>
      <c r="C38" s="144"/>
      <c r="D38" s="168"/>
      <c r="E38" s="168"/>
      <c r="F38" s="157"/>
      <c r="G38" s="158"/>
      <c r="H38" s="156"/>
      <c r="I38" s="157"/>
      <c r="J38" s="157"/>
      <c r="K38" s="157"/>
      <c r="L38" s="159"/>
      <c r="M38" s="457"/>
      <c r="N38" s="153"/>
      <c r="O38" s="144"/>
    </row>
    <row r="39" spans="1:15">
      <c r="A39" s="144"/>
      <c r="B39" s="155"/>
      <c r="C39" s="144"/>
      <c r="D39" s="168"/>
      <c r="E39" s="168"/>
      <c r="F39" s="157"/>
      <c r="G39" s="158"/>
      <c r="H39" s="156"/>
      <c r="I39" s="157"/>
      <c r="J39" s="157"/>
      <c r="K39" s="157"/>
      <c r="L39" s="159"/>
      <c r="M39" s="457"/>
      <c r="N39" s="153"/>
      <c r="O39" s="144"/>
    </row>
    <row r="40" spans="1:15">
      <c r="A40" s="144"/>
      <c r="B40" s="64" t="s">
        <v>211</v>
      </c>
      <c r="C40" s="224" t="s">
        <v>15</v>
      </c>
      <c r="D40" s="158">
        <f>D36</f>
        <v>203951509</v>
      </c>
      <c r="E40" s="222"/>
      <c r="F40" s="157">
        <f>F16+F29</f>
        <v>170546291.34088999</v>
      </c>
      <c r="G40" s="168"/>
      <c r="H40" s="452"/>
      <c r="I40" s="157">
        <f>I16+I29</f>
        <v>170546291.34088999</v>
      </c>
      <c r="J40" s="157"/>
      <c r="K40" s="150">
        <f>I40-F40</f>
        <v>0</v>
      </c>
      <c r="L40" s="152">
        <f>ROUND(K40/F40,5)</f>
        <v>0</v>
      </c>
      <c r="M40" s="457"/>
      <c r="N40" s="153"/>
      <c r="O40" s="144"/>
    </row>
    <row r="41" spans="1:15">
      <c r="A41" s="144"/>
      <c r="B41" s="166" t="s">
        <v>38</v>
      </c>
      <c r="C41" s="144"/>
      <c r="D41" s="168"/>
      <c r="E41" s="144"/>
      <c r="F41" s="150">
        <f>F40+F37</f>
        <v>235851572.64089</v>
      </c>
      <c r="G41" s="171"/>
      <c r="H41" s="173"/>
      <c r="I41" s="150">
        <f>I40+I37</f>
        <v>248166164.75088999</v>
      </c>
      <c r="J41" s="157"/>
      <c r="K41" s="150">
        <f>K37+K40</f>
        <v>12314592.109999999</v>
      </c>
      <c r="L41" s="152">
        <f>ROUND(K41/F41,5)</f>
        <v>5.2209999999999999E-2</v>
      </c>
      <c r="M41" s="457"/>
      <c r="N41" s="153"/>
      <c r="O41" s="144"/>
    </row>
    <row r="42" spans="1:15">
      <c r="A42" s="144"/>
      <c r="B42" s="177"/>
      <c r="C42" s="466"/>
      <c r="D42" s="183"/>
      <c r="E42" s="459"/>
      <c r="F42" s="202"/>
      <c r="G42" s="183"/>
      <c r="H42" s="451"/>
      <c r="I42" s="201"/>
      <c r="J42" s="178"/>
      <c r="K42" s="178"/>
      <c r="L42" s="184"/>
      <c r="M42" s="457"/>
      <c r="N42" s="153"/>
      <c r="O42" s="144"/>
    </row>
    <row r="43" spans="1:15">
      <c r="A43" s="144"/>
      <c r="B43" s="144"/>
      <c r="C43" s="144"/>
      <c r="D43" s="168"/>
      <c r="E43" s="144"/>
      <c r="F43" s="190"/>
      <c r="G43" s="171"/>
      <c r="H43" s="173"/>
      <c r="I43" s="190"/>
      <c r="J43" s="190"/>
      <c r="K43" s="157"/>
      <c r="L43" s="185"/>
      <c r="M43" s="457"/>
      <c r="N43" s="153"/>
      <c r="O43" s="144"/>
    </row>
    <row r="44" spans="1:15">
      <c r="A44" s="144"/>
      <c r="B44" s="144"/>
      <c r="C44" s="144"/>
      <c r="D44" s="168"/>
      <c r="E44" s="144"/>
      <c r="F44" s="190"/>
      <c r="G44" s="171"/>
      <c r="H44" s="173"/>
      <c r="I44" s="190"/>
      <c r="J44" s="190"/>
      <c r="K44" s="157"/>
      <c r="L44" s="185"/>
      <c r="M44" s="457"/>
      <c r="N44" s="153"/>
      <c r="O44" s="144"/>
    </row>
    <row r="45" spans="1:15">
      <c r="B45" s="434" t="s">
        <v>108</v>
      </c>
      <c r="C45" s="148"/>
      <c r="D45" s="186"/>
      <c r="E45" s="149"/>
      <c r="F45" s="150"/>
      <c r="G45" s="186"/>
      <c r="H45" s="149"/>
      <c r="I45" s="150"/>
      <c r="J45" s="150"/>
      <c r="K45" s="150"/>
      <c r="L45" s="152"/>
      <c r="M45" s="457"/>
    </row>
    <row r="46" spans="1:15">
      <c r="B46" s="155"/>
      <c r="C46" s="144"/>
      <c r="D46" s="168"/>
      <c r="E46" s="144"/>
      <c r="F46" s="157"/>
      <c r="G46" s="187"/>
      <c r="H46" s="144"/>
      <c r="I46" s="157"/>
      <c r="J46" s="157"/>
      <c r="K46" s="157"/>
      <c r="L46" s="159"/>
      <c r="M46" s="457"/>
    </row>
    <row r="47" spans="1:15">
      <c r="B47" s="155" t="s">
        <v>90</v>
      </c>
      <c r="C47" s="144"/>
      <c r="D47" s="259">
        <f>13550+11364+790106</f>
        <v>815020</v>
      </c>
      <c r="E47" s="221">
        <v>0.1</v>
      </c>
      <c r="F47" s="157">
        <f>ROUND(D47*E47,2)</f>
        <v>81502</v>
      </c>
      <c r="G47" s="158"/>
      <c r="H47" s="165">
        <f>E47</f>
        <v>0.1</v>
      </c>
      <c r="I47" s="157">
        <f>ROUND(D47*H47,2)</f>
        <v>81502</v>
      </c>
      <c r="J47" s="157"/>
      <c r="K47" s="157"/>
      <c r="L47" s="159"/>
      <c r="M47" s="457"/>
    </row>
    <row r="48" spans="1:15">
      <c r="B48" s="161" t="s">
        <v>10</v>
      </c>
      <c r="C48" s="167"/>
      <c r="D48" s="158"/>
      <c r="E48" s="144"/>
      <c r="F48" s="150">
        <f>SUM(F47:F47)</f>
        <v>81502</v>
      </c>
      <c r="G48" s="158"/>
      <c r="H48" s="156"/>
      <c r="I48" s="150">
        <f>SUM(I47:I47)</f>
        <v>81502</v>
      </c>
      <c r="J48" s="157"/>
      <c r="K48" s="150">
        <f>I48-F48</f>
        <v>0</v>
      </c>
      <c r="L48" s="152">
        <f>ROUND(K48/F48,5)</f>
        <v>0</v>
      </c>
      <c r="M48" s="457"/>
    </row>
    <row r="49" spans="1:23">
      <c r="B49" s="200"/>
      <c r="C49" s="154"/>
      <c r="D49" s="183"/>
      <c r="E49" s="154"/>
      <c r="F49" s="216"/>
      <c r="G49" s="183"/>
      <c r="H49" s="154"/>
      <c r="I49" s="178"/>
      <c r="J49" s="178"/>
      <c r="K49" s="178"/>
      <c r="L49" s="184"/>
      <c r="M49" s="457"/>
    </row>
    <row r="50" spans="1:23">
      <c r="A50" s="144"/>
      <c r="B50" s="168"/>
      <c r="C50" s="144"/>
      <c r="D50" s="168"/>
      <c r="E50" s="144"/>
      <c r="F50" s="190"/>
      <c r="G50" s="171"/>
      <c r="H50" s="173"/>
      <c r="I50" s="190"/>
      <c r="J50" s="190"/>
      <c r="K50" s="157"/>
      <c r="L50" s="185"/>
      <c r="M50" s="457"/>
      <c r="N50" s="153"/>
      <c r="O50" s="144"/>
    </row>
    <row r="51" spans="1:23">
      <c r="B51" s="434" t="s">
        <v>198</v>
      </c>
      <c r="C51" s="148"/>
      <c r="D51" s="186"/>
      <c r="E51" s="149"/>
      <c r="F51" s="150"/>
      <c r="G51" s="186"/>
      <c r="H51" s="149"/>
      <c r="I51" s="150"/>
      <c r="J51" s="150"/>
      <c r="K51" s="150"/>
      <c r="L51" s="152"/>
      <c r="M51" s="457"/>
      <c r="N51" s="153"/>
    </row>
    <row r="52" spans="1:23">
      <c r="B52" s="409"/>
      <c r="C52" s="144"/>
      <c r="D52" s="168"/>
      <c r="E52" s="168"/>
      <c r="F52" s="157"/>
      <c r="G52" s="187"/>
      <c r="H52" s="144"/>
      <c r="I52" s="157"/>
      <c r="J52" s="157"/>
      <c r="K52" s="157"/>
      <c r="L52" s="159"/>
      <c r="M52" s="457"/>
      <c r="N52" s="191"/>
      <c r="O52" s="283" t="s">
        <v>132</v>
      </c>
    </row>
    <row r="53" spans="1:23">
      <c r="B53" s="161" t="s">
        <v>202</v>
      </c>
      <c r="C53" s="162" t="s">
        <v>80</v>
      </c>
      <c r="D53" s="259">
        <f>14767+1499</f>
        <v>16266</v>
      </c>
      <c r="E53" s="221">
        <v>80</v>
      </c>
      <c r="F53" s="157">
        <f>ROUND(D53*E53,2)</f>
        <v>1301280</v>
      </c>
      <c r="G53" s="158"/>
      <c r="H53" s="508">
        <v>80</v>
      </c>
      <c r="I53" s="157">
        <f>ROUND(D53*H53,2)</f>
        <v>1301280</v>
      </c>
      <c r="J53" s="157"/>
      <c r="K53" s="157">
        <f>I53-F53</f>
        <v>0</v>
      </c>
      <c r="L53" s="159"/>
      <c r="M53" s="457"/>
      <c r="N53" s="191"/>
      <c r="O53" s="282">
        <f>'Rate Spread-Margin'!J15</f>
        <v>0</v>
      </c>
    </row>
    <row r="54" spans="1:23">
      <c r="B54" s="409" t="s">
        <v>16</v>
      </c>
      <c r="C54" s="162" t="s">
        <v>80</v>
      </c>
      <c r="D54" s="158">
        <f>D53</f>
        <v>16266</v>
      </c>
      <c r="E54" s="221">
        <v>79.84</v>
      </c>
      <c r="F54" s="190">
        <f>D54*E54</f>
        <v>1298677.44</v>
      </c>
      <c r="G54" s="181"/>
      <c r="H54" s="163">
        <f>ROUND(+H59*900,2)</f>
        <v>96.73</v>
      </c>
      <c r="I54" s="190">
        <f>ROUND(D54*H54,2)</f>
        <v>1573410.18</v>
      </c>
      <c r="J54" s="190"/>
      <c r="K54" s="157">
        <f>I54-F54</f>
        <v>274732.74</v>
      </c>
      <c r="L54" s="193"/>
      <c r="M54" s="457"/>
      <c r="N54" s="194"/>
      <c r="O54" s="304" t="s">
        <v>158</v>
      </c>
    </row>
    <row r="55" spans="1:23">
      <c r="B55" s="435" t="s">
        <v>36</v>
      </c>
      <c r="C55" s="224" t="s">
        <v>90</v>
      </c>
      <c r="D55" s="259">
        <f>2389063+840864</f>
        <v>3229927</v>
      </c>
      <c r="E55" s="221">
        <v>0.7</v>
      </c>
      <c r="F55" s="190">
        <f>ROUND(D55*E55,2)</f>
        <v>2260948.9</v>
      </c>
      <c r="G55" s="158"/>
      <c r="H55" s="310">
        <v>1.5</v>
      </c>
      <c r="I55" s="190">
        <f>ROUND(D55*H55,2)</f>
        <v>4844890.5</v>
      </c>
      <c r="J55" s="190"/>
      <c r="K55" s="157">
        <f>I55-F55</f>
        <v>2583941.6</v>
      </c>
      <c r="L55" s="193"/>
      <c r="M55" s="457"/>
      <c r="N55" s="194"/>
      <c r="O55" s="195">
        <f>K61+K84-O53</f>
        <v>-43.251477886232351</v>
      </c>
    </row>
    <row r="56" spans="1:23">
      <c r="B56" s="409"/>
      <c r="C56" s="144"/>
      <c r="D56" s="158"/>
      <c r="E56" s="163"/>
      <c r="F56" s="239"/>
      <c r="G56" s="158"/>
      <c r="H56" s="164"/>
      <c r="I56" s="190"/>
      <c r="J56" s="190"/>
      <c r="K56" s="188"/>
      <c r="L56" s="193"/>
      <c r="M56" s="457"/>
      <c r="N56" s="143"/>
      <c r="O56" s="335"/>
    </row>
    <row r="57" spans="1:23">
      <c r="B57" s="435" t="s">
        <v>109</v>
      </c>
      <c r="C57" s="144"/>
      <c r="D57" s="158"/>
      <c r="E57" s="163"/>
      <c r="F57" s="190"/>
      <c r="G57" s="158"/>
      <c r="H57" s="164"/>
      <c r="I57" s="190"/>
      <c r="J57" s="190"/>
      <c r="K57" s="188"/>
      <c r="L57" s="193"/>
      <c r="M57" s="457"/>
      <c r="N57" s="143"/>
      <c r="O57" s="226"/>
      <c r="P57" s="199"/>
      <c r="Q57" s="362"/>
      <c r="R57" s="199"/>
    </row>
    <row r="58" spans="1:23">
      <c r="B58" s="433" t="s">
        <v>156</v>
      </c>
      <c r="C58" s="224" t="s">
        <v>15</v>
      </c>
      <c r="D58" s="259">
        <f>7124900+724954</f>
        <v>7849854</v>
      </c>
      <c r="E58" s="222">
        <v>0.15967999999999999</v>
      </c>
      <c r="F58" s="157"/>
      <c r="G58" s="158"/>
      <c r="H58" s="514">
        <f>H59</f>
        <v>0.10748000000000001</v>
      </c>
      <c r="I58" s="364" t="s">
        <v>173</v>
      </c>
      <c r="J58" s="157"/>
      <c r="K58" s="157"/>
      <c r="L58" s="159"/>
      <c r="M58" s="457"/>
      <c r="N58" s="153"/>
      <c r="O58" s="199"/>
      <c r="P58" s="199"/>
      <c r="Q58" s="361"/>
      <c r="R58" s="199"/>
    </row>
    <row r="59" spans="1:23">
      <c r="B59" s="409" t="s">
        <v>17</v>
      </c>
      <c r="C59" s="224" t="s">
        <v>15</v>
      </c>
      <c r="D59" s="259">
        <f>26314578+5264945</f>
        <v>31579523</v>
      </c>
      <c r="E59" s="222">
        <v>0.15967999999999999</v>
      </c>
      <c r="F59" s="157">
        <f>ROUND(D59*E59,2)</f>
        <v>5042618.2300000004</v>
      </c>
      <c r="G59" s="158"/>
      <c r="H59" s="509">
        <f>ROUND(E59*(1+$O$59),5)</f>
        <v>0.10748000000000001</v>
      </c>
      <c r="I59" s="157">
        <f>ROUND(D59*H59,2)</f>
        <v>3394167.13</v>
      </c>
      <c r="J59" s="157"/>
      <c r="K59" s="157">
        <f>I59-F59</f>
        <v>-1648451.1000000006</v>
      </c>
      <c r="L59" s="159"/>
      <c r="M59" s="457"/>
      <c r="N59" s="153"/>
      <c r="O59" s="360">
        <v>-0.32689525947334691</v>
      </c>
      <c r="P59" s="134"/>
      <c r="Q59" s="361"/>
      <c r="R59" s="416"/>
    </row>
    <row r="60" spans="1:23">
      <c r="B60" s="409" t="s">
        <v>18</v>
      </c>
      <c r="C60" s="224" t="s">
        <v>15</v>
      </c>
      <c r="D60" s="259">
        <f>13543736+15027660</f>
        <v>28571396</v>
      </c>
      <c r="E60" s="222">
        <v>0.1303</v>
      </c>
      <c r="F60" s="157">
        <f>ROUND(D60*E60,2)</f>
        <v>3722852.9</v>
      </c>
      <c r="G60" s="158"/>
      <c r="H60" s="509">
        <f>E60*(1+$O$59)</f>
        <v>8.7705547690622887E-2</v>
      </c>
      <c r="I60" s="157">
        <f>ROUND(D60*H60,2)</f>
        <v>2505869.9300000002</v>
      </c>
      <c r="J60" s="157"/>
      <c r="K60" s="157">
        <f>I60-F60</f>
        <v>-1216982.9699999997</v>
      </c>
      <c r="L60" s="159"/>
      <c r="M60" s="457"/>
      <c r="N60" s="153"/>
      <c r="O60" s="227"/>
      <c r="P60" s="134"/>
      <c r="Q60" s="361"/>
      <c r="R60" s="417"/>
    </row>
    <row r="61" spans="1:23">
      <c r="B61" s="161" t="s">
        <v>10</v>
      </c>
      <c r="C61" s="167"/>
      <c r="D61" s="151">
        <f>SUM(D58:D60)</f>
        <v>68000773</v>
      </c>
      <c r="E61" s="156"/>
      <c r="F61" s="264">
        <f>SUM(F53:F60)</f>
        <v>13626377.470000001</v>
      </c>
      <c r="G61" s="158"/>
      <c r="H61" s="156"/>
      <c r="I61" s="264">
        <f>SUM(I53:I55,I59:I60)</f>
        <v>13619617.739999998</v>
      </c>
      <c r="J61" s="190"/>
      <c r="K61" s="264">
        <f>SUM(K53:K55,K59:K60)</f>
        <v>-6759.730000000447</v>
      </c>
      <c r="L61" s="152">
        <f>ROUND(K61/F61,5)</f>
        <v>-5.0000000000000001E-4</v>
      </c>
      <c r="M61" s="457"/>
      <c r="N61" s="153"/>
      <c r="O61" s="134"/>
      <c r="P61" s="134"/>
      <c r="Q61" s="134"/>
      <c r="R61" s="199"/>
    </row>
    <row r="62" spans="1:23">
      <c r="B62" s="161"/>
      <c r="C62" s="167"/>
      <c r="D62" s="158"/>
      <c r="E62" s="144"/>
      <c r="F62" s="157"/>
      <c r="G62" s="158"/>
      <c r="H62" s="156"/>
      <c r="I62" s="190"/>
      <c r="J62" s="190"/>
      <c r="K62" s="157"/>
      <c r="L62" s="159"/>
      <c r="M62" s="457"/>
      <c r="N62" s="153"/>
      <c r="O62" s="228"/>
      <c r="P62" s="229"/>
      <c r="Q62" s="230"/>
      <c r="R62" s="199"/>
    </row>
    <row r="63" spans="1:23">
      <c r="B63" s="64" t="s">
        <v>211</v>
      </c>
      <c r="C63" s="167"/>
      <c r="D63" s="168"/>
      <c r="E63" s="144"/>
      <c r="F63" s="157"/>
      <c r="G63" s="158"/>
      <c r="H63" s="156"/>
      <c r="I63" s="190"/>
      <c r="J63" s="190"/>
      <c r="K63" s="157"/>
      <c r="L63" s="159"/>
      <c r="M63" s="457"/>
      <c r="N63" s="153"/>
      <c r="O63" s="231"/>
      <c r="P63" s="229"/>
      <c r="Q63" s="230"/>
      <c r="R63" s="199"/>
    </row>
    <row r="64" spans="1:23">
      <c r="B64" s="435" t="s">
        <v>110</v>
      </c>
      <c r="C64" s="224" t="s">
        <v>15</v>
      </c>
      <c r="D64" s="158">
        <f>D61</f>
        <v>68000773</v>
      </c>
      <c r="E64" s="222">
        <v>0.76290999999999998</v>
      </c>
      <c r="F64" s="157">
        <f>E64*D64</f>
        <v>51878469.729429998</v>
      </c>
      <c r="G64" s="168"/>
      <c r="H64" s="452">
        <f>E64</f>
        <v>0.76290999999999998</v>
      </c>
      <c r="I64" s="157">
        <f>H64*D64</f>
        <v>51878469.729429998</v>
      </c>
      <c r="J64" s="157"/>
      <c r="K64" s="157">
        <f>I64-F64</f>
        <v>0</v>
      </c>
      <c r="L64" s="159"/>
      <c r="M64" s="457"/>
      <c r="N64" s="144"/>
      <c r="O64" s="199"/>
      <c r="P64" s="199"/>
      <c r="Q64" s="205"/>
      <c r="R64" s="199"/>
      <c r="W64" s="198"/>
    </row>
    <row r="65" spans="1:18">
      <c r="B65" s="435" t="s">
        <v>36</v>
      </c>
      <c r="C65" s="224" t="s">
        <v>90</v>
      </c>
      <c r="D65" s="158">
        <f>D55</f>
        <v>3229927</v>
      </c>
      <c r="E65" s="221">
        <v>1.05</v>
      </c>
      <c r="F65" s="157">
        <f>E65*D65</f>
        <v>3391423.35</v>
      </c>
      <c r="G65" s="168"/>
      <c r="H65" s="453">
        <f>E65</f>
        <v>1.05</v>
      </c>
      <c r="I65" s="157">
        <f>H65*D65</f>
        <v>3391423.35</v>
      </c>
      <c r="J65" s="157"/>
      <c r="K65" s="157">
        <f>I65-F65</f>
        <v>0</v>
      </c>
      <c r="L65" s="159"/>
      <c r="M65" s="457"/>
      <c r="N65" s="153"/>
      <c r="O65" s="199"/>
      <c r="P65" s="342"/>
      <c r="Q65" s="205"/>
      <c r="R65" s="199"/>
    </row>
    <row r="66" spans="1:18">
      <c r="B66" s="161" t="s">
        <v>10</v>
      </c>
      <c r="C66" s="167"/>
      <c r="D66" s="168"/>
      <c r="E66" s="164"/>
      <c r="F66" s="264">
        <f>SUM(F64:F65)</f>
        <v>55269893.079429999</v>
      </c>
      <c r="G66" s="168"/>
      <c r="H66" s="164"/>
      <c r="I66" s="264">
        <f>SUM(I64:I65)</f>
        <v>55269893.079429999</v>
      </c>
      <c r="J66" s="157"/>
      <c r="K66" s="264">
        <f>SUM(K64:K65)</f>
        <v>0</v>
      </c>
      <c r="L66" s="152">
        <f>ROUND(K66/F66,5)</f>
        <v>0</v>
      </c>
      <c r="M66" s="457"/>
      <c r="N66" s="153"/>
      <c r="O66" s="231"/>
      <c r="P66" s="229"/>
      <c r="Q66" s="230"/>
      <c r="R66" s="199"/>
    </row>
    <row r="67" spans="1:18">
      <c r="B67" s="409"/>
      <c r="C67" s="144"/>
      <c r="D67" s="168"/>
      <c r="E67" s="144"/>
      <c r="F67" s="157"/>
      <c r="G67" s="168"/>
      <c r="H67" s="144"/>
      <c r="I67" s="190"/>
      <c r="J67" s="190"/>
      <c r="K67" s="157"/>
      <c r="L67" s="159"/>
      <c r="M67" s="457"/>
      <c r="N67" s="153"/>
      <c r="O67" s="168"/>
      <c r="P67" s="199"/>
      <c r="Q67" s="205"/>
      <c r="R67" s="199"/>
    </row>
    <row r="68" spans="1:18">
      <c r="B68" s="161" t="s">
        <v>38</v>
      </c>
      <c r="C68" s="167"/>
      <c r="D68" s="168"/>
      <c r="E68" s="158"/>
      <c r="F68" s="264">
        <f>+F66+F61</f>
        <v>68896270.549429998</v>
      </c>
      <c r="G68" s="158"/>
      <c r="H68" s="158"/>
      <c r="I68" s="264">
        <f>+I66+I61</f>
        <v>68889510.819429994</v>
      </c>
      <c r="J68" s="190"/>
      <c r="K68" s="264">
        <f>K66+K61</f>
        <v>-6759.730000000447</v>
      </c>
      <c r="L68" s="152">
        <f>ROUND(K68/F68,5)</f>
        <v>-1E-4</v>
      </c>
      <c r="M68" s="457"/>
      <c r="N68" s="153"/>
      <c r="O68" s="168"/>
      <c r="P68" s="199"/>
      <c r="Q68" s="205"/>
      <c r="R68" s="199"/>
    </row>
    <row r="69" spans="1:18" s="199" customFormat="1">
      <c r="B69" s="200"/>
      <c r="C69" s="183"/>
      <c r="D69" s="183"/>
      <c r="E69" s="183"/>
      <c r="F69" s="201"/>
      <c r="G69" s="183"/>
      <c r="H69" s="183"/>
      <c r="I69" s="202"/>
      <c r="J69" s="202"/>
      <c r="K69" s="201"/>
      <c r="L69" s="203"/>
      <c r="M69" s="458"/>
      <c r="N69" s="204"/>
      <c r="O69" s="168"/>
      <c r="Q69" s="205"/>
    </row>
    <row r="70" spans="1:18" s="199" customFormat="1">
      <c r="A70" s="168"/>
      <c r="B70" s="168"/>
      <c r="C70" s="168"/>
      <c r="D70" s="168"/>
      <c r="E70" s="168"/>
      <c r="F70" s="176"/>
      <c r="G70" s="168"/>
      <c r="H70" s="168"/>
      <c r="I70" s="175"/>
      <c r="J70" s="175"/>
      <c r="K70" s="176"/>
      <c r="L70" s="206"/>
      <c r="M70" s="458"/>
      <c r="N70" s="204"/>
      <c r="O70" s="168"/>
      <c r="Q70" s="205"/>
    </row>
    <row r="71" spans="1:18" s="199" customFormat="1">
      <c r="A71" s="168"/>
      <c r="B71" s="434" t="s">
        <v>212</v>
      </c>
      <c r="C71" s="148"/>
      <c r="D71" s="186"/>
      <c r="E71" s="149"/>
      <c r="F71" s="150"/>
      <c r="G71" s="186"/>
      <c r="H71" s="149"/>
      <c r="I71" s="150"/>
      <c r="J71" s="150"/>
      <c r="K71" s="150"/>
      <c r="L71" s="152"/>
      <c r="M71" s="458"/>
      <c r="N71" s="204"/>
      <c r="O71" s="168"/>
      <c r="Q71" s="205"/>
    </row>
    <row r="72" spans="1:18" s="199" customFormat="1">
      <c r="A72" s="168"/>
      <c r="B72" s="409"/>
      <c r="C72" s="144"/>
      <c r="D72" s="168"/>
      <c r="E72" s="168"/>
      <c r="F72" s="157"/>
      <c r="G72" s="187"/>
      <c r="H72" s="144"/>
      <c r="I72" s="157"/>
      <c r="J72" s="157"/>
      <c r="K72" s="157"/>
      <c r="L72" s="159"/>
      <c r="M72" s="458"/>
      <c r="N72" s="204"/>
      <c r="O72" s="168"/>
      <c r="Q72" s="205"/>
    </row>
    <row r="73" spans="1:18" s="199" customFormat="1">
      <c r="A73" s="168"/>
      <c r="B73" s="161" t="s">
        <v>202</v>
      </c>
      <c r="C73" s="162" t="s">
        <v>80</v>
      </c>
      <c r="D73" s="259">
        <f>12+12</f>
        <v>24</v>
      </c>
      <c r="E73" s="221">
        <v>800</v>
      </c>
      <c r="F73" s="157">
        <f>ROUND(D73*E73,2)</f>
        <v>19200</v>
      </c>
      <c r="G73" s="158"/>
      <c r="H73" s="453">
        <f>H53+300</f>
        <v>380</v>
      </c>
      <c r="I73" s="157">
        <f>ROUND(D73*H73,2)</f>
        <v>9120</v>
      </c>
      <c r="J73" s="157"/>
      <c r="K73" s="157">
        <f>I73-F73</f>
        <v>-10080</v>
      </c>
      <c r="L73" s="159"/>
      <c r="M73" s="458"/>
      <c r="N73" s="204"/>
      <c r="O73" s="168"/>
      <c r="Q73" s="205"/>
    </row>
    <row r="74" spans="1:18" s="199" customFormat="1">
      <c r="A74" s="168"/>
      <c r="B74" s="409" t="s">
        <v>16</v>
      </c>
      <c r="C74" s="162" t="s">
        <v>80</v>
      </c>
      <c r="D74" s="158">
        <f>D73</f>
        <v>24</v>
      </c>
      <c r="E74" s="221">
        <v>79.94</v>
      </c>
      <c r="F74" s="190">
        <f>D74*E74</f>
        <v>1918.56</v>
      </c>
      <c r="G74" s="158"/>
      <c r="H74" s="164">
        <f>H54</f>
        <v>96.73</v>
      </c>
      <c r="I74" s="190">
        <f>ROUND(D74*H74,2)</f>
        <v>2321.52</v>
      </c>
      <c r="J74" s="190"/>
      <c r="K74" s="157">
        <f>I74-F74</f>
        <v>402.96000000000004</v>
      </c>
      <c r="L74" s="193"/>
      <c r="M74" s="458"/>
      <c r="N74" s="204"/>
      <c r="O74" s="429"/>
      <c r="Q74" s="205"/>
    </row>
    <row r="75" spans="1:18" s="199" customFormat="1">
      <c r="A75" s="168"/>
      <c r="B75" s="435" t="s">
        <v>36</v>
      </c>
      <c r="C75" s="224" t="s">
        <v>90</v>
      </c>
      <c r="D75" s="259">
        <f>26000+16800</f>
        <v>42800</v>
      </c>
      <c r="E75" s="221">
        <v>0.7</v>
      </c>
      <c r="F75" s="190">
        <f>ROUND(D75*E75,2)</f>
        <v>29960</v>
      </c>
      <c r="G75" s="158"/>
      <c r="H75" s="446">
        <f>H55</f>
        <v>1.5</v>
      </c>
      <c r="I75" s="190">
        <f>ROUND(D75*H75,2)</f>
        <v>64200</v>
      </c>
      <c r="J75" s="168"/>
      <c r="K75" s="157">
        <f>I75-F75</f>
        <v>34240</v>
      </c>
      <c r="L75" s="193"/>
      <c r="M75" s="458"/>
      <c r="N75" s="204"/>
      <c r="O75" s="182"/>
      <c r="Q75" s="205"/>
    </row>
    <row r="76" spans="1:18" s="199" customFormat="1">
      <c r="A76" s="168"/>
      <c r="B76" s="409"/>
      <c r="C76" s="144"/>
      <c r="D76" s="158"/>
      <c r="E76" s="163"/>
      <c r="F76" s="190"/>
      <c r="G76" s="158"/>
      <c r="H76" s="164"/>
      <c r="I76" s="190"/>
      <c r="J76" s="190"/>
      <c r="K76" s="188"/>
      <c r="L76" s="193"/>
      <c r="M76" s="458"/>
      <c r="N76" s="204"/>
      <c r="O76" s="182"/>
      <c r="Q76" s="205"/>
    </row>
    <row r="77" spans="1:18" s="199" customFormat="1">
      <c r="A77" s="168"/>
      <c r="B77" s="435" t="s">
        <v>109</v>
      </c>
      <c r="C77" s="144"/>
      <c r="D77" s="158"/>
      <c r="E77" s="163"/>
      <c r="F77" s="157"/>
      <c r="G77" s="158"/>
      <c r="H77" s="164"/>
      <c r="I77" s="190"/>
      <c r="J77" s="190"/>
      <c r="K77" s="188"/>
      <c r="L77" s="193"/>
      <c r="M77" s="458"/>
      <c r="N77" s="204"/>
      <c r="O77" s="182"/>
      <c r="Q77" s="205"/>
    </row>
    <row r="78" spans="1:18" s="199" customFormat="1">
      <c r="A78" s="168"/>
      <c r="B78" s="433" t="s">
        <v>156</v>
      </c>
      <c r="C78" s="224" t="s">
        <v>15</v>
      </c>
      <c r="D78" s="259">
        <f>6000+6000</f>
        <v>12000</v>
      </c>
      <c r="E78" s="222">
        <v>0.15967999999999999</v>
      </c>
      <c r="F78" s="157"/>
      <c r="G78" s="158"/>
      <c r="H78" s="165">
        <f>H58</f>
        <v>0.10748000000000001</v>
      </c>
      <c r="I78" s="364" t="s">
        <v>173</v>
      </c>
      <c r="J78" s="157"/>
      <c r="K78" s="364"/>
      <c r="L78" s="159"/>
      <c r="M78" s="458"/>
      <c r="N78" s="204"/>
      <c r="O78" s="168"/>
      <c r="Q78" s="205"/>
    </row>
    <row r="79" spans="1:18" s="199" customFormat="1">
      <c r="A79" s="168"/>
      <c r="B79" s="409" t="s">
        <v>17</v>
      </c>
      <c r="C79" s="224" t="s">
        <v>15</v>
      </c>
      <c r="D79" s="259">
        <f>50215+54000</f>
        <v>104215</v>
      </c>
      <c r="E79" s="222">
        <v>0.15967999999999999</v>
      </c>
      <c r="F79" s="157">
        <f>D79*E79</f>
        <v>16641.051199999998</v>
      </c>
      <c r="G79" s="158"/>
      <c r="H79" s="165">
        <f>H59</f>
        <v>0.10748000000000001</v>
      </c>
      <c r="I79" s="157">
        <f>H79*D79</f>
        <v>11201.028200000001</v>
      </c>
      <c r="J79" s="157"/>
      <c r="K79" s="157">
        <f>I79-F79</f>
        <v>-5440.0229999999974</v>
      </c>
      <c r="L79" s="159"/>
      <c r="M79" s="458"/>
      <c r="N79" s="204"/>
      <c r="O79" s="168"/>
      <c r="Q79" s="205"/>
    </row>
    <row r="80" spans="1:18" s="199" customFormat="1">
      <c r="A80" s="168"/>
      <c r="B80" s="409" t="s">
        <v>18</v>
      </c>
      <c r="C80" s="224" t="s">
        <v>15</v>
      </c>
      <c r="D80" s="259">
        <f>175112+109569</f>
        <v>284681</v>
      </c>
      <c r="E80" s="222">
        <v>0.1303</v>
      </c>
      <c r="F80" s="157">
        <f>D80*E80</f>
        <v>37093.934300000001</v>
      </c>
      <c r="G80" s="158"/>
      <c r="H80" s="165">
        <f>H60</f>
        <v>8.7705547690622887E-2</v>
      </c>
      <c r="I80" s="157">
        <f>H80*D80</f>
        <v>24968.103022114214</v>
      </c>
      <c r="J80" s="157"/>
      <c r="K80" s="157">
        <f>I80-F80</f>
        <v>-12125.831277885787</v>
      </c>
      <c r="L80" s="159"/>
      <c r="M80" s="458"/>
      <c r="N80" s="204"/>
      <c r="O80" s="168"/>
      <c r="Q80" s="205"/>
    </row>
    <row r="81" spans="1:19" s="199" customFormat="1">
      <c r="A81" s="168"/>
      <c r="B81" s="437" t="s">
        <v>161</v>
      </c>
      <c r="C81" s="167"/>
      <c r="D81" s="151">
        <f>SUM(D78:D80)</f>
        <v>400896</v>
      </c>
      <c r="E81" s="156"/>
      <c r="F81" s="190"/>
      <c r="G81" s="158"/>
      <c r="H81" s="156"/>
      <c r="I81" s="168"/>
      <c r="J81" s="168"/>
      <c r="K81" s="168"/>
      <c r="L81" s="477"/>
      <c r="M81" s="458"/>
      <c r="N81" s="204"/>
      <c r="O81" s="168"/>
      <c r="Q81" s="205"/>
    </row>
    <row r="82" spans="1:19" s="199" customFormat="1">
      <c r="A82" s="168"/>
      <c r="B82" s="437" t="s">
        <v>122</v>
      </c>
      <c r="C82" s="224" t="s">
        <v>15</v>
      </c>
      <c r="D82" s="158">
        <f>D81</f>
        <v>400896</v>
      </c>
      <c r="E82" s="430">
        <v>6.9999999999999999E-4</v>
      </c>
      <c r="F82" s="190">
        <f>E82*D82</f>
        <v>280.62720000000002</v>
      </c>
      <c r="G82" s="158"/>
      <c r="H82" s="430">
        <v>0</v>
      </c>
      <c r="I82" s="190">
        <f>H82*D82</f>
        <v>0</v>
      </c>
      <c r="J82" s="190"/>
      <c r="K82" s="157">
        <f>I82-F82</f>
        <v>-280.62720000000002</v>
      </c>
      <c r="L82" s="159"/>
      <c r="M82" s="458"/>
      <c r="N82" s="204"/>
      <c r="O82" s="182"/>
      <c r="P82" s="179"/>
      <c r="Q82" s="362"/>
      <c r="R82" s="179"/>
    </row>
    <row r="83" spans="1:19" s="199" customFormat="1">
      <c r="A83" s="168"/>
      <c r="B83" s="437" t="s">
        <v>78</v>
      </c>
      <c r="C83" s="224" t="s">
        <v>15</v>
      </c>
      <c r="D83" s="158">
        <f>D82</f>
        <v>400896</v>
      </c>
      <c r="E83" s="430">
        <v>-5.0000000000000001E-3</v>
      </c>
      <c r="F83" s="190">
        <f>D83*E83</f>
        <v>-2004.48</v>
      </c>
      <c r="G83" s="158"/>
      <c r="H83" s="430">
        <v>-5.0000000000000001E-3</v>
      </c>
      <c r="I83" s="190">
        <f>D83*H83</f>
        <v>-2004.48</v>
      </c>
      <c r="J83" s="190"/>
      <c r="K83" s="157">
        <f>I83-F83</f>
        <v>0</v>
      </c>
      <c r="L83" s="159"/>
      <c r="M83" s="458"/>
      <c r="N83" s="204"/>
      <c r="O83" s="182"/>
      <c r="P83" s="179"/>
      <c r="Q83" s="362"/>
      <c r="R83" s="179"/>
    </row>
    <row r="84" spans="1:19" s="199" customFormat="1">
      <c r="A84" s="168"/>
      <c r="B84" s="437" t="s">
        <v>10</v>
      </c>
      <c r="C84" s="167"/>
      <c r="D84" s="158"/>
      <c r="E84" s="156"/>
      <c r="F84" s="264">
        <f>SUM(F73:F83)</f>
        <v>103089.69270000001</v>
      </c>
      <c r="G84" s="158"/>
      <c r="H84" s="156"/>
      <c r="I84" s="264">
        <f>SUM(I73:I83)</f>
        <v>109806.17122211422</v>
      </c>
      <c r="J84" s="190"/>
      <c r="K84" s="264">
        <f>SUM(K73:K83)</f>
        <v>6716.4785221142147</v>
      </c>
      <c r="L84" s="152">
        <f>ROUND(K84/F84,5)</f>
        <v>6.515E-2</v>
      </c>
      <c r="M84" s="458"/>
      <c r="N84" s="204"/>
      <c r="O84" s="168"/>
      <c r="Q84" s="205"/>
    </row>
    <row r="85" spans="1:19" s="199" customFormat="1">
      <c r="A85" s="168"/>
      <c r="B85" s="437"/>
      <c r="C85" s="167"/>
      <c r="D85" s="158"/>
      <c r="E85" s="156"/>
      <c r="F85" s="190"/>
      <c r="G85" s="158"/>
      <c r="H85" s="156"/>
      <c r="I85" s="190"/>
      <c r="J85" s="190"/>
      <c r="K85" s="157"/>
      <c r="L85" s="159"/>
      <c r="M85" s="458"/>
      <c r="N85" s="204"/>
      <c r="O85" s="168"/>
      <c r="Q85" s="205"/>
    </row>
    <row r="86" spans="1:19" s="199" customFormat="1">
      <c r="A86" s="168"/>
      <c r="B86" s="435" t="s">
        <v>160</v>
      </c>
      <c r="C86" s="224" t="s">
        <v>15</v>
      </c>
      <c r="D86" s="158">
        <f>D81</f>
        <v>400896</v>
      </c>
      <c r="E86" s="222">
        <v>6.9999999999999999E-4</v>
      </c>
      <c r="F86" s="157">
        <f>E86*D86</f>
        <v>280.62720000000002</v>
      </c>
      <c r="G86" s="168"/>
      <c r="H86" s="222">
        <v>6.9999999999999999E-4</v>
      </c>
      <c r="I86" s="157">
        <f>H86*D86</f>
        <v>280.62720000000002</v>
      </c>
      <c r="J86" s="157"/>
      <c r="K86" s="157">
        <f>I86-F86</f>
        <v>0</v>
      </c>
      <c r="L86" s="159"/>
      <c r="M86" s="458"/>
      <c r="N86" s="204"/>
      <c r="O86" s="432"/>
      <c r="P86" s="144"/>
      <c r="Q86" s="158"/>
      <c r="R86" s="165"/>
      <c r="S86" s="157"/>
    </row>
    <row r="87" spans="1:19" s="199" customFormat="1">
      <c r="A87" s="168"/>
      <c r="B87" s="409" t="s">
        <v>38</v>
      </c>
      <c r="C87" s="224"/>
      <c r="D87" s="158"/>
      <c r="E87" s="250"/>
      <c r="F87" s="264">
        <f>F84+F86</f>
        <v>103370.31990000002</v>
      </c>
      <c r="G87" s="168"/>
      <c r="H87" s="164"/>
      <c r="I87" s="264">
        <f>I84+SUM(I86:I86)</f>
        <v>110086.79842211423</v>
      </c>
      <c r="J87" s="157"/>
      <c r="K87" s="264">
        <f>K84+SUM(K86:K86)</f>
        <v>6716.4785221142147</v>
      </c>
      <c r="L87" s="152">
        <f>ROUND(K87/F87,5)</f>
        <v>6.497E-2</v>
      </c>
      <c r="M87" s="458"/>
      <c r="N87" s="204"/>
      <c r="O87" s="144"/>
      <c r="P87" s="224"/>
      <c r="Q87" s="259"/>
      <c r="R87" s="222"/>
      <c r="S87" s="190"/>
    </row>
    <row r="88" spans="1:19" s="199" customFormat="1">
      <c r="A88" s="168"/>
      <c r="B88" s="409"/>
      <c r="C88" s="167"/>
      <c r="D88" s="168"/>
      <c r="E88" s="164"/>
      <c r="F88" s="168"/>
      <c r="G88" s="168"/>
      <c r="H88" s="168"/>
      <c r="I88" s="176"/>
      <c r="J88" s="168"/>
      <c r="K88" s="168"/>
      <c r="L88" s="477"/>
      <c r="M88" s="458"/>
      <c r="N88" s="204"/>
      <c r="O88" s="431"/>
      <c r="P88" s="224"/>
      <c r="Q88" s="259"/>
      <c r="R88" s="222"/>
      <c r="S88" s="190"/>
    </row>
    <row r="89" spans="1:19" s="199" customFormat="1">
      <c r="A89" s="168"/>
      <c r="B89" s="200"/>
      <c r="C89" s="183"/>
      <c r="D89" s="183"/>
      <c r="E89" s="183"/>
      <c r="F89" s="201"/>
      <c r="G89" s="183"/>
      <c r="H89" s="183"/>
      <c r="I89" s="202"/>
      <c r="J89" s="202"/>
      <c r="K89" s="201"/>
      <c r="L89" s="203"/>
      <c r="M89" s="458"/>
      <c r="N89" s="204"/>
      <c r="O89" s="431"/>
      <c r="P89" s="224"/>
      <c r="Q89" s="259"/>
      <c r="R89" s="222"/>
      <c r="S89" s="190"/>
    </row>
    <row r="90" spans="1:19" s="199" customFormat="1">
      <c r="A90" s="168"/>
      <c r="B90" s="168"/>
      <c r="C90" s="168"/>
      <c r="D90" s="168"/>
      <c r="E90" s="168"/>
      <c r="F90" s="176"/>
      <c r="G90" s="168"/>
      <c r="H90" s="168"/>
      <c r="I90" s="175"/>
      <c r="J90" s="175"/>
      <c r="K90" s="176"/>
      <c r="L90" s="206"/>
      <c r="M90" s="458"/>
      <c r="N90" s="204"/>
      <c r="O90" s="431"/>
      <c r="P90" s="224"/>
      <c r="Q90" s="259"/>
      <c r="R90" s="222"/>
      <c r="S90" s="190"/>
    </row>
    <row r="91" spans="1:19" s="199" customFormat="1">
      <c r="A91" s="168"/>
      <c r="B91" s="434" t="s">
        <v>200</v>
      </c>
      <c r="C91" s="148"/>
      <c r="D91" s="186"/>
      <c r="E91" s="149"/>
      <c r="F91" s="150"/>
      <c r="G91" s="186"/>
      <c r="H91" s="149"/>
      <c r="I91" s="150"/>
      <c r="J91" s="150"/>
      <c r="K91" s="150"/>
      <c r="L91" s="152"/>
      <c r="M91" s="458"/>
      <c r="N91" s="204"/>
      <c r="O91" s="442"/>
      <c r="P91" s="224"/>
      <c r="Q91" s="259"/>
      <c r="R91" s="222"/>
      <c r="S91" s="190"/>
    </row>
    <row r="92" spans="1:19" s="199" customFormat="1">
      <c r="A92" s="168"/>
      <c r="B92" s="155"/>
      <c r="C92" s="144"/>
      <c r="D92" s="168"/>
      <c r="E92" s="168"/>
      <c r="F92" s="157"/>
      <c r="G92" s="187"/>
      <c r="H92" s="144"/>
      <c r="I92" s="157"/>
      <c r="J92" s="157"/>
      <c r="K92" s="157"/>
      <c r="L92" s="159"/>
      <c r="M92" s="458"/>
      <c r="N92" s="204"/>
      <c r="O92" s="431"/>
      <c r="P92" s="224"/>
      <c r="Q92" s="259"/>
      <c r="R92" s="222"/>
      <c r="S92" s="190"/>
    </row>
    <row r="93" spans="1:19" s="199" customFormat="1">
      <c r="A93" s="168"/>
      <c r="B93" s="161" t="s">
        <v>202</v>
      </c>
      <c r="C93" s="162" t="s">
        <v>80</v>
      </c>
      <c r="D93" s="259"/>
      <c r="E93" s="221"/>
      <c r="F93" s="157">
        <f>F73+F53</f>
        <v>1320480</v>
      </c>
      <c r="G93" s="158"/>
      <c r="H93" s="221"/>
      <c r="I93" s="157">
        <f>I73+I53</f>
        <v>1310400</v>
      </c>
      <c r="J93" s="157"/>
      <c r="K93" s="157"/>
      <c r="L93" s="159"/>
      <c r="M93" s="458"/>
      <c r="N93" s="204"/>
      <c r="O93" s="431"/>
      <c r="P93" s="224"/>
      <c r="Q93" s="259"/>
      <c r="R93" s="222"/>
      <c r="S93" s="190"/>
    </row>
    <row r="94" spans="1:19" s="199" customFormat="1">
      <c r="A94" s="168"/>
      <c r="B94" s="409" t="s">
        <v>16</v>
      </c>
      <c r="C94" s="162" t="s">
        <v>80</v>
      </c>
      <c r="D94" s="158"/>
      <c r="E94" s="221"/>
      <c r="F94" s="157">
        <f>F74+F54</f>
        <v>1300596</v>
      </c>
      <c r="G94" s="158"/>
      <c r="H94" s="164"/>
      <c r="I94" s="157">
        <f>I74+I54</f>
        <v>1575731.7</v>
      </c>
      <c r="J94" s="190"/>
      <c r="K94" s="188"/>
      <c r="L94" s="193"/>
      <c r="M94" s="458"/>
      <c r="N94" s="204"/>
      <c r="O94" s="431"/>
      <c r="P94" s="224"/>
      <c r="Q94" s="259"/>
      <c r="R94" s="222"/>
      <c r="S94" s="190"/>
    </row>
    <row r="95" spans="1:19" s="199" customFormat="1">
      <c r="A95" s="168"/>
      <c r="B95" s="225" t="s">
        <v>36</v>
      </c>
      <c r="C95" s="224" t="s">
        <v>90</v>
      </c>
      <c r="D95" s="259"/>
      <c r="E95" s="221"/>
      <c r="F95" s="157">
        <f>F75+F55</f>
        <v>2290908.9</v>
      </c>
      <c r="G95" s="158"/>
      <c r="H95" s="310"/>
      <c r="I95" s="157">
        <f>I75+I55</f>
        <v>4909090.5</v>
      </c>
      <c r="J95" s="190"/>
      <c r="K95" s="188"/>
      <c r="L95" s="193"/>
      <c r="M95" s="458"/>
      <c r="N95" s="204"/>
      <c r="O95" s="431"/>
      <c r="P95" s="224"/>
      <c r="Q95" s="259"/>
      <c r="R95" s="222"/>
      <c r="S95" s="190"/>
    </row>
    <row r="96" spans="1:19" s="199" customFormat="1">
      <c r="A96" s="168"/>
      <c r="B96" s="155"/>
      <c r="C96" s="144"/>
      <c r="D96" s="158"/>
      <c r="E96" s="163"/>
      <c r="F96" s="190"/>
      <c r="G96" s="158"/>
      <c r="H96" s="164"/>
      <c r="I96" s="190"/>
      <c r="J96" s="190"/>
      <c r="K96" s="188"/>
      <c r="L96" s="193"/>
      <c r="M96" s="458"/>
      <c r="N96" s="204"/>
      <c r="O96" s="431"/>
      <c r="P96" s="224"/>
      <c r="Q96" s="259"/>
      <c r="R96" s="222"/>
      <c r="S96" s="190"/>
    </row>
    <row r="97" spans="1:19" s="199" customFormat="1">
      <c r="A97" s="168"/>
      <c r="B97" s="225" t="s">
        <v>109</v>
      </c>
      <c r="C97" s="144"/>
      <c r="D97" s="158"/>
      <c r="E97" s="163"/>
      <c r="F97" s="157"/>
      <c r="G97" s="158"/>
      <c r="H97" s="164"/>
      <c r="I97" s="190"/>
      <c r="J97" s="190"/>
      <c r="K97" s="188"/>
      <c r="L97" s="193"/>
      <c r="M97" s="458"/>
      <c r="N97" s="204"/>
      <c r="O97" s="431"/>
      <c r="P97" s="224"/>
      <c r="Q97" s="259"/>
      <c r="R97" s="222"/>
      <c r="S97" s="190"/>
    </row>
    <row r="98" spans="1:19" s="199" customFormat="1">
      <c r="A98" s="168"/>
      <c r="B98" s="297" t="s">
        <v>156</v>
      </c>
      <c r="C98" s="224" t="s">
        <v>15</v>
      </c>
      <c r="D98" s="259"/>
      <c r="E98" s="222"/>
      <c r="F98" s="157"/>
      <c r="G98" s="158"/>
      <c r="H98" s="165"/>
      <c r="I98" s="364" t="s">
        <v>173</v>
      </c>
      <c r="J98" s="157"/>
      <c r="K98" s="157"/>
      <c r="L98" s="159"/>
      <c r="M98" s="458"/>
      <c r="N98" s="204"/>
      <c r="O98" s="431"/>
      <c r="P98" s="224"/>
      <c r="Q98" s="259"/>
      <c r="R98" s="222"/>
      <c r="S98" s="190"/>
    </row>
    <row r="99" spans="1:19" s="199" customFormat="1">
      <c r="A99" s="168"/>
      <c r="B99" s="155" t="s">
        <v>17</v>
      </c>
      <c r="C99" s="224" t="s">
        <v>15</v>
      </c>
      <c r="D99" s="259"/>
      <c r="E99" s="222"/>
      <c r="F99" s="157">
        <f>F79+F59</f>
        <v>5059259.2812000001</v>
      </c>
      <c r="G99" s="158"/>
      <c r="H99" s="339"/>
      <c r="I99" s="157">
        <f>I79+I59</f>
        <v>3405368.1581999999</v>
      </c>
      <c r="J99" s="157"/>
      <c r="K99" s="157"/>
      <c r="L99" s="159"/>
      <c r="M99" s="458"/>
      <c r="N99" s="204"/>
      <c r="O99" s="431"/>
      <c r="P99" s="224"/>
      <c r="Q99" s="259"/>
      <c r="R99" s="222"/>
      <c r="S99" s="190"/>
    </row>
    <row r="100" spans="1:19" s="199" customFormat="1">
      <c r="A100" s="168"/>
      <c r="B100" s="409" t="s">
        <v>18</v>
      </c>
      <c r="C100" s="224" t="s">
        <v>15</v>
      </c>
      <c r="D100" s="259"/>
      <c r="E100" s="222"/>
      <c r="F100" s="157">
        <f>F80+F60</f>
        <v>3759946.8342999998</v>
      </c>
      <c r="G100" s="158"/>
      <c r="H100" s="339"/>
      <c r="I100" s="157">
        <f>I80+I60</f>
        <v>2530838.0330221145</v>
      </c>
      <c r="J100" s="157"/>
      <c r="K100" s="157"/>
      <c r="L100" s="159"/>
      <c r="M100" s="458"/>
      <c r="N100" s="204"/>
      <c r="O100" s="431"/>
      <c r="P100" s="224"/>
      <c r="Q100" s="259"/>
      <c r="R100" s="222"/>
      <c r="S100" s="190"/>
    </row>
    <row r="101" spans="1:19" s="199" customFormat="1">
      <c r="A101" s="168"/>
      <c r="B101" s="312" t="s">
        <v>161</v>
      </c>
      <c r="C101" s="167"/>
      <c r="D101" s="158"/>
      <c r="E101" s="156"/>
      <c r="F101" s="190"/>
      <c r="G101" s="158"/>
      <c r="H101" s="156"/>
      <c r="I101" s="168"/>
      <c r="J101" s="168"/>
      <c r="K101" s="168"/>
      <c r="L101" s="477"/>
      <c r="M101" s="458"/>
      <c r="N101" s="204"/>
      <c r="O101" s="431"/>
      <c r="P101" s="224"/>
      <c r="Q101" s="259"/>
      <c r="R101" s="222"/>
      <c r="S101" s="190"/>
    </row>
    <row r="102" spans="1:19" s="199" customFormat="1">
      <c r="A102" s="168"/>
      <c r="B102" s="312" t="s">
        <v>122</v>
      </c>
      <c r="C102" s="167"/>
      <c r="D102" s="158"/>
      <c r="E102" s="430"/>
      <c r="F102" s="190">
        <f>F82</f>
        <v>280.62720000000002</v>
      </c>
      <c r="G102" s="158"/>
      <c r="H102" s="156"/>
      <c r="I102" s="190">
        <f>I82</f>
        <v>0</v>
      </c>
      <c r="J102" s="190"/>
      <c r="K102" s="157"/>
      <c r="L102" s="159"/>
      <c r="M102" s="458"/>
      <c r="N102" s="204"/>
      <c r="O102" s="431"/>
      <c r="P102" s="224"/>
      <c r="Q102" s="259"/>
      <c r="R102" s="222"/>
      <c r="S102" s="190"/>
    </row>
    <row r="103" spans="1:19" s="199" customFormat="1">
      <c r="A103" s="168"/>
      <c r="B103" s="437" t="s">
        <v>78</v>
      </c>
      <c r="C103" s="224" t="s">
        <v>15</v>
      </c>
      <c r="D103" s="158"/>
      <c r="E103" s="430"/>
      <c r="F103" s="190">
        <f>F83</f>
        <v>-2004.48</v>
      </c>
      <c r="G103" s="158"/>
      <c r="H103" s="156"/>
      <c r="I103" s="190">
        <f>I83</f>
        <v>-2004.48</v>
      </c>
      <c r="J103" s="190"/>
      <c r="K103" s="157"/>
      <c r="L103" s="159"/>
      <c r="M103" s="458"/>
      <c r="N103" s="204"/>
      <c r="O103" s="431"/>
      <c r="P103" s="224"/>
      <c r="Q103" s="259"/>
      <c r="R103" s="222"/>
      <c r="S103" s="190"/>
    </row>
    <row r="104" spans="1:19" s="199" customFormat="1">
      <c r="A104" s="168"/>
      <c r="B104" s="312" t="s">
        <v>10</v>
      </c>
      <c r="C104" s="167"/>
      <c r="D104" s="158"/>
      <c r="E104" s="156"/>
      <c r="F104" s="264">
        <f>F61+F84</f>
        <v>13729467.162700001</v>
      </c>
      <c r="G104" s="158"/>
      <c r="H104" s="156"/>
      <c r="I104" s="264">
        <f>I61+I84</f>
        <v>13729423.911222113</v>
      </c>
      <c r="J104" s="190"/>
      <c r="K104" s="264">
        <f>I104-F104</f>
        <v>-43.25147788785398</v>
      </c>
      <c r="L104" s="152">
        <f>ROUND(K104/F104,5)</f>
        <v>0</v>
      </c>
      <c r="M104" s="458"/>
      <c r="N104" s="204"/>
      <c r="O104" s="431"/>
      <c r="P104" s="224"/>
      <c r="Q104" s="259"/>
      <c r="R104" s="222"/>
      <c r="S104" s="190"/>
    </row>
    <row r="105" spans="1:19" s="199" customFormat="1">
      <c r="A105" s="168"/>
      <c r="B105" s="166"/>
      <c r="C105" s="167"/>
      <c r="D105" s="158"/>
      <c r="E105" s="156"/>
      <c r="F105" s="190"/>
      <c r="G105" s="158"/>
      <c r="H105" s="156"/>
      <c r="I105" s="190"/>
      <c r="J105" s="190"/>
      <c r="K105" s="157"/>
      <c r="L105" s="159"/>
      <c r="M105" s="458"/>
      <c r="N105" s="204"/>
      <c r="O105" s="431"/>
      <c r="P105" s="224"/>
      <c r="Q105" s="259"/>
      <c r="R105" s="222"/>
      <c r="S105" s="190"/>
    </row>
    <row r="106" spans="1:19" s="199" customFormat="1">
      <c r="A106" s="168"/>
      <c r="B106" s="64" t="s">
        <v>211</v>
      </c>
      <c r="C106" s="167"/>
      <c r="D106" s="158"/>
      <c r="E106" s="156"/>
      <c r="F106" s="190"/>
      <c r="G106" s="158"/>
      <c r="H106" s="156"/>
      <c r="I106" s="190"/>
      <c r="J106" s="190"/>
      <c r="K106" s="157"/>
      <c r="L106" s="159"/>
      <c r="M106" s="458"/>
      <c r="N106" s="204"/>
      <c r="O106" s="431"/>
      <c r="P106" s="224"/>
      <c r="Q106" s="259"/>
      <c r="R106" s="222"/>
      <c r="S106" s="190"/>
    </row>
    <row r="107" spans="1:19" s="199" customFormat="1">
      <c r="A107" s="168"/>
      <c r="B107" s="435" t="s">
        <v>110</v>
      </c>
      <c r="C107" s="167"/>
      <c r="D107" s="158"/>
      <c r="E107" s="156"/>
      <c r="F107" s="190">
        <f>F64</f>
        <v>51878469.729429998</v>
      </c>
      <c r="G107" s="158"/>
      <c r="H107" s="156"/>
      <c r="I107" s="190">
        <f>I64</f>
        <v>51878469.729429998</v>
      </c>
      <c r="J107" s="190"/>
      <c r="K107" s="157"/>
      <c r="L107" s="159"/>
      <c r="M107" s="458"/>
      <c r="N107" s="204"/>
      <c r="O107" s="431"/>
      <c r="P107" s="224"/>
      <c r="Q107" s="259"/>
      <c r="R107" s="222"/>
      <c r="S107" s="190"/>
    </row>
    <row r="108" spans="1:19" s="199" customFormat="1">
      <c r="A108" s="168"/>
      <c r="B108" s="435" t="s">
        <v>36</v>
      </c>
      <c r="C108" s="167"/>
      <c r="D108" s="158"/>
      <c r="E108" s="156"/>
      <c r="F108" s="190">
        <f>F65</f>
        <v>3391423.35</v>
      </c>
      <c r="G108" s="158"/>
      <c r="H108" s="156"/>
      <c r="I108" s="190">
        <f>I65</f>
        <v>3391423.35</v>
      </c>
      <c r="J108" s="190"/>
      <c r="K108" s="157"/>
      <c r="L108" s="159"/>
      <c r="M108" s="458"/>
      <c r="N108" s="204"/>
      <c r="O108" s="431"/>
      <c r="P108" s="224"/>
      <c r="Q108" s="259"/>
      <c r="R108" s="222"/>
      <c r="S108" s="190"/>
    </row>
    <row r="109" spans="1:19" s="199" customFormat="1">
      <c r="A109" s="168"/>
      <c r="B109" s="435" t="s">
        <v>160</v>
      </c>
      <c r="C109" s="167"/>
      <c r="D109" s="158"/>
      <c r="E109" s="156"/>
      <c r="F109" s="190">
        <f>F86</f>
        <v>280.62720000000002</v>
      </c>
      <c r="G109" s="158"/>
      <c r="H109" s="156"/>
      <c r="I109" s="190">
        <f>I86</f>
        <v>280.62720000000002</v>
      </c>
      <c r="J109" s="190"/>
      <c r="K109" s="157"/>
      <c r="L109" s="159"/>
      <c r="M109" s="458"/>
      <c r="N109" s="204"/>
      <c r="O109" s="431"/>
      <c r="P109" s="224"/>
      <c r="Q109" s="259"/>
      <c r="R109" s="222"/>
      <c r="S109" s="190"/>
    </row>
    <row r="110" spans="1:19" s="199" customFormat="1">
      <c r="A110" s="168"/>
      <c r="B110" s="161" t="s">
        <v>10</v>
      </c>
      <c r="C110" s="167"/>
      <c r="D110" s="158"/>
      <c r="E110" s="156"/>
      <c r="F110" s="264">
        <f>SUM(F107:F109)</f>
        <v>55270173.706629999</v>
      </c>
      <c r="G110" s="158"/>
      <c r="H110" s="156"/>
      <c r="I110" s="264">
        <f>SUM(I107:I109)</f>
        <v>55270173.706629999</v>
      </c>
      <c r="J110" s="190"/>
      <c r="K110" s="264">
        <f>I110-F110</f>
        <v>0</v>
      </c>
      <c r="L110" s="152">
        <f>ROUND(K110/F110,5)</f>
        <v>0</v>
      </c>
      <c r="M110" s="458"/>
      <c r="N110" s="204"/>
      <c r="O110" s="431"/>
      <c r="P110" s="224"/>
      <c r="Q110" s="259"/>
      <c r="R110" s="222"/>
      <c r="S110" s="190"/>
    </row>
    <row r="111" spans="1:19" s="199" customFormat="1">
      <c r="A111" s="168"/>
      <c r="B111" s="225"/>
      <c r="C111" s="167"/>
      <c r="D111" s="168"/>
      <c r="E111" s="144"/>
      <c r="F111" s="157"/>
      <c r="G111" s="158"/>
      <c r="H111" s="156"/>
      <c r="I111" s="190"/>
      <c r="J111" s="190"/>
      <c r="K111" s="157"/>
      <c r="L111" s="159"/>
      <c r="M111" s="458"/>
      <c r="N111" s="204"/>
      <c r="O111" s="431"/>
      <c r="P111" s="224"/>
      <c r="Q111" s="259"/>
      <c r="R111" s="222"/>
      <c r="S111" s="190"/>
    </row>
    <row r="112" spans="1:19" s="199" customFormat="1">
      <c r="A112" s="168"/>
      <c r="B112" s="155" t="s">
        <v>38</v>
      </c>
      <c r="C112" s="224"/>
      <c r="D112" s="158"/>
      <c r="E112" s="250"/>
      <c r="F112" s="264">
        <f>F104+F110</f>
        <v>68999640.869330004</v>
      </c>
      <c r="G112" s="168"/>
      <c r="H112" s="164"/>
      <c r="I112" s="264">
        <f>I104+I110</f>
        <v>68999597.617852107</v>
      </c>
      <c r="J112" s="157"/>
      <c r="K112" s="264">
        <f>I112-F112</f>
        <v>-43.251477897167206</v>
      </c>
      <c r="L112" s="152">
        <f>ROUND(K112/F112,5)</f>
        <v>0</v>
      </c>
      <c r="M112" s="458"/>
      <c r="N112" s="204"/>
      <c r="O112" s="144"/>
      <c r="P112" s="224"/>
      <c r="Q112" s="259"/>
      <c r="R112" s="222"/>
      <c r="S112" s="190"/>
    </row>
    <row r="113" spans="1:19" s="199" customFormat="1">
      <c r="A113" s="168"/>
      <c r="B113" s="200"/>
      <c r="C113" s="183"/>
      <c r="D113" s="183"/>
      <c r="E113" s="494"/>
      <c r="F113" s="495"/>
      <c r="G113" s="183"/>
      <c r="H113" s="183"/>
      <c r="I113" s="202"/>
      <c r="J113" s="202"/>
      <c r="K113" s="201"/>
      <c r="L113" s="203"/>
      <c r="M113" s="458"/>
      <c r="N113" s="204"/>
      <c r="O113" s="224"/>
      <c r="P113" s="224"/>
      <c r="Q113" s="158"/>
      <c r="R113" s="222"/>
      <c r="S113" s="190"/>
    </row>
    <row r="114" spans="1:19" s="168" customFormat="1">
      <c r="B114" s="183"/>
      <c r="E114" s="182"/>
      <c r="F114" s="415"/>
      <c r="I114" s="175"/>
      <c r="J114" s="175"/>
      <c r="K114" s="176"/>
      <c r="L114" s="206"/>
      <c r="M114" s="458"/>
      <c r="N114" s="204"/>
      <c r="O114" s="224"/>
      <c r="P114" s="224"/>
      <c r="Q114" s="158"/>
      <c r="R114" s="222"/>
      <c r="S114" s="190"/>
    </row>
    <row r="115" spans="1:19" s="199" customFormat="1">
      <c r="A115" s="168"/>
      <c r="B115" s="223" t="s">
        <v>107</v>
      </c>
      <c r="C115" s="148"/>
      <c r="D115" s="186"/>
      <c r="E115" s="186"/>
      <c r="F115" s="207"/>
      <c r="G115" s="186"/>
      <c r="H115" s="186"/>
      <c r="I115" s="208"/>
      <c r="J115" s="208"/>
      <c r="K115" s="207"/>
      <c r="L115" s="209"/>
      <c r="M115" s="458"/>
      <c r="N115" s="204"/>
      <c r="O115" s="168"/>
      <c r="Q115" s="205"/>
    </row>
    <row r="116" spans="1:19" s="199" customFormat="1">
      <c r="A116" s="168"/>
      <c r="B116" s="155"/>
      <c r="C116" s="144"/>
      <c r="D116" s="168"/>
      <c r="E116" s="144"/>
      <c r="F116" s="157"/>
      <c r="G116" s="168"/>
      <c r="H116" s="144"/>
      <c r="I116" s="188"/>
      <c r="J116" s="188"/>
      <c r="K116" s="157"/>
      <c r="L116" s="159"/>
      <c r="M116" s="458"/>
      <c r="N116" s="204"/>
      <c r="O116" s="168"/>
      <c r="Q116" s="205"/>
    </row>
    <row r="117" spans="1:19" s="199" customFormat="1">
      <c r="B117" s="161" t="s">
        <v>202</v>
      </c>
      <c r="C117" s="162" t="s">
        <v>80</v>
      </c>
      <c r="D117" s="259">
        <v>36</v>
      </c>
      <c r="E117" s="221">
        <v>150</v>
      </c>
      <c r="F117" s="157">
        <f>ROUND(D117*E117,2)</f>
        <v>5400</v>
      </c>
      <c r="G117" s="158"/>
      <c r="H117" s="220">
        <v>150</v>
      </c>
      <c r="I117" s="157">
        <f>ROUND(D117*H117,2)</f>
        <v>5400</v>
      </c>
      <c r="J117" s="157"/>
      <c r="K117" s="157"/>
      <c r="L117" s="159"/>
      <c r="M117" s="458"/>
      <c r="N117" s="204"/>
      <c r="Q117" s="205"/>
    </row>
    <row r="118" spans="1:19">
      <c r="B118" s="155" t="s">
        <v>102</v>
      </c>
      <c r="C118" s="224" t="s">
        <v>15</v>
      </c>
      <c r="D118" s="259">
        <v>120864</v>
      </c>
      <c r="E118" s="222">
        <v>0.19470000000000001</v>
      </c>
      <c r="F118" s="157">
        <f>ROUND(D118*E118,2)</f>
        <v>23532.22</v>
      </c>
      <c r="G118" s="158"/>
      <c r="H118" s="309">
        <v>0.22570999999999999</v>
      </c>
      <c r="I118" s="157">
        <f>ROUND(D118*H118,2)</f>
        <v>27280.21</v>
      </c>
      <c r="J118" s="157"/>
      <c r="K118" s="157"/>
      <c r="L118" s="159"/>
      <c r="M118" s="457"/>
      <c r="N118" s="191"/>
      <c r="O118" s="160" t="s">
        <v>9</v>
      </c>
    </row>
    <row r="119" spans="1:19">
      <c r="B119" s="166" t="s">
        <v>10</v>
      </c>
      <c r="C119" s="167"/>
      <c r="D119" s="158"/>
      <c r="E119" s="156"/>
      <c r="F119" s="264">
        <f>SUM(F117:F118)</f>
        <v>28932.22</v>
      </c>
      <c r="G119" s="158"/>
      <c r="H119" s="156"/>
      <c r="I119" s="264">
        <f>SUM(I117:I118)</f>
        <v>32680.21</v>
      </c>
      <c r="J119" s="157"/>
      <c r="K119" s="264">
        <f>I119-F119</f>
        <v>3747.989999999998</v>
      </c>
      <c r="L119" s="152">
        <f>ROUND(K119/F119,5)</f>
        <v>0.12953999999999999</v>
      </c>
      <c r="M119" s="457"/>
      <c r="N119" s="191"/>
      <c r="O119" s="278">
        <f>'Rate Spread-Margin'!J16</f>
        <v>3757.8961224439245</v>
      </c>
    </row>
    <row r="120" spans="1:19">
      <c r="B120" s="166"/>
      <c r="C120" s="167"/>
      <c r="D120" s="168"/>
      <c r="E120" s="144"/>
      <c r="F120" s="157"/>
      <c r="G120" s="158"/>
      <c r="H120" s="156"/>
      <c r="I120" s="157"/>
      <c r="J120" s="157"/>
      <c r="K120" s="157"/>
      <c r="L120" s="159"/>
      <c r="M120" s="457"/>
      <c r="N120" s="191"/>
      <c r="O120" s="304" t="s">
        <v>158</v>
      </c>
    </row>
    <row r="121" spans="1:19">
      <c r="B121" s="64" t="s">
        <v>211</v>
      </c>
      <c r="C121" s="224" t="s">
        <v>15</v>
      </c>
      <c r="D121" s="158">
        <f>D118</f>
        <v>120864</v>
      </c>
      <c r="E121" s="222">
        <v>0.79764000000000002</v>
      </c>
      <c r="F121" s="264">
        <f>D121*E121</f>
        <v>96405.960959999997</v>
      </c>
      <c r="G121" s="158"/>
      <c r="H121" s="452">
        <f>E121</f>
        <v>0.79764000000000002</v>
      </c>
      <c r="I121" s="264">
        <f>D121*H121</f>
        <v>96405.960959999997</v>
      </c>
      <c r="J121" s="190"/>
      <c r="K121" s="264">
        <f>I121-F121</f>
        <v>0</v>
      </c>
      <c r="L121" s="152">
        <f>ROUND(K121/F121,5)</f>
        <v>0</v>
      </c>
      <c r="M121" s="457"/>
      <c r="N121" s="191"/>
      <c r="O121" s="195">
        <f>K119-O119</f>
        <v>-9.9061224439265061</v>
      </c>
      <c r="P121" s="210"/>
      <c r="Q121" s="211"/>
    </row>
    <row r="122" spans="1:19">
      <c r="B122" s="155"/>
      <c r="C122" s="144"/>
      <c r="D122" s="168"/>
      <c r="E122" s="144"/>
      <c r="F122" s="190"/>
      <c r="G122" s="168"/>
      <c r="H122" s="144"/>
      <c r="I122" s="190"/>
      <c r="J122" s="190"/>
      <c r="K122" s="157"/>
      <c r="L122" s="159"/>
      <c r="M122" s="457"/>
      <c r="N122" s="153"/>
      <c r="O122" s="210"/>
      <c r="P122" s="210"/>
      <c r="Q122" s="211"/>
    </row>
    <row r="123" spans="1:19">
      <c r="B123" s="166" t="s">
        <v>38</v>
      </c>
      <c r="C123" s="167"/>
      <c r="D123" s="158"/>
      <c r="E123" s="156"/>
      <c r="F123" s="264">
        <f>F119+F121</f>
        <v>125338.18096</v>
      </c>
      <c r="G123" s="158"/>
      <c r="H123" s="156"/>
      <c r="I123" s="264">
        <f>I119+I121</f>
        <v>129086.17095999999</v>
      </c>
      <c r="J123" s="190"/>
      <c r="K123" s="264">
        <f>I123-F123</f>
        <v>3747.9899999999907</v>
      </c>
      <c r="L123" s="152">
        <f>ROUND(K123/F123,5)</f>
        <v>2.9899999999999999E-2</v>
      </c>
      <c r="M123" s="457"/>
      <c r="N123" s="153"/>
      <c r="O123" s="145"/>
      <c r="P123" s="145"/>
      <c r="Q123" s="145"/>
    </row>
    <row r="124" spans="1:19">
      <c r="B124" s="177"/>
      <c r="C124" s="154"/>
      <c r="D124" s="154"/>
      <c r="E124" s="154"/>
      <c r="F124" s="178"/>
      <c r="G124" s="212"/>
      <c r="H124" s="154"/>
      <c r="I124" s="178"/>
      <c r="J124" s="178"/>
      <c r="K124" s="178"/>
      <c r="L124" s="184"/>
      <c r="M124" s="457"/>
      <c r="N124" s="153"/>
      <c r="O124" s="174"/>
      <c r="P124" s="145"/>
      <c r="Q124" s="145"/>
    </row>
    <row r="125" spans="1:19">
      <c r="F125" s="213"/>
      <c r="I125" s="213"/>
      <c r="J125" s="213"/>
      <c r="K125" s="213"/>
      <c r="L125" s="215"/>
      <c r="M125" s="457"/>
      <c r="N125" s="153"/>
      <c r="O125" s="145"/>
      <c r="P125" s="145"/>
      <c r="Q125" s="145"/>
    </row>
    <row r="126" spans="1:19">
      <c r="B126" s="328" t="s">
        <v>227</v>
      </c>
      <c r="F126" s="213"/>
      <c r="I126" s="213"/>
      <c r="J126" s="213"/>
      <c r="K126" s="213"/>
      <c r="L126" s="215"/>
      <c r="M126" s="457"/>
      <c r="N126" s="153"/>
      <c r="O126" s="145"/>
      <c r="P126" s="145"/>
      <c r="Q126" s="145"/>
    </row>
    <row r="127" spans="1:19">
      <c r="F127" s="363" t="s">
        <v>33</v>
      </c>
      <c r="I127" s="363" t="s">
        <v>2</v>
      </c>
      <c r="J127" s="213"/>
      <c r="K127" s="363" t="s">
        <v>172</v>
      </c>
      <c r="L127" s="215"/>
      <c r="M127" s="457"/>
      <c r="N127" s="153"/>
      <c r="O127" s="196"/>
      <c r="P127" s="137"/>
      <c r="Q127" s="197"/>
    </row>
    <row r="128" spans="1:19">
      <c r="B128" s="16" t="s">
        <v>162</v>
      </c>
      <c r="C128" s="323"/>
      <c r="D128" s="323"/>
      <c r="E128" s="323"/>
      <c r="F128" s="323"/>
      <c r="G128" s="324"/>
      <c r="H128" s="323"/>
      <c r="I128" s="323"/>
      <c r="J128" s="323"/>
      <c r="K128" s="323"/>
      <c r="L128" s="323"/>
      <c r="M128" s="448"/>
    </row>
    <row r="129" spans="2:13">
      <c r="B129" s="322" t="s">
        <v>214</v>
      </c>
      <c r="C129" s="323"/>
      <c r="D129" s="323"/>
      <c r="E129" s="323"/>
      <c r="F129" s="323">
        <f>F16+F29</f>
        <v>170546291.34088999</v>
      </c>
      <c r="G129" s="324"/>
      <c r="H129" s="323"/>
      <c r="I129" s="323">
        <f>I16+I29</f>
        <v>170546291.34088999</v>
      </c>
      <c r="J129" s="323"/>
      <c r="K129" s="334">
        <f>I129-F129</f>
        <v>0</v>
      </c>
      <c r="L129" s="323"/>
      <c r="M129" s="448"/>
    </row>
    <row r="130" spans="2:13">
      <c r="B130" s="322" t="s">
        <v>106</v>
      </c>
      <c r="C130" s="323"/>
      <c r="D130" s="323"/>
      <c r="E130" s="323"/>
      <c r="F130" s="323">
        <f>F66+F86</f>
        <v>55270173.706629999</v>
      </c>
      <c r="G130" s="324"/>
      <c r="H130" s="323"/>
      <c r="I130" s="323">
        <f>I66+I86</f>
        <v>55270173.706629999</v>
      </c>
      <c r="J130" s="323"/>
      <c r="K130" s="334">
        <f>I130-F130</f>
        <v>0</v>
      </c>
      <c r="L130" s="323"/>
      <c r="M130" s="449"/>
    </row>
    <row r="131" spans="2:13">
      <c r="B131" s="322" t="s">
        <v>107</v>
      </c>
      <c r="C131" s="323"/>
      <c r="D131" s="323"/>
      <c r="E131" s="323"/>
      <c r="F131" s="323">
        <f>F121</f>
        <v>96405.960959999997</v>
      </c>
      <c r="G131" s="324"/>
      <c r="H131" s="323"/>
      <c r="I131" s="323">
        <f>I121</f>
        <v>96405.960959999997</v>
      </c>
      <c r="J131" s="323"/>
      <c r="K131" s="334">
        <f>I131-F131</f>
        <v>0</v>
      </c>
      <c r="L131" s="323"/>
      <c r="M131" s="449"/>
    </row>
    <row r="132" spans="2:13">
      <c r="B132" s="322" t="s">
        <v>34</v>
      </c>
      <c r="C132" s="323"/>
      <c r="D132" s="323"/>
      <c r="E132" s="323"/>
      <c r="F132" s="325">
        <f>SUM(F129:F131)</f>
        <v>225912871.00847998</v>
      </c>
      <c r="G132" s="324"/>
      <c r="H132" s="323"/>
      <c r="I132" s="325">
        <f>SUM(I129:I131)</f>
        <v>225912871.00847998</v>
      </c>
      <c r="J132" s="323"/>
      <c r="K132" s="325">
        <f>SUM(K129:K131)</f>
        <v>0</v>
      </c>
      <c r="L132" s="323"/>
      <c r="M132" s="449"/>
    </row>
    <row r="133" spans="2:13">
      <c r="C133" s="323"/>
      <c r="D133" s="323"/>
      <c r="E133" s="323"/>
      <c r="F133" s="323"/>
      <c r="G133" s="324"/>
      <c r="H133" s="323"/>
      <c r="I133" s="323"/>
      <c r="J133" s="323"/>
      <c r="K133" s="334"/>
      <c r="L133" s="323"/>
      <c r="M133" s="449"/>
    </row>
    <row r="134" spans="2:13">
      <c r="B134" s="16" t="s">
        <v>163</v>
      </c>
      <c r="C134" s="323"/>
      <c r="D134" s="323"/>
      <c r="E134" s="323"/>
      <c r="F134" s="323"/>
      <c r="G134" s="324"/>
      <c r="H134" s="323"/>
      <c r="I134" s="323"/>
      <c r="J134" s="323"/>
      <c r="K134" s="334"/>
      <c r="L134" s="323"/>
      <c r="M134" s="449"/>
    </row>
    <row r="135" spans="2:13">
      <c r="B135" s="322" t="s">
        <v>214</v>
      </c>
      <c r="C135" s="323"/>
      <c r="D135" s="323"/>
      <c r="E135" s="323"/>
      <c r="F135" s="323">
        <f>F14+F27+F48</f>
        <v>65386783.299999997</v>
      </c>
      <c r="G135" s="323"/>
      <c r="H135" s="323"/>
      <c r="I135" s="323">
        <f>I14+I27+I48</f>
        <v>77701375.409999996</v>
      </c>
      <c r="J135" s="323"/>
      <c r="K135" s="334">
        <f>I135-F135</f>
        <v>12314592.109999999</v>
      </c>
      <c r="L135" s="323"/>
      <c r="M135" s="449"/>
    </row>
    <row r="136" spans="2:13">
      <c r="B136" s="322" t="s">
        <v>106</v>
      </c>
      <c r="C136" s="323"/>
      <c r="D136" s="323"/>
      <c r="E136" s="323"/>
      <c r="F136" s="323">
        <f>F61+F84</f>
        <v>13729467.162700001</v>
      </c>
      <c r="G136" s="323"/>
      <c r="H136" s="323"/>
      <c r="I136" s="323">
        <f>I61+I84</f>
        <v>13729423.911222113</v>
      </c>
      <c r="J136" s="323"/>
      <c r="K136" s="334">
        <f>I136-F136</f>
        <v>-43.25147788785398</v>
      </c>
      <c r="L136" s="323"/>
      <c r="M136" s="449"/>
    </row>
    <row r="137" spans="2:13">
      <c r="B137" s="322" t="s">
        <v>107</v>
      </c>
      <c r="C137" s="323"/>
      <c r="D137" s="323"/>
      <c r="E137" s="323"/>
      <c r="F137" s="323">
        <f>F119</f>
        <v>28932.22</v>
      </c>
      <c r="G137" s="323"/>
      <c r="H137" s="323"/>
      <c r="I137" s="323">
        <f>I119</f>
        <v>32680.21</v>
      </c>
      <c r="J137" s="323"/>
      <c r="K137" s="334">
        <f>I137-F137</f>
        <v>3747.989999999998</v>
      </c>
      <c r="L137" s="323"/>
      <c r="M137" s="449"/>
    </row>
    <row r="138" spans="2:13">
      <c r="B138" s="322" t="s">
        <v>34</v>
      </c>
      <c r="C138" s="323"/>
      <c r="D138" s="323"/>
      <c r="E138" s="323"/>
      <c r="F138" s="325">
        <f>SUM(F135:F137)</f>
        <v>79145182.682699993</v>
      </c>
      <c r="G138" s="323"/>
      <c r="H138" s="323"/>
      <c r="I138" s="325">
        <f>SUM(I135:I137)</f>
        <v>91463479.531222105</v>
      </c>
      <c r="J138" s="323"/>
      <c r="K138" s="325">
        <f>SUM(K135:K137)</f>
        <v>12318296.848522112</v>
      </c>
      <c r="L138" s="323"/>
      <c r="M138" s="449"/>
    </row>
    <row r="139" spans="2:13">
      <c r="C139" s="323"/>
      <c r="D139" s="323"/>
      <c r="E139" s="323"/>
      <c r="F139" s="323"/>
      <c r="G139" s="323"/>
      <c r="H139" s="323"/>
      <c r="I139" s="323"/>
      <c r="J139" s="323"/>
      <c r="K139" s="334"/>
      <c r="L139" s="323"/>
      <c r="M139" s="449"/>
    </row>
    <row r="140" spans="2:13">
      <c r="B140" s="328" t="s">
        <v>164</v>
      </c>
      <c r="C140" s="323"/>
      <c r="D140" s="323"/>
      <c r="E140" s="323"/>
      <c r="F140" s="323"/>
      <c r="G140" s="323"/>
      <c r="H140" s="323"/>
      <c r="I140" s="323"/>
      <c r="J140" s="323"/>
      <c r="K140" s="334"/>
      <c r="L140" s="323"/>
      <c r="M140" s="449"/>
    </row>
    <row r="141" spans="2:13">
      <c r="B141" s="322" t="s">
        <v>214</v>
      </c>
      <c r="C141" s="323"/>
      <c r="D141" s="323"/>
      <c r="E141" s="323"/>
      <c r="F141" s="323">
        <f>F129+F135</f>
        <v>235933074.64089</v>
      </c>
      <c r="G141" s="324"/>
      <c r="H141" s="323"/>
      <c r="I141" s="323">
        <f>I129+I135</f>
        <v>248247666.75088999</v>
      </c>
      <c r="J141" s="323"/>
      <c r="K141" s="334">
        <f>I141-F141</f>
        <v>12314592.109999985</v>
      </c>
      <c r="L141" s="323"/>
      <c r="M141" s="449"/>
    </row>
    <row r="142" spans="2:13">
      <c r="B142" s="322" t="s">
        <v>106</v>
      </c>
      <c r="C142" s="323"/>
      <c r="D142" s="323"/>
      <c r="E142" s="323"/>
      <c r="F142" s="323">
        <f>F130+F136</f>
        <v>68999640.869330004</v>
      </c>
      <c r="G142" s="324"/>
      <c r="H142" s="323"/>
      <c r="I142" s="323">
        <f>I130+I136</f>
        <v>68999597.617852107</v>
      </c>
      <c r="J142" s="323"/>
      <c r="K142" s="334">
        <f>I142-F142</f>
        <v>-43.251477897167206</v>
      </c>
      <c r="L142" s="323"/>
      <c r="M142" s="449"/>
    </row>
    <row r="143" spans="2:13">
      <c r="B143" s="322" t="s">
        <v>107</v>
      </c>
      <c r="C143" s="323"/>
      <c r="D143" s="323"/>
      <c r="E143" s="323"/>
      <c r="F143" s="323">
        <f>F131+F137</f>
        <v>125338.18096</v>
      </c>
      <c r="G143" s="324"/>
      <c r="H143" s="323"/>
      <c r="I143" s="323">
        <f>I131+I137</f>
        <v>129086.17095999999</v>
      </c>
      <c r="J143" s="323"/>
      <c r="K143" s="334">
        <f>I143-F143</f>
        <v>3747.9899999999907</v>
      </c>
      <c r="L143" s="323"/>
      <c r="M143" s="449"/>
    </row>
    <row r="144" spans="2:13">
      <c r="B144" s="322" t="s">
        <v>34</v>
      </c>
      <c r="C144" s="323"/>
      <c r="D144" s="323"/>
      <c r="E144" s="323"/>
      <c r="F144" s="325">
        <f>SUM(F141:F143)</f>
        <v>305058053.69117999</v>
      </c>
      <c r="G144" s="324"/>
      <c r="H144" s="323"/>
      <c r="I144" s="325">
        <f>SUM(I141:I143)</f>
        <v>317376350.53970212</v>
      </c>
      <c r="J144" s="323"/>
      <c r="K144" s="325">
        <f>SUM(K141:K143)</f>
        <v>12318296.848522088</v>
      </c>
      <c r="L144" s="323"/>
      <c r="M144" s="449"/>
    </row>
    <row r="145" spans="2:13">
      <c r="C145" s="323"/>
      <c r="D145" s="323"/>
      <c r="E145" s="323"/>
      <c r="F145" s="323"/>
      <c r="G145" s="324"/>
      <c r="H145" s="323"/>
      <c r="I145" s="323"/>
      <c r="J145" s="323"/>
      <c r="K145" s="323"/>
      <c r="L145" s="323"/>
      <c r="M145" s="449"/>
    </row>
    <row r="146" spans="2:13">
      <c r="C146" s="323"/>
      <c r="D146" s="323"/>
      <c r="E146" s="323"/>
      <c r="F146" s="323"/>
      <c r="G146" s="324"/>
      <c r="H146" s="323"/>
      <c r="I146" s="323"/>
      <c r="J146" s="323"/>
      <c r="K146" s="323"/>
      <c r="L146" s="323"/>
      <c r="M146" s="449"/>
    </row>
    <row r="147" spans="2:13">
      <c r="B147" s="1" t="s">
        <v>210</v>
      </c>
      <c r="C147" s="323"/>
      <c r="D147" s="323"/>
      <c r="E147" s="323"/>
      <c r="F147" s="323"/>
      <c r="G147" s="324"/>
      <c r="H147" s="323"/>
      <c r="I147" s="323"/>
      <c r="J147" s="323"/>
      <c r="K147" s="323"/>
      <c r="L147" s="323"/>
      <c r="M147" s="449"/>
    </row>
    <row r="148" spans="2:13">
      <c r="B148" s="322" t="s">
        <v>213</v>
      </c>
      <c r="C148" s="323"/>
      <c r="D148" s="323"/>
      <c r="E148" s="323"/>
      <c r="F148" s="323"/>
      <c r="G148" s="324"/>
      <c r="H148" s="323"/>
      <c r="I148" s="323"/>
      <c r="J148" s="323"/>
      <c r="K148" s="323"/>
      <c r="L148" s="323"/>
      <c r="M148" s="449"/>
    </row>
    <row r="149" spans="2:13">
      <c r="C149" s="323"/>
      <c r="D149" s="323"/>
      <c r="E149" s="323"/>
      <c r="F149" s="323"/>
      <c r="G149" s="324"/>
      <c r="H149" s="323"/>
      <c r="I149" s="323"/>
      <c r="J149" s="323"/>
      <c r="K149" s="323"/>
      <c r="L149" s="323"/>
      <c r="M149" s="449"/>
    </row>
    <row r="150" spans="2:13">
      <c r="C150" s="323"/>
      <c r="D150" s="323"/>
      <c r="E150" s="323"/>
      <c r="F150" s="323"/>
      <c r="G150" s="324"/>
      <c r="H150" s="323"/>
      <c r="I150" s="323"/>
      <c r="J150" s="323"/>
      <c r="K150" s="323"/>
      <c r="L150" s="323"/>
      <c r="M150" s="449"/>
    </row>
    <row r="151" spans="2:13">
      <c r="C151" s="323"/>
      <c r="D151" s="323"/>
      <c r="E151" s="323"/>
      <c r="F151" s="323"/>
      <c r="G151" s="324"/>
      <c r="H151" s="323"/>
      <c r="I151" s="323"/>
      <c r="J151" s="323"/>
      <c r="K151" s="323"/>
      <c r="L151" s="323"/>
      <c r="M151" s="449"/>
    </row>
    <row r="152" spans="2:13">
      <c r="C152" s="323"/>
      <c r="D152" s="323"/>
      <c r="E152" s="323"/>
      <c r="F152" s="323"/>
      <c r="G152" s="324"/>
      <c r="H152" s="323"/>
      <c r="I152" s="323"/>
      <c r="J152" s="323"/>
      <c r="K152" s="323"/>
      <c r="L152" s="323"/>
      <c r="M152" s="449"/>
    </row>
    <row r="153" spans="2:13">
      <c r="C153" s="323"/>
      <c r="D153" s="323"/>
      <c r="E153" s="323"/>
      <c r="F153" s="323"/>
      <c r="G153" s="324"/>
      <c r="H153" s="323"/>
      <c r="I153" s="323"/>
      <c r="J153" s="323"/>
      <c r="K153" s="323"/>
      <c r="L153" s="323"/>
      <c r="M153" s="449"/>
    </row>
    <row r="154" spans="2:13">
      <c r="C154" s="323"/>
      <c r="D154" s="323"/>
      <c r="E154" s="323"/>
      <c r="F154" s="323"/>
      <c r="G154" s="324"/>
      <c r="H154" s="323"/>
      <c r="I154" s="323"/>
      <c r="J154" s="323"/>
      <c r="K154" s="323"/>
      <c r="L154" s="323"/>
      <c r="M154" s="449"/>
    </row>
    <row r="155" spans="2:13">
      <c r="C155" s="323"/>
      <c r="D155" s="323"/>
      <c r="E155" s="323"/>
      <c r="F155" s="323"/>
      <c r="G155" s="324"/>
      <c r="H155" s="323"/>
      <c r="I155" s="323"/>
      <c r="J155" s="323"/>
      <c r="K155" s="323"/>
      <c r="L155" s="323"/>
      <c r="M155" s="449"/>
    </row>
    <row r="156" spans="2:13">
      <c r="C156" s="323"/>
      <c r="D156" s="323"/>
      <c r="E156" s="323"/>
      <c r="F156" s="323"/>
      <c r="G156" s="324"/>
      <c r="H156" s="323"/>
      <c r="I156" s="323"/>
      <c r="J156" s="323"/>
      <c r="K156" s="323"/>
      <c r="L156" s="323"/>
      <c r="M156" s="449"/>
    </row>
    <row r="157" spans="2:13">
      <c r="C157" s="323"/>
      <c r="D157" s="323"/>
      <c r="E157" s="323"/>
      <c r="F157" s="323"/>
      <c r="G157" s="324"/>
      <c r="H157" s="323"/>
      <c r="I157" s="323"/>
      <c r="J157" s="323"/>
      <c r="K157" s="323"/>
      <c r="L157" s="323"/>
      <c r="M157" s="449"/>
    </row>
    <row r="158" spans="2:13">
      <c r="C158" s="323"/>
      <c r="D158" s="323"/>
      <c r="E158" s="323"/>
      <c r="F158" s="323"/>
      <c r="G158" s="324"/>
      <c r="H158" s="323"/>
      <c r="I158" s="323"/>
      <c r="J158" s="323"/>
      <c r="K158" s="323"/>
      <c r="L158" s="323"/>
      <c r="M158" s="449"/>
    </row>
    <row r="159" spans="2:13">
      <c r="C159" s="323"/>
      <c r="D159" s="323"/>
      <c r="E159" s="323"/>
      <c r="F159" s="323"/>
      <c r="G159" s="324"/>
      <c r="H159" s="323"/>
      <c r="I159" s="323"/>
      <c r="J159" s="323"/>
      <c r="K159" s="323"/>
      <c r="L159" s="323"/>
      <c r="M159" s="449"/>
    </row>
    <row r="160" spans="2:13">
      <c r="C160" s="323"/>
      <c r="D160" s="323"/>
      <c r="E160" s="323"/>
      <c r="F160" s="323"/>
      <c r="G160" s="324"/>
      <c r="H160" s="323"/>
      <c r="I160" s="323"/>
      <c r="J160" s="323"/>
      <c r="K160" s="323"/>
      <c r="L160" s="323"/>
      <c r="M160" s="449"/>
    </row>
    <row r="161" spans="3:13">
      <c r="C161" s="323"/>
      <c r="D161" s="323"/>
      <c r="E161" s="323"/>
      <c r="F161" s="323"/>
      <c r="G161" s="324"/>
      <c r="H161" s="323"/>
      <c r="I161" s="323"/>
      <c r="J161" s="323"/>
      <c r="K161" s="323"/>
      <c r="L161" s="323"/>
      <c r="M161" s="449"/>
    </row>
    <row r="162" spans="3:13">
      <c r="C162" s="323"/>
      <c r="D162" s="323"/>
      <c r="E162" s="323"/>
      <c r="F162" s="323"/>
      <c r="G162" s="324"/>
      <c r="H162" s="323"/>
      <c r="I162" s="323"/>
      <c r="J162" s="323"/>
      <c r="K162" s="323"/>
      <c r="L162" s="323"/>
      <c r="M162" s="449"/>
    </row>
    <row r="163" spans="3:13">
      <c r="C163" s="323"/>
      <c r="D163" s="323"/>
      <c r="E163" s="323"/>
      <c r="F163" s="323"/>
      <c r="G163" s="324"/>
      <c r="H163" s="323"/>
      <c r="I163" s="323"/>
      <c r="J163" s="323"/>
      <c r="K163" s="323"/>
      <c r="L163" s="323"/>
      <c r="M163" s="449"/>
    </row>
    <row r="164" spans="3:13">
      <c r="C164" s="323"/>
      <c r="D164" s="323"/>
      <c r="E164" s="323"/>
      <c r="F164" s="323"/>
      <c r="G164" s="324"/>
      <c r="H164" s="323"/>
      <c r="I164" s="323"/>
      <c r="J164" s="323"/>
      <c r="K164" s="323"/>
      <c r="L164" s="323"/>
      <c r="M164" s="449"/>
    </row>
    <row r="165" spans="3:13">
      <c r="C165" s="323"/>
      <c r="D165" s="323"/>
      <c r="E165" s="323"/>
      <c r="F165" s="323"/>
      <c r="G165" s="324"/>
      <c r="H165" s="323"/>
      <c r="I165" s="323"/>
      <c r="J165" s="323"/>
      <c r="K165" s="323"/>
      <c r="L165" s="323"/>
      <c r="M165" s="449"/>
    </row>
    <row r="166" spans="3:13">
      <c r="C166" s="323"/>
      <c r="D166" s="323"/>
      <c r="E166" s="323"/>
      <c r="F166" s="323"/>
      <c r="G166" s="324"/>
      <c r="H166" s="323"/>
      <c r="I166" s="323"/>
      <c r="J166" s="323"/>
      <c r="K166" s="323"/>
      <c r="L166" s="323"/>
      <c r="M166" s="449"/>
    </row>
    <row r="167" spans="3:13">
      <c r="C167" s="323"/>
      <c r="D167" s="323"/>
      <c r="E167" s="323"/>
      <c r="F167" s="323"/>
      <c r="G167" s="324"/>
      <c r="H167" s="323"/>
      <c r="I167" s="323"/>
      <c r="J167" s="323"/>
      <c r="K167" s="323"/>
      <c r="L167" s="323"/>
      <c r="M167" s="449"/>
    </row>
    <row r="168" spans="3:13">
      <c r="M168" s="449"/>
    </row>
    <row r="169" spans="3:13">
      <c r="M169" s="449"/>
    </row>
  </sheetData>
  <mergeCells count="1">
    <mergeCell ref="K7:L7"/>
  </mergeCells>
  <phoneticPr fontId="0" type="noConversion"/>
  <printOptions horizontalCentered="1"/>
  <pageMargins left="0.5" right="0.5" top="1" bottom="0.5" header="0.75" footer="0.3"/>
  <pageSetup scale="75" orientation="landscape" blackAndWhite="1" r:id="rId1"/>
  <headerFooter alignWithMargins="0">
    <oddHeader>&amp;RExhibit No.___(JKP-10)
Page &amp;P of &amp;N</oddHeader>
    <oddFooter>&amp;L&amp;F&amp;A&amp;C&amp;P&amp;R&amp;D</oddFooter>
  </headerFooter>
  <rowBreaks count="3" manualBreakCount="3">
    <brk id="49" max="16383" man="1"/>
    <brk id="90" max="16383" man="1"/>
    <brk id="12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6"/>
  <dimension ref="A1:Y237"/>
  <sheetViews>
    <sheetView topLeftCell="A117" zoomScale="85" zoomScaleNormal="85" workbookViewId="0">
      <selection activeCell="O144" sqref="O144"/>
    </sheetView>
  </sheetViews>
  <sheetFormatPr defaultRowHeight="12.75"/>
  <cols>
    <col min="1" max="1" width="2.140625" style="118" customWidth="1"/>
    <col min="2" max="2" width="27.5703125" style="118" customWidth="1"/>
    <col min="3" max="3" width="7.85546875" style="118" bestFit="1" customWidth="1"/>
    <col min="4" max="4" width="12" style="214" bestFit="1" customWidth="1"/>
    <col min="5" max="5" width="11" style="253" customWidth="1"/>
    <col min="6" max="6" width="14.42578125" style="217" bestFit="1" customWidth="1"/>
    <col min="7" max="7" width="3" style="158" customWidth="1"/>
    <col min="8" max="8" width="17.140625" style="217" bestFit="1" customWidth="1"/>
    <col min="9" max="9" width="17" style="217" customWidth="1"/>
    <col min="10" max="10" width="2.5703125" style="217" customWidth="1"/>
    <col min="11" max="11" width="13" style="217" customWidth="1"/>
    <col min="12" max="12" width="13.5703125" style="252" customWidth="1"/>
    <col min="13" max="13" width="2" style="365" customWidth="1"/>
    <col min="14" max="14" width="2.140625" style="235" customWidth="1"/>
    <col min="15" max="15" width="22.140625" style="118" bestFit="1" customWidth="1"/>
    <col min="16" max="16" width="9.28515625" style="118" bestFit="1" customWidth="1"/>
    <col min="17" max="17" width="12.42578125" style="118" customWidth="1"/>
    <col min="18" max="18" width="10.7109375" style="118" bestFit="1" customWidth="1"/>
    <col min="19" max="19" width="12.85546875" style="118" customWidth="1"/>
    <col min="20" max="16384" width="9.140625" style="118"/>
  </cols>
  <sheetData>
    <row r="1" spans="1:15">
      <c r="N1" s="354"/>
    </row>
    <row r="2" spans="1:15">
      <c r="B2" s="219" t="s">
        <v>83</v>
      </c>
      <c r="C2" s="219"/>
      <c r="D2" s="260"/>
      <c r="E2" s="120"/>
      <c r="F2" s="120"/>
      <c r="G2" s="260"/>
      <c r="H2" s="120"/>
      <c r="I2" s="120"/>
      <c r="J2" s="120"/>
      <c r="K2" s="120"/>
      <c r="L2" s="120"/>
      <c r="N2" s="354"/>
      <c r="O2" s="119"/>
    </row>
    <row r="3" spans="1:15">
      <c r="B3" s="219" t="s">
        <v>175</v>
      </c>
      <c r="C3" s="219"/>
      <c r="D3" s="260"/>
      <c r="E3" s="120"/>
      <c r="F3" s="120"/>
      <c r="G3" s="260"/>
      <c r="H3" s="120"/>
      <c r="I3" s="120"/>
      <c r="J3" s="120"/>
      <c r="K3" s="120"/>
      <c r="L3" s="120"/>
      <c r="N3" s="354"/>
      <c r="O3" s="119"/>
    </row>
    <row r="4" spans="1:15">
      <c r="B4" s="219" t="s">
        <v>174</v>
      </c>
      <c r="C4" s="219"/>
      <c r="D4" s="260"/>
      <c r="E4" s="120"/>
      <c r="F4" s="120"/>
      <c r="G4" s="260"/>
      <c r="H4" s="120"/>
      <c r="I4" s="120"/>
      <c r="J4" s="120"/>
      <c r="K4" s="120"/>
      <c r="L4" s="120"/>
      <c r="N4" s="354"/>
      <c r="O4" s="119"/>
    </row>
    <row r="5" spans="1:15">
      <c r="B5" s="219" t="s">
        <v>217</v>
      </c>
      <c r="C5" s="219"/>
      <c r="D5" s="121"/>
      <c r="E5" s="232"/>
      <c r="F5" s="120"/>
      <c r="G5" s="233"/>
      <c r="H5" s="120"/>
      <c r="I5" s="120"/>
      <c r="J5" s="120"/>
      <c r="K5" s="120"/>
      <c r="L5" s="122"/>
      <c r="N5" s="354"/>
      <c r="O5" s="119"/>
    </row>
    <row r="6" spans="1:15" s="144" customFormat="1">
      <c r="B6" s="414"/>
      <c r="C6" s="234"/>
      <c r="D6" s="181"/>
      <c r="E6" s="165"/>
      <c r="F6" s="164"/>
      <c r="G6" s="158"/>
      <c r="H6" s="164"/>
      <c r="I6" s="164"/>
      <c r="J6" s="164"/>
      <c r="K6" s="164"/>
      <c r="L6" s="235"/>
      <c r="M6" s="354"/>
      <c r="N6" s="354"/>
    </row>
    <row r="7" spans="1:15">
      <c r="B7" s="130"/>
      <c r="C7" s="131"/>
      <c r="D7" s="412" t="s">
        <v>0</v>
      </c>
      <c r="E7" s="236" t="s">
        <v>1</v>
      </c>
      <c r="F7" s="133"/>
      <c r="G7" s="412"/>
      <c r="H7" s="133" t="s">
        <v>2</v>
      </c>
      <c r="I7" s="133"/>
      <c r="J7" s="135"/>
      <c r="K7" s="563" t="s">
        <v>3</v>
      </c>
      <c r="L7" s="564"/>
      <c r="M7" s="354"/>
      <c r="N7" s="136"/>
      <c r="O7" s="137"/>
    </row>
    <row r="8" spans="1:15">
      <c r="B8" s="138" t="s">
        <v>4</v>
      </c>
      <c r="C8" s="237" t="s">
        <v>91</v>
      </c>
      <c r="D8" s="261" t="s">
        <v>5</v>
      </c>
      <c r="E8" s="238" t="s">
        <v>6</v>
      </c>
      <c r="F8" s="140" t="s">
        <v>39</v>
      </c>
      <c r="G8" s="261"/>
      <c r="H8" s="140" t="s">
        <v>6</v>
      </c>
      <c r="I8" s="140" t="s">
        <v>39</v>
      </c>
      <c r="J8" s="140"/>
      <c r="K8" s="140" t="s">
        <v>7</v>
      </c>
      <c r="L8" s="142" t="s">
        <v>8</v>
      </c>
      <c r="M8" s="354"/>
      <c r="N8" s="34"/>
      <c r="O8" s="137"/>
    </row>
    <row r="9" spans="1:15">
      <c r="A9" s="144"/>
      <c r="B9" s="166"/>
      <c r="C9" s="167"/>
      <c r="D9" s="158"/>
      <c r="E9" s="165"/>
      <c r="F9" s="164"/>
      <c r="G9" s="187"/>
      <c r="H9" s="164"/>
      <c r="I9" s="239"/>
      <c r="J9" s="239"/>
      <c r="K9" s="164"/>
      <c r="L9" s="497"/>
      <c r="M9" s="354"/>
      <c r="O9" s="144"/>
    </row>
    <row r="10" spans="1:15">
      <c r="B10" s="223" t="s">
        <v>194</v>
      </c>
      <c r="C10" s="256"/>
      <c r="D10" s="151"/>
      <c r="E10" s="240"/>
      <c r="F10" s="150"/>
      <c r="G10" s="262"/>
      <c r="H10" s="241"/>
      <c r="I10" s="242"/>
      <c r="J10" s="242"/>
      <c r="K10" s="150"/>
      <c r="L10" s="305"/>
      <c r="M10" s="354"/>
      <c r="N10" s="353"/>
      <c r="O10" s="280" t="s">
        <v>134</v>
      </c>
    </row>
    <row r="11" spans="1:15">
      <c r="B11" s="155"/>
      <c r="C11" s="144"/>
      <c r="D11" s="158"/>
      <c r="E11" s="165"/>
      <c r="F11" s="157"/>
      <c r="G11" s="187"/>
      <c r="H11" s="164"/>
      <c r="I11" s="190"/>
      <c r="J11" s="239"/>
      <c r="K11" s="157"/>
      <c r="L11" s="306"/>
      <c r="M11" s="354"/>
      <c r="N11" s="353"/>
      <c r="O11" s="278">
        <f>'Rate Spread-Margin'!J17</f>
        <v>0</v>
      </c>
    </row>
    <row r="12" spans="1:15">
      <c r="B12" s="255" t="s">
        <v>202</v>
      </c>
      <c r="C12" s="257" t="s">
        <v>80</v>
      </c>
      <c r="D12" s="259">
        <f>240+143</f>
        <v>383</v>
      </c>
      <c r="E12" s="221">
        <v>500</v>
      </c>
      <c r="F12" s="157">
        <f>ROUND(D12*E12,2)</f>
        <v>191500</v>
      </c>
      <c r="H12" s="310">
        <v>500</v>
      </c>
      <c r="I12" s="190">
        <f>ROUND(D12*H12,2)</f>
        <v>191500</v>
      </c>
      <c r="J12" s="239"/>
      <c r="K12" s="157">
        <f>I12-F12</f>
        <v>0</v>
      </c>
      <c r="L12" s="306"/>
      <c r="M12" s="354"/>
      <c r="N12" s="352"/>
      <c r="O12" s="304" t="s">
        <v>158</v>
      </c>
    </row>
    <row r="13" spans="1:15">
      <c r="B13" s="225" t="s">
        <v>36</v>
      </c>
      <c r="C13" s="224" t="s">
        <v>90</v>
      </c>
      <c r="D13" s="259">
        <f>86220+21030</f>
        <v>107250</v>
      </c>
      <c r="E13" s="221">
        <v>1.02</v>
      </c>
      <c r="F13" s="157">
        <f>ROUND(D13*E13,2)</f>
        <v>109395</v>
      </c>
      <c r="H13" s="310">
        <v>1.5</v>
      </c>
      <c r="I13" s="190">
        <f>ROUND(D13*H13,2)</f>
        <v>160875</v>
      </c>
      <c r="J13" s="239"/>
      <c r="K13" s="157">
        <f>I13-F13</f>
        <v>51480</v>
      </c>
      <c r="L13" s="306"/>
      <c r="M13" s="354"/>
      <c r="N13" s="352"/>
      <c r="O13" s="243">
        <f>K21+K45-O11</f>
        <v>44.043699999929231</v>
      </c>
    </row>
    <row r="14" spans="1:15">
      <c r="B14" s="155" t="s">
        <v>78</v>
      </c>
      <c r="C14" s="224" t="s">
        <v>15</v>
      </c>
      <c r="D14" s="158">
        <f>D21</f>
        <v>15510556</v>
      </c>
      <c r="E14" s="222">
        <v>6.4999999999999997E-3</v>
      </c>
      <c r="F14" s="157">
        <f>E14*D14</f>
        <v>100818.614</v>
      </c>
      <c r="H14" s="309">
        <v>5.0000000000000001E-3</v>
      </c>
      <c r="I14" s="190">
        <f>ROUND(D14*H14,2)</f>
        <v>77552.78</v>
      </c>
      <c r="J14" s="164"/>
      <c r="K14" s="157">
        <f>I14-F14</f>
        <v>-23265.834000000003</v>
      </c>
      <c r="L14" s="306"/>
      <c r="M14" s="354"/>
      <c r="N14" s="357"/>
      <c r="O14" s="336"/>
    </row>
    <row r="15" spans="1:15">
      <c r="B15" s="297" t="s">
        <v>167</v>
      </c>
      <c r="C15" s="224"/>
      <c r="D15" s="158"/>
      <c r="E15" s="222"/>
      <c r="F15" s="428">
        <f>46758+176981</f>
        <v>223739</v>
      </c>
      <c r="H15" s="250"/>
      <c r="I15" s="447">
        <f>176981+46758</f>
        <v>223739</v>
      </c>
      <c r="J15" s="164"/>
      <c r="K15" s="157">
        <f>I15-F15</f>
        <v>0</v>
      </c>
      <c r="L15" s="306"/>
      <c r="M15" s="354"/>
      <c r="N15" s="354"/>
      <c r="O15" s="316"/>
    </row>
    <row r="16" spans="1:15">
      <c r="B16" s="155"/>
      <c r="C16" s="144"/>
      <c r="D16" s="158"/>
      <c r="E16" s="222"/>
      <c r="F16" s="157"/>
      <c r="H16" s="165"/>
      <c r="I16" s="190"/>
      <c r="J16" s="239"/>
      <c r="K16" s="157"/>
      <c r="L16" s="306"/>
      <c r="M16" s="354"/>
      <c r="N16" s="354"/>
      <c r="O16" s="244"/>
    </row>
    <row r="17" spans="2:25">
      <c r="B17" s="225" t="s">
        <v>109</v>
      </c>
      <c r="C17" s="144"/>
      <c r="D17" s="158"/>
      <c r="E17" s="222"/>
      <c r="F17" s="157"/>
      <c r="H17" s="165"/>
      <c r="I17" s="190"/>
      <c r="J17" s="239"/>
      <c r="K17" s="157"/>
      <c r="L17" s="306"/>
      <c r="M17" s="354"/>
      <c r="N17" s="354"/>
      <c r="O17" s="244"/>
    </row>
    <row r="18" spans="2:25">
      <c r="B18" s="155" t="s">
        <v>19</v>
      </c>
      <c r="C18" s="224" t="s">
        <v>15</v>
      </c>
      <c r="D18" s="259">
        <f>4695601+3094768</f>
        <v>7790369</v>
      </c>
      <c r="E18" s="222">
        <v>0.1</v>
      </c>
      <c r="F18" s="157">
        <f>ROUND(D18*E18,2)</f>
        <v>779036.9</v>
      </c>
      <c r="H18" s="309">
        <f>ROUND(+E18*(1+$O$18),5)</f>
        <v>9.4839999999999994E-2</v>
      </c>
      <c r="I18" s="190">
        <f>ROUND(D18*H18,2)</f>
        <v>738838.6</v>
      </c>
      <c r="J18" s="239"/>
      <c r="K18" s="157">
        <f>I18-F18</f>
        <v>-40198.300000000047</v>
      </c>
      <c r="L18" s="306"/>
      <c r="M18" s="354"/>
      <c r="N18" s="357"/>
      <c r="O18" s="560">
        <v>-5.1629152494575455E-2</v>
      </c>
      <c r="P18" s="300"/>
      <c r="Q18" s="229"/>
      <c r="R18" s="199"/>
      <c r="S18" s="199"/>
    </row>
    <row r="19" spans="2:25">
      <c r="B19" s="155" t="s">
        <v>20</v>
      </c>
      <c r="C19" s="224" t="s">
        <v>15</v>
      </c>
      <c r="D19" s="259">
        <f>1826907+1755887</f>
        <v>3582794</v>
      </c>
      <c r="E19" s="222">
        <v>5.1270000000000003E-2</v>
      </c>
      <c r="F19" s="157">
        <f>ROUND(D19*E19,2)</f>
        <v>183689.85</v>
      </c>
      <c r="H19" s="309">
        <f>ROUND(+E19*(1+$O$18),5)</f>
        <v>4.8619999999999997E-2</v>
      </c>
      <c r="I19" s="190">
        <f>ROUND(D19*H19,2)</f>
        <v>174195.44</v>
      </c>
      <c r="J19" s="239"/>
      <c r="K19" s="157">
        <f>I19-F19</f>
        <v>-9494.4100000000035</v>
      </c>
      <c r="L19" s="306"/>
      <c r="M19" s="354"/>
      <c r="N19" s="357"/>
      <c r="O19" s="309"/>
      <c r="P19" s="309"/>
      <c r="Q19" s="228"/>
      <c r="R19" s="416"/>
      <c r="S19" s="416"/>
    </row>
    <row r="20" spans="2:25">
      <c r="B20" s="155" t="s">
        <v>21</v>
      </c>
      <c r="C20" s="224" t="s">
        <v>15</v>
      </c>
      <c r="D20" s="259">
        <f>3726535+410858</f>
        <v>4137393</v>
      </c>
      <c r="E20" s="222">
        <v>4.9209999999999997E-2</v>
      </c>
      <c r="F20" s="157">
        <f>ROUND(D20*E20,2)</f>
        <v>203601.11</v>
      </c>
      <c r="H20" s="309">
        <f>ROUND(+E20*(1+$O$18),5)</f>
        <v>4.6670000000000003E-2</v>
      </c>
      <c r="I20" s="190">
        <f>ROUND(D20*H20,2)</f>
        <v>193092.13</v>
      </c>
      <c r="J20" s="239"/>
      <c r="K20" s="157">
        <f>I20-F20</f>
        <v>-10508.979999999981</v>
      </c>
      <c r="L20" s="159"/>
      <c r="M20" s="354"/>
      <c r="N20" s="357"/>
      <c r="O20" s="309"/>
      <c r="P20" s="222"/>
      <c r="Q20" s="228"/>
      <c r="R20" s="416"/>
      <c r="S20" s="416"/>
    </row>
    <row r="21" spans="2:25">
      <c r="B21" s="166" t="s">
        <v>10</v>
      </c>
      <c r="C21" s="167"/>
      <c r="D21" s="151">
        <f>SUM(D18:D20)</f>
        <v>15510556</v>
      </c>
      <c r="E21" s="164"/>
      <c r="F21" s="264">
        <f>SUM(F12:F20)</f>
        <v>1791780.4739999999</v>
      </c>
      <c r="H21" s="164"/>
      <c r="I21" s="264">
        <f>SUM(I12:I20)</f>
        <v>1759792.9499999997</v>
      </c>
      <c r="J21" s="239"/>
      <c r="K21" s="264">
        <f>SUM(K12:K20)</f>
        <v>-31987.524000000034</v>
      </c>
      <c r="L21" s="491">
        <f>K21/F21</f>
        <v>-1.7852367778397854E-2</v>
      </c>
      <c r="M21" s="354"/>
      <c r="N21" s="354"/>
      <c r="O21" s="496"/>
      <c r="P21" s="229"/>
      <c r="Q21" s="230"/>
      <c r="R21" s="199"/>
      <c r="S21" s="199"/>
    </row>
    <row r="22" spans="2:25" ht="12.75" customHeight="1">
      <c r="B22" s="166"/>
      <c r="C22" s="167"/>
      <c r="D22" s="158"/>
      <c r="E22" s="164"/>
      <c r="F22" s="190"/>
      <c r="H22" s="164"/>
      <c r="I22" s="190"/>
      <c r="J22" s="239"/>
      <c r="K22" s="157"/>
      <c r="L22" s="306"/>
      <c r="M22" s="354"/>
      <c r="N22" s="354"/>
      <c r="O22" s="245"/>
      <c r="P22" s="137"/>
      <c r="Q22" s="197"/>
    </row>
    <row r="23" spans="2:25" ht="12.75" customHeight="1">
      <c r="B23" s="64" t="s">
        <v>211</v>
      </c>
      <c r="C23" s="167"/>
      <c r="D23" s="158"/>
      <c r="E23" s="164"/>
      <c r="F23" s="190"/>
      <c r="H23" s="164"/>
      <c r="I23" s="190"/>
      <c r="J23" s="239"/>
      <c r="K23" s="157"/>
      <c r="L23" s="306"/>
      <c r="M23" s="354"/>
      <c r="N23" s="354"/>
      <c r="O23" s="245"/>
      <c r="P23" s="137"/>
      <c r="Q23" s="197"/>
    </row>
    <row r="24" spans="2:25">
      <c r="B24" s="225" t="s">
        <v>110</v>
      </c>
      <c r="C24" s="224" t="s">
        <v>15</v>
      </c>
      <c r="D24" s="436">
        <f>D21</f>
        <v>15510556</v>
      </c>
      <c r="E24" s="222">
        <v>0.79083999999999999</v>
      </c>
      <c r="F24" s="190">
        <f>D24*E24</f>
        <v>12266368.107039999</v>
      </c>
      <c r="G24" s="254"/>
      <c r="H24" s="452">
        <f>E24</f>
        <v>0.79083999999999999</v>
      </c>
      <c r="I24" s="190">
        <f>$D24*H24</f>
        <v>12266368.107039999</v>
      </c>
      <c r="J24" s="239"/>
      <c r="K24" s="157">
        <f>I24-F24</f>
        <v>0</v>
      </c>
      <c r="L24" s="306"/>
      <c r="M24" s="354"/>
      <c r="N24" s="355"/>
    </row>
    <row r="25" spans="2:25">
      <c r="B25" s="225" t="s">
        <v>36</v>
      </c>
      <c r="C25" s="224" t="s">
        <v>90</v>
      </c>
      <c r="D25" s="436">
        <f>D13</f>
        <v>107250</v>
      </c>
      <c r="E25" s="221">
        <v>1.05</v>
      </c>
      <c r="F25" s="190">
        <f>D25*E25</f>
        <v>112612.5</v>
      </c>
      <c r="G25" s="254"/>
      <c r="H25" s="453">
        <f>E25</f>
        <v>1.05</v>
      </c>
      <c r="I25" s="190">
        <f>$D25*H25</f>
        <v>112612.5</v>
      </c>
      <c r="J25" s="239"/>
      <c r="K25" s="157">
        <f>I25-F25</f>
        <v>0</v>
      </c>
      <c r="L25" s="159"/>
      <c r="M25" s="354"/>
      <c r="N25" s="354"/>
    </row>
    <row r="26" spans="2:25">
      <c r="B26" s="166" t="s">
        <v>10</v>
      </c>
      <c r="C26" s="167"/>
      <c r="D26" s="168"/>
      <c r="E26" s="164"/>
      <c r="F26" s="264">
        <f>SUM(F24:F25)</f>
        <v>12378980.607039999</v>
      </c>
      <c r="G26" s="168"/>
      <c r="H26" s="164"/>
      <c r="I26" s="264">
        <f>SUM(I24:I25)</f>
        <v>12378980.607039999</v>
      </c>
      <c r="J26" s="164"/>
      <c r="K26" s="264">
        <f>SUM(K24:K25)</f>
        <v>0</v>
      </c>
      <c r="L26" s="491">
        <f>ROUND(K26/F26,5)</f>
        <v>0</v>
      </c>
      <c r="M26" s="354"/>
      <c r="N26" s="354"/>
      <c r="O26" s="245"/>
      <c r="P26" s="137"/>
      <c r="Q26" s="197"/>
    </row>
    <row r="27" spans="2:25">
      <c r="B27" s="155"/>
      <c r="C27" s="144"/>
      <c r="D27" s="158"/>
      <c r="E27" s="163"/>
      <c r="F27" s="190"/>
      <c r="H27" s="164"/>
      <c r="I27" s="190"/>
      <c r="J27" s="239"/>
      <c r="K27" s="157"/>
      <c r="L27" s="159"/>
      <c r="M27" s="354"/>
      <c r="N27" s="354"/>
    </row>
    <row r="28" spans="2:25">
      <c r="B28" s="155" t="s">
        <v>38</v>
      </c>
      <c r="C28" s="144"/>
      <c r="D28" s="158"/>
      <c r="E28" s="250"/>
      <c r="F28" s="264">
        <f>F21+F26</f>
        <v>14170761.081039999</v>
      </c>
      <c r="H28" s="164"/>
      <c r="I28" s="264">
        <f>I21+I26</f>
        <v>14138773.557039998</v>
      </c>
      <c r="J28" s="239"/>
      <c r="K28" s="264">
        <f>K21+K26</f>
        <v>-31987.524000000034</v>
      </c>
      <c r="L28" s="491">
        <f>K28/F28</f>
        <v>-2.25729047417208E-3</v>
      </c>
      <c r="M28" s="354"/>
      <c r="N28" s="354"/>
    </row>
    <row r="29" spans="2:25">
      <c r="B29" s="155"/>
      <c r="C29" s="144"/>
      <c r="D29" s="180"/>
      <c r="E29" s="250"/>
      <c r="F29" s="176"/>
      <c r="H29" s="164"/>
      <c r="I29" s="190"/>
      <c r="J29" s="239"/>
      <c r="K29" s="157"/>
      <c r="L29" s="159"/>
      <c r="M29" s="354"/>
      <c r="N29" s="354"/>
    </row>
    <row r="30" spans="2:25">
      <c r="B30" s="177"/>
      <c r="C30" s="154"/>
      <c r="D30" s="212"/>
      <c r="E30" s="246"/>
      <c r="F30" s="178"/>
      <c r="G30" s="212"/>
      <c r="H30" s="216"/>
      <c r="I30" s="178"/>
      <c r="J30" s="247"/>
      <c r="K30" s="178"/>
      <c r="L30" s="184"/>
      <c r="M30" s="354"/>
      <c r="N30" s="354"/>
    </row>
    <row r="31" spans="2:25">
      <c r="B31" s="144"/>
      <c r="C31" s="144"/>
      <c r="D31" s="158"/>
      <c r="E31" s="165"/>
      <c r="F31" s="157"/>
      <c r="H31" s="164"/>
      <c r="I31" s="190"/>
      <c r="J31" s="239"/>
      <c r="K31" s="157"/>
      <c r="L31" s="185"/>
      <c r="M31" s="354"/>
      <c r="N31" s="354"/>
    </row>
    <row r="32" spans="2:25">
      <c r="B32" s="223" t="s">
        <v>195</v>
      </c>
      <c r="C32" s="256"/>
      <c r="D32" s="151"/>
      <c r="E32" s="240"/>
      <c r="F32" s="150"/>
      <c r="G32" s="262"/>
      <c r="H32" s="241"/>
      <c r="I32" s="242"/>
      <c r="J32" s="242"/>
      <c r="K32" s="150"/>
      <c r="L32" s="305"/>
      <c r="M32" s="354"/>
      <c r="N32" s="354"/>
      <c r="O32" s="425"/>
      <c r="P32" s="424"/>
      <c r="Q32" s="158"/>
      <c r="R32" s="250"/>
      <c r="S32" s="176"/>
      <c r="T32" s="158"/>
      <c r="U32" s="163"/>
      <c r="V32" s="420"/>
      <c r="W32" s="422"/>
      <c r="X32" s="176"/>
      <c r="Y32" s="426"/>
    </row>
    <row r="33" spans="2:25">
      <c r="B33" s="155"/>
      <c r="C33" s="144"/>
      <c r="D33" s="158"/>
      <c r="E33" s="165"/>
      <c r="F33" s="157"/>
      <c r="G33" s="187"/>
      <c r="H33" s="164"/>
      <c r="I33" s="190"/>
      <c r="J33" s="239"/>
      <c r="K33" s="157"/>
      <c r="L33" s="306"/>
      <c r="M33" s="354"/>
      <c r="N33" s="354"/>
      <c r="O33" s="168"/>
      <c r="P33" s="168"/>
      <c r="Q33" s="158"/>
      <c r="R33" s="250"/>
      <c r="S33" s="176"/>
      <c r="T33" s="158"/>
      <c r="U33" s="163"/>
      <c r="V33" s="420"/>
      <c r="W33" s="422"/>
      <c r="X33" s="176"/>
      <c r="Y33" s="426"/>
    </row>
    <row r="34" spans="2:25">
      <c r="B34" s="255" t="s">
        <v>202</v>
      </c>
      <c r="C34" s="257" t="s">
        <v>80</v>
      </c>
      <c r="D34" s="259">
        <f>324+564</f>
        <v>888</v>
      </c>
      <c r="E34" s="221">
        <v>800</v>
      </c>
      <c r="F34" s="157">
        <f>ROUND(D34*E34,2)</f>
        <v>710400</v>
      </c>
      <c r="H34" s="163">
        <f>H12+300</f>
        <v>800</v>
      </c>
      <c r="I34" s="190">
        <f>ROUND(D34*H34,2)</f>
        <v>710400</v>
      </c>
      <c r="J34" s="239"/>
      <c r="K34" s="157">
        <f>I34-F34</f>
        <v>0</v>
      </c>
      <c r="L34" s="306"/>
      <c r="M34" s="354"/>
      <c r="N34" s="354"/>
      <c r="O34" s="424"/>
      <c r="P34" s="424"/>
      <c r="Q34" s="259"/>
      <c r="R34" s="221"/>
      <c r="S34" s="176"/>
      <c r="T34" s="158"/>
      <c r="U34" s="163"/>
      <c r="V34" s="420"/>
      <c r="W34" s="422"/>
      <c r="X34" s="175"/>
      <c r="Y34" s="427"/>
    </row>
    <row r="35" spans="2:25">
      <c r="B35" s="225" t="s">
        <v>36</v>
      </c>
      <c r="C35" s="224" t="s">
        <v>90</v>
      </c>
      <c r="D35" s="259">
        <f>279740+223084</f>
        <v>502824</v>
      </c>
      <c r="E35" s="221">
        <v>1.02</v>
      </c>
      <c r="F35" s="157">
        <f>ROUND(D35*E35,2)</f>
        <v>512880.48</v>
      </c>
      <c r="H35" s="163">
        <f>H13</f>
        <v>1.5</v>
      </c>
      <c r="I35" s="190">
        <f>ROUND(D35*H35,2)</f>
        <v>754236</v>
      </c>
      <c r="J35" s="239"/>
      <c r="K35" s="157">
        <f>I35-F35</f>
        <v>241355.52000000002</v>
      </c>
      <c r="L35" s="306"/>
      <c r="M35" s="354"/>
      <c r="N35" s="354"/>
      <c r="O35" s="410"/>
      <c r="P35" s="410"/>
      <c r="Q35" s="259"/>
      <c r="R35" s="221"/>
      <c r="S35" s="176"/>
      <c r="T35" s="158"/>
      <c r="U35" s="163"/>
      <c r="V35" s="420"/>
      <c r="W35" s="422"/>
      <c r="X35" s="175"/>
      <c r="Y35" s="427"/>
    </row>
    <row r="36" spans="2:25">
      <c r="B36" s="225" t="s">
        <v>167</v>
      </c>
      <c r="C36" s="224"/>
      <c r="D36" s="259"/>
      <c r="E36" s="221"/>
      <c r="F36" s="423">
        <f>4902+92233</f>
        <v>97135</v>
      </c>
      <c r="H36" s="163"/>
      <c r="I36" s="423">
        <f>4902+92233</f>
        <v>97135</v>
      </c>
      <c r="J36" s="239"/>
      <c r="K36" s="157">
        <f>I36-F36</f>
        <v>0</v>
      </c>
      <c r="L36" s="306"/>
      <c r="M36" s="354"/>
      <c r="N36" s="354"/>
      <c r="O36" s="410"/>
      <c r="P36" s="410"/>
      <c r="Q36" s="259"/>
      <c r="R36" s="221"/>
      <c r="S36" s="176"/>
      <c r="T36" s="158"/>
      <c r="U36" s="163"/>
      <c r="V36" s="420"/>
      <c r="W36" s="422"/>
      <c r="X36" s="175"/>
      <c r="Y36" s="427"/>
    </row>
    <row r="37" spans="2:25">
      <c r="B37" s="297"/>
      <c r="C37" s="224"/>
      <c r="D37" s="158"/>
      <c r="E37" s="222"/>
      <c r="F37" s="144"/>
      <c r="H37" s="250"/>
      <c r="I37" s="144"/>
      <c r="J37" s="164"/>
      <c r="K37" s="157"/>
      <c r="L37" s="306"/>
      <c r="M37" s="354"/>
      <c r="N37" s="354"/>
      <c r="O37" s="168"/>
      <c r="P37" s="410"/>
      <c r="Q37" s="158"/>
      <c r="R37" s="222"/>
      <c r="S37" s="176"/>
      <c r="T37" s="158"/>
      <c r="U37" s="309"/>
      <c r="V37" s="420"/>
      <c r="W37" s="422"/>
      <c r="X37" s="175"/>
      <c r="Y37" s="427"/>
    </row>
    <row r="38" spans="2:25">
      <c r="B38" s="155"/>
      <c r="C38" s="144"/>
      <c r="D38" s="158"/>
      <c r="E38" s="222"/>
      <c r="F38" s="157"/>
      <c r="H38" s="165"/>
      <c r="I38" s="190"/>
      <c r="J38" s="239"/>
      <c r="K38" s="157"/>
      <c r="L38" s="306"/>
      <c r="M38" s="354"/>
      <c r="N38" s="354"/>
      <c r="O38" s="413"/>
      <c r="P38" s="168"/>
      <c r="Q38" s="158"/>
      <c r="R38" s="163"/>
      <c r="S38" s="428"/>
      <c r="T38" s="158"/>
      <c r="U38" s="339"/>
      <c r="V38" s="420"/>
      <c r="W38" s="422"/>
      <c r="X38" s="175"/>
      <c r="Y38" s="427"/>
    </row>
    <row r="39" spans="2:25">
      <c r="B39" s="225" t="s">
        <v>109</v>
      </c>
      <c r="C39" s="144"/>
      <c r="D39" s="158"/>
      <c r="E39" s="222"/>
      <c r="F39" s="157"/>
      <c r="H39" s="165"/>
      <c r="I39" s="190"/>
      <c r="J39" s="239"/>
      <c r="K39" s="157"/>
      <c r="L39" s="306"/>
      <c r="M39" s="354"/>
      <c r="N39" s="354"/>
      <c r="O39" s="168"/>
      <c r="P39" s="168"/>
      <c r="Q39" s="158"/>
      <c r="R39" s="163"/>
      <c r="S39" s="176"/>
      <c r="T39" s="158"/>
      <c r="U39" s="339"/>
      <c r="V39" s="420"/>
      <c r="W39" s="422"/>
      <c r="X39" s="175"/>
      <c r="Y39" s="427"/>
    </row>
    <row r="40" spans="2:25">
      <c r="B40" s="155" t="s">
        <v>19</v>
      </c>
      <c r="C40" s="224" t="s">
        <v>15</v>
      </c>
      <c r="D40" s="259">
        <f>7672040+12986497</f>
        <v>20658537</v>
      </c>
      <c r="E40" s="222">
        <v>0.1</v>
      </c>
      <c r="F40" s="157">
        <f>ROUND(D40*E40,2)</f>
        <v>2065853.7</v>
      </c>
      <c r="H40" s="339">
        <f>H18</f>
        <v>9.4839999999999994E-2</v>
      </c>
      <c r="I40" s="190">
        <f>ROUND(D40*H40,2)</f>
        <v>1959255.65</v>
      </c>
      <c r="J40" s="239"/>
      <c r="K40" s="157">
        <f>I40-F40</f>
        <v>-106598.05000000005</v>
      </c>
      <c r="L40" s="306"/>
      <c r="M40" s="354"/>
      <c r="N40" s="354"/>
      <c r="O40" s="410"/>
      <c r="P40" s="168"/>
      <c r="Q40" s="158"/>
      <c r="R40" s="163"/>
      <c r="S40" s="176"/>
      <c r="T40" s="158"/>
      <c r="U40" s="250"/>
      <c r="V40" s="420"/>
      <c r="W40" s="422"/>
      <c r="X40" s="175"/>
      <c r="Y40" s="427"/>
    </row>
    <row r="41" spans="2:25">
      <c r="B41" s="155" t="s">
        <v>20</v>
      </c>
      <c r="C41" s="224" t="s">
        <v>15</v>
      </c>
      <c r="D41" s="259">
        <f>5174723+8265696</f>
        <v>13440419</v>
      </c>
      <c r="E41" s="222">
        <v>5.1270000000000003E-2</v>
      </c>
      <c r="F41" s="157">
        <f>ROUND(D41*E41,2)</f>
        <v>689090.28</v>
      </c>
      <c r="H41" s="339">
        <f>H19</f>
        <v>4.8619999999999997E-2</v>
      </c>
      <c r="I41" s="190">
        <f>ROUND(D41*H41,2)</f>
        <v>653473.17000000004</v>
      </c>
      <c r="J41" s="239"/>
      <c r="K41" s="157">
        <f>I41-F41</f>
        <v>-35617.109999999986</v>
      </c>
      <c r="L41" s="306"/>
      <c r="M41" s="354"/>
      <c r="N41" s="354"/>
      <c r="O41" s="168"/>
      <c r="P41" s="410"/>
      <c r="Q41" s="259"/>
      <c r="R41" s="222"/>
      <c r="S41" s="176"/>
      <c r="T41" s="158"/>
      <c r="U41" s="250"/>
      <c r="V41" s="420"/>
      <c r="W41" s="422"/>
      <c r="X41" s="176"/>
      <c r="Y41" s="427"/>
    </row>
    <row r="42" spans="2:25">
      <c r="B42" s="297" t="s">
        <v>24</v>
      </c>
      <c r="C42" s="224" t="s">
        <v>15</v>
      </c>
      <c r="D42" s="259">
        <f>4343898+9001635</f>
        <v>13345533</v>
      </c>
      <c r="E42" s="222">
        <v>4.9209999999999997E-2</v>
      </c>
      <c r="F42" s="178">
        <f>ROUND(D42*E42,2)</f>
        <v>656733.68000000005</v>
      </c>
      <c r="H42" s="339">
        <f>H20</f>
        <v>4.6670000000000003E-2</v>
      </c>
      <c r="I42" s="190">
        <f>ROUND(D42*H42,2)</f>
        <v>622836.03</v>
      </c>
      <c r="J42" s="239"/>
      <c r="K42" s="157">
        <f>I42-F42</f>
        <v>-33897.650000000023</v>
      </c>
      <c r="L42" s="159"/>
      <c r="M42" s="354"/>
      <c r="N42" s="354"/>
      <c r="O42" s="168"/>
      <c r="P42" s="410"/>
      <c r="Q42" s="259"/>
      <c r="R42" s="222"/>
      <c r="S42" s="176"/>
      <c r="T42" s="158"/>
      <c r="U42" s="250"/>
      <c r="V42" s="420"/>
      <c r="W42" s="422"/>
      <c r="X42" s="176"/>
      <c r="Y42" s="427"/>
    </row>
    <row r="43" spans="2:25">
      <c r="B43" s="312" t="s">
        <v>35</v>
      </c>
      <c r="C43" s="224"/>
      <c r="D43" s="467">
        <f>SUM(D40:D42)</f>
        <v>47444489</v>
      </c>
      <c r="E43" s="222"/>
      <c r="F43" s="150">
        <f>SUM(F34:F42)</f>
        <v>4732093.1399999997</v>
      </c>
      <c r="H43" s="250"/>
      <c r="I43" s="190"/>
      <c r="J43" s="239"/>
      <c r="K43" s="157"/>
      <c r="L43" s="159"/>
      <c r="M43" s="354"/>
      <c r="N43" s="354"/>
      <c r="O43" s="168"/>
      <c r="P43" s="410"/>
      <c r="Q43" s="259"/>
      <c r="R43" s="222"/>
      <c r="S43" s="176"/>
      <c r="T43" s="158"/>
      <c r="U43" s="250"/>
      <c r="V43" s="420"/>
      <c r="W43" s="422"/>
      <c r="X43" s="176"/>
      <c r="Y43" s="426"/>
    </row>
    <row r="44" spans="2:25">
      <c r="B44" s="297" t="s">
        <v>122</v>
      </c>
      <c r="C44" s="224"/>
      <c r="D44" s="180">
        <f>D43</f>
        <v>47444489</v>
      </c>
      <c r="E44" s="222">
        <v>6.9999999999999999E-4</v>
      </c>
      <c r="F44" s="157">
        <f>E44*D44</f>
        <v>33211.1423</v>
      </c>
      <c r="H44" s="222">
        <v>0</v>
      </c>
      <c r="I44" s="157">
        <f>H44*D44</f>
        <v>0</v>
      </c>
      <c r="J44" s="239"/>
      <c r="K44" s="157">
        <f>I44-F44</f>
        <v>-33211.1423</v>
      </c>
      <c r="L44" s="159"/>
      <c r="M44" s="354"/>
      <c r="N44" s="354"/>
      <c r="O44" s="182"/>
      <c r="P44" s="410"/>
      <c r="Q44" s="180"/>
      <c r="R44" s="222"/>
      <c r="S44" s="176"/>
      <c r="T44" s="158"/>
      <c r="U44" s="250"/>
      <c r="V44" s="420"/>
      <c r="W44" s="422"/>
      <c r="X44" s="176"/>
      <c r="Y44" s="426"/>
    </row>
    <row r="45" spans="2:25">
      <c r="B45" s="166" t="s">
        <v>10</v>
      </c>
      <c r="C45" s="167"/>
      <c r="D45" s="158"/>
      <c r="E45" s="164"/>
      <c r="F45" s="264">
        <f>F44+F43</f>
        <v>4765304.2823000001</v>
      </c>
      <c r="H45" s="164"/>
      <c r="I45" s="264">
        <f>SUM(I34:I44)</f>
        <v>4797335.8499999996</v>
      </c>
      <c r="J45" s="239"/>
      <c r="K45" s="264">
        <f>SUM(K34:K44)</f>
        <v>32031.567699999963</v>
      </c>
      <c r="L45" s="491">
        <f>K45/F45</f>
        <v>6.7218305070205825E-3</v>
      </c>
      <c r="M45" s="354"/>
      <c r="N45" s="354"/>
      <c r="O45" s="182"/>
      <c r="P45" s="410"/>
      <c r="Q45" s="180"/>
      <c r="R45" s="309"/>
      <c r="S45" s="176"/>
      <c r="T45" s="158"/>
      <c r="U45" s="250"/>
      <c r="V45" s="420"/>
      <c r="W45" s="422"/>
      <c r="X45" s="176"/>
      <c r="Y45" s="426"/>
    </row>
    <row r="46" spans="2:25">
      <c r="B46" s="166"/>
      <c r="C46" s="167"/>
      <c r="D46" s="158"/>
      <c r="E46" s="164"/>
      <c r="F46" s="190"/>
      <c r="H46" s="164"/>
      <c r="I46" s="190"/>
      <c r="J46" s="239"/>
      <c r="K46" s="157"/>
      <c r="L46" s="306"/>
      <c r="M46" s="354"/>
      <c r="N46" s="354"/>
      <c r="O46" s="162"/>
      <c r="P46" s="168"/>
      <c r="Q46" s="158"/>
      <c r="R46" s="250"/>
      <c r="S46" s="176"/>
      <c r="T46" s="158"/>
      <c r="U46" s="163"/>
      <c r="V46" s="420"/>
      <c r="W46" s="422"/>
      <c r="X46" s="176"/>
      <c r="Y46" s="426"/>
    </row>
    <row r="47" spans="2:25">
      <c r="B47" s="225" t="s">
        <v>160</v>
      </c>
      <c r="C47" s="224" t="s">
        <v>15</v>
      </c>
      <c r="D47" s="436">
        <f>D43</f>
        <v>47444489</v>
      </c>
      <c r="E47" s="222">
        <v>6.9999999999999999E-4</v>
      </c>
      <c r="F47" s="190">
        <f>E47*D47</f>
        <v>33211.1423</v>
      </c>
      <c r="G47" s="254"/>
      <c r="H47" s="222">
        <v>6.9999999999999999E-4</v>
      </c>
      <c r="I47" s="157">
        <f>H47*D47</f>
        <v>33211.1423</v>
      </c>
      <c r="J47" s="239"/>
      <c r="K47" s="157">
        <f>I47-F47</f>
        <v>0</v>
      </c>
      <c r="L47" s="306"/>
      <c r="M47" s="354"/>
      <c r="N47" s="354"/>
      <c r="O47" s="162"/>
      <c r="P47" s="162"/>
      <c r="Q47" s="158"/>
      <c r="R47" s="250"/>
      <c r="S47" s="176"/>
      <c r="T47" s="158"/>
      <c r="U47" s="163"/>
      <c r="V47" s="420"/>
      <c r="W47" s="422"/>
      <c r="X47" s="176"/>
      <c r="Y47" s="206"/>
    </row>
    <row r="48" spans="2:25">
      <c r="B48" s="312" t="s">
        <v>38</v>
      </c>
      <c r="C48" s="144"/>
      <c r="D48" s="158"/>
      <c r="E48" s="221"/>
      <c r="F48" s="264">
        <f>F47+F45</f>
        <v>4798515.4246000005</v>
      </c>
      <c r="G48" s="168"/>
      <c r="H48" s="164"/>
      <c r="I48" s="264">
        <f>I47+I45</f>
        <v>4830546.9923</v>
      </c>
      <c r="J48" s="164"/>
      <c r="K48" s="264">
        <f>K47+K45</f>
        <v>32031.567699999963</v>
      </c>
      <c r="L48" s="491">
        <f>ROUND(K48/F48,5)</f>
        <v>6.6800000000000002E-3</v>
      </c>
      <c r="M48" s="354"/>
      <c r="N48" s="354"/>
      <c r="O48" s="486"/>
      <c r="P48" s="410"/>
      <c r="Q48" s="254"/>
      <c r="R48" s="222"/>
      <c r="S48" s="420"/>
      <c r="T48" s="254"/>
      <c r="U48" s="222"/>
      <c r="V48" s="420"/>
      <c r="W48" s="422"/>
      <c r="X48" s="176"/>
      <c r="Y48" s="426"/>
    </row>
    <row r="49" spans="2:25">
      <c r="B49" s="177"/>
      <c r="C49" s="154"/>
      <c r="D49" s="212"/>
      <c r="E49" s="246"/>
      <c r="F49" s="178"/>
      <c r="G49" s="212"/>
      <c r="H49" s="216"/>
      <c r="I49" s="189"/>
      <c r="J49" s="247"/>
      <c r="K49" s="178"/>
      <c r="L49" s="184"/>
      <c r="M49" s="354"/>
      <c r="N49" s="354"/>
      <c r="O49" s="168"/>
      <c r="P49" s="168"/>
      <c r="Q49" s="158"/>
      <c r="R49" s="163"/>
      <c r="S49" s="420"/>
      <c r="T49" s="158"/>
      <c r="U49" s="163"/>
      <c r="V49" s="420"/>
      <c r="W49" s="422"/>
      <c r="X49" s="176"/>
      <c r="Y49" s="206"/>
    </row>
    <row r="50" spans="2:25">
      <c r="B50" s="144"/>
      <c r="C50" s="144"/>
      <c r="D50" s="158"/>
      <c r="E50" s="165"/>
      <c r="F50" s="157"/>
      <c r="H50" s="164"/>
      <c r="I50" s="190"/>
      <c r="J50" s="239"/>
      <c r="K50" s="157"/>
      <c r="L50" s="185"/>
      <c r="M50" s="354"/>
      <c r="N50" s="354"/>
      <c r="O50" s="168"/>
      <c r="P50" s="168"/>
      <c r="Q50" s="158"/>
      <c r="R50" s="163"/>
      <c r="S50" s="420"/>
      <c r="T50" s="158"/>
      <c r="U50" s="163"/>
      <c r="V50" s="420"/>
      <c r="W50" s="422"/>
      <c r="X50" s="420"/>
      <c r="Y50" s="426"/>
    </row>
    <row r="51" spans="2:25">
      <c r="B51" s="434" t="s">
        <v>199</v>
      </c>
      <c r="C51" s="256"/>
      <c r="D51" s="151"/>
      <c r="E51" s="240"/>
      <c r="F51" s="150"/>
      <c r="G51" s="262"/>
      <c r="H51" s="241"/>
      <c r="I51" s="242"/>
      <c r="J51" s="242"/>
      <c r="K51" s="150"/>
      <c r="L51" s="305"/>
      <c r="M51" s="354"/>
      <c r="N51" s="354"/>
      <c r="O51" s="168"/>
      <c r="P51" s="168"/>
      <c r="Q51" s="158"/>
      <c r="R51" s="265"/>
      <c r="S51" s="176"/>
      <c r="T51" s="158"/>
      <c r="U51" s="163"/>
      <c r="V51" s="420"/>
      <c r="W51" s="422"/>
      <c r="X51" s="176"/>
      <c r="Y51" s="426"/>
    </row>
    <row r="52" spans="2:25">
      <c r="B52" s="155"/>
      <c r="C52" s="144"/>
      <c r="D52" s="158"/>
      <c r="E52" s="250"/>
      <c r="F52" s="176"/>
      <c r="G52" s="187"/>
      <c r="H52" s="163"/>
      <c r="I52" s="420"/>
      <c r="J52" s="422"/>
      <c r="K52" s="176"/>
      <c r="L52" s="479"/>
      <c r="M52" s="480"/>
      <c r="N52" s="354"/>
      <c r="O52" s="168"/>
      <c r="P52" s="168"/>
      <c r="Q52" s="180"/>
      <c r="R52" s="250"/>
      <c r="S52" s="176"/>
      <c r="T52" s="158"/>
      <c r="U52" s="163"/>
      <c r="V52" s="420"/>
      <c r="W52" s="422"/>
      <c r="X52" s="176"/>
      <c r="Y52" s="426"/>
    </row>
    <row r="53" spans="2:25">
      <c r="B53" s="255" t="s">
        <v>202</v>
      </c>
      <c r="C53" s="257" t="s">
        <v>80</v>
      </c>
      <c r="D53" s="259"/>
      <c r="E53" s="221"/>
      <c r="F53" s="176">
        <f>F12+F34</f>
        <v>901900</v>
      </c>
      <c r="H53" s="163"/>
      <c r="I53" s="176">
        <f>I12+I34</f>
        <v>901900</v>
      </c>
      <c r="J53" s="422"/>
      <c r="K53" s="176">
        <f>I53-F53</f>
        <v>0</v>
      </c>
      <c r="L53" s="479"/>
      <c r="M53" s="480"/>
      <c r="N53" s="354"/>
      <c r="O53" s="168"/>
      <c r="P53" s="168"/>
      <c r="Q53" s="180"/>
      <c r="R53" s="250"/>
      <c r="S53" s="176"/>
      <c r="T53" s="158"/>
      <c r="U53" s="163"/>
      <c r="V53" s="420"/>
      <c r="W53" s="422"/>
      <c r="X53" s="176"/>
      <c r="Y53" s="426"/>
    </row>
    <row r="54" spans="2:25">
      <c r="B54" s="225" t="s">
        <v>36</v>
      </c>
      <c r="C54" s="224" t="s">
        <v>90</v>
      </c>
      <c r="D54" s="259"/>
      <c r="E54" s="221"/>
      <c r="F54" s="176">
        <f>F13+F35</f>
        <v>622275.48</v>
      </c>
      <c r="H54" s="163"/>
      <c r="I54" s="176">
        <f>I13+I35</f>
        <v>915111</v>
      </c>
      <c r="J54" s="422"/>
      <c r="K54" s="176">
        <f>I54-F54</f>
        <v>292835.52</v>
      </c>
      <c r="L54" s="479"/>
      <c r="M54" s="480"/>
      <c r="N54" s="354"/>
      <c r="O54" s="168"/>
      <c r="P54" s="168"/>
      <c r="Q54" s="180"/>
      <c r="R54" s="250"/>
      <c r="S54" s="176"/>
      <c r="T54" s="158"/>
      <c r="U54" s="163"/>
      <c r="V54" s="420"/>
      <c r="W54" s="422"/>
      <c r="X54" s="176"/>
      <c r="Y54" s="426"/>
    </row>
    <row r="55" spans="2:25">
      <c r="B55" s="225" t="s">
        <v>78</v>
      </c>
      <c r="C55" s="224" t="s">
        <v>15</v>
      </c>
      <c r="D55" s="259"/>
      <c r="E55" s="221"/>
      <c r="F55" s="176">
        <f>F14</f>
        <v>100818.614</v>
      </c>
      <c r="H55" s="163"/>
      <c r="I55" s="176">
        <f>I14</f>
        <v>77552.78</v>
      </c>
      <c r="J55" s="422"/>
      <c r="K55" s="176">
        <f>I55-F55</f>
        <v>-23265.834000000003</v>
      </c>
      <c r="L55" s="479"/>
      <c r="M55" s="480"/>
      <c r="N55" s="354"/>
      <c r="O55" s="168"/>
      <c r="P55" s="168"/>
      <c r="Q55" s="180"/>
      <c r="R55" s="250"/>
      <c r="S55" s="176"/>
      <c r="T55" s="158"/>
      <c r="U55" s="163"/>
      <c r="V55" s="420"/>
      <c r="W55" s="422"/>
      <c r="X55" s="176"/>
      <c r="Y55" s="426"/>
    </row>
    <row r="56" spans="2:25">
      <c r="B56" s="225" t="s">
        <v>167</v>
      </c>
      <c r="C56" s="224"/>
      <c r="D56" s="259"/>
      <c r="E56" s="221"/>
      <c r="F56" s="498">
        <f>F15+F36</f>
        <v>320874</v>
      </c>
      <c r="H56" s="163"/>
      <c r="I56" s="498">
        <f>I15+I36</f>
        <v>320874</v>
      </c>
      <c r="J56" s="422"/>
      <c r="K56" s="176">
        <f>I56-F56</f>
        <v>0</v>
      </c>
      <c r="L56" s="479"/>
      <c r="M56" s="480"/>
      <c r="N56" s="354"/>
      <c r="O56" s="168"/>
      <c r="P56" s="168"/>
      <c r="Q56" s="180"/>
      <c r="R56" s="250"/>
      <c r="S56" s="176"/>
      <c r="T56" s="158"/>
      <c r="U56" s="163"/>
      <c r="V56" s="420"/>
      <c r="W56" s="422"/>
      <c r="X56" s="176"/>
      <c r="Y56" s="426"/>
    </row>
    <row r="57" spans="2:25">
      <c r="B57" s="297"/>
      <c r="C57" s="224"/>
      <c r="D57" s="158"/>
      <c r="E57" s="222"/>
      <c r="F57" s="168"/>
      <c r="H57" s="250"/>
      <c r="I57" s="168"/>
      <c r="J57" s="163"/>
      <c r="K57" s="176"/>
      <c r="L57" s="479"/>
      <c r="M57" s="480"/>
      <c r="N57" s="354"/>
      <c r="O57" s="168"/>
      <c r="P57" s="168"/>
      <c r="Q57" s="180"/>
      <c r="R57" s="250"/>
      <c r="S57" s="176"/>
      <c r="T57" s="158"/>
      <c r="U57" s="163"/>
      <c r="V57" s="420"/>
      <c r="W57" s="422"/>
      <c r="X57" s="176"/>
      <c r="Y57" s="426"/>
    </row>
    <row r="58" spans="2:25">
      <c r="B58" s="225" t="s">
        <v>109</v>
      </c>
      <c r="C58" s="144"/>
      <c r="D58" s="158"/>
      <c r="E58" s="222"/>
      <c r="F58" s="176"/>
      <c r="H58" s="250"/>
      <c r="I58" s="176"/>
      <c r="J58" s="422"/>
      <c r="K58" s="176"/>
      <c r="L58" s="479"/>
      <c r="M58" s="480"/>
      <c r="N58" s="354"/>
      <c r="O58" s="168"/>
      <c r="P58" s="168"/>
      <c r="Q58" s="180"/>
      <c r="R58" s="250"/>
      <c r="S58" s="176"/>
      <c r="T58" s="158"/>
      <c r="U58" s="163"/>
      <c r="V58" s="420"/>
      <c r="W58" s="422"/>
      <c r="X58" s="176"/>
      <c r="Y58" s="426"/>
    </row>
    <row r="59" spans="2:25">
      <c r="B59" s="155" t="s">
        <v>19</v>
      </c>
      <c r="C59" s="224" t="s">
        <v>15</v>
      </c>
      <c r="D59" s="259"/>
      <c r="E59" s="222"/>
      <c r="F59" s="176">
        <f>F18+F40</f>
        <v>2844890.6</v>
      </c>
      <c r="H59" s="309"/>
      <c r="I59" s="176">
        <f>I18+I40</f>
        <v>2698094.25</v>
      </c>
      <c r="J59" s="422"/>
      <c r="K59" s="176">
        <f>I59-F59</f>
        <v>-146796.35000000009</v>
      </c>
      <c r="L59" s="479"/>
      <c r="M59" s="480"/>
      <c r="N59" s="354"/>
      <c r="O59" s="182"/>
      <c r="P59" s="168"/>
      <c r="Q59" s="180"/>
      <c r="R59" s="250"/>
      <c r="S59" s="176"/>
      <c r="T59" s="158"/>
      <c r="U59" s="163"/>
      <c r="V59" s="420"/>
      <c r="W59" s="422"/>
      <c r="X59" s="176"/>
      <c r="Y59" s="426"/>
    </row>
    <row r="60" spans="2:25">
      <c r="B60" s="155" t="s">
        <v>20</v>
      </c>
      <c r="C60" s="224" t="s">
        <v>15</v>
      </c>
      <c r="D60" s="259"/>
      <c r="E60" s="222"/>
      <c r="F60" s="176">
        <f>F19+F41</f>
        <v>872780.13</v>
      </c>
      <c r="H60" s="309"/>
      <c r="I60" s="176">
        <f>I19+I41</f>
        <v>827668.6100000001</v>
      </c>
      <c r="J60" s="422"/>
      <c r="K60" s="176">
        <f>I60-F60</f>
        <v>-45111.519999999902</v>
      </c>
      <c r="L60" s="479"/>
      <c r="M60" s="480"/>
      <c r="N60" s="354"/>
      <c r="O60" s="182"/>
      <c r="P60" s="168"/>
      <c r="Q60" s="180"/>
      <c r="R60" s="250"/>
      <c r="S60" s="176"/>
      <c r="T60" s="158"/>
      <c r="U60" s="163"/>
      <c r="V60" s="420"/>
      <c r="W60" s="422"/>
      <c r="X60" s="176"/>
      <c r="Y60" s="426"/>
    </row>
    <row r="61" spans="2:25">
      <c r="B61" s="155" t="s">
        <v>21</v>
      </c>
      <c r="C61" s="224" t="s">
        <v>15</v>
      </c>
      <c r="D61" s="259"/>
      <c r="E61" s="222"/>
      <c r="F61" s="201">
        <f>F20+F42</f>
        <v>860334.79</v>
      </c>
      <c r="H61" s="250"/>
      <c r="I61" s="201">
        <f>I20+I42</f>
        <v>815928.16</v>
      </c>
      <c r="J61" s="422"/>
      <c r="K61" s="176">
        <f>I61-F61</f>
        <v>-44406.630000000005</v>
      </c>
      <c r="L61" s="481"/>
      <c r="M61" s="480"/>
      <c r="N61" s="354"/>
      <c r="O61" s="182"/>
      <c r="P61" s="168"/>
      <c r="Q61" s="180"/>
      <c r="R61" s="250"/>
      <c r="S61" s="176"/>
      <c r="T61" s="158"/>
      <c r="U61" s="163"/>
      <c r="V61" s="420"/>
      <c r="W61" s="422"/>
      <c r="X61" s="176"/>
      <c r="Y61" s="426"/>
    </row>
    <row r="62" spans="2:25">
      <c r="B62" s="312" t="s">
        <v>35</v>
      </c>
      <c r="C62" s="224"/>
      <c r="D62" s="259"/>
      <c r="E62" s="222"/>
      <c r="F62" s="482">
        <f>SUM(F53:F61)</f>
        <v>6523873.6140000001</v>
      </c>
      <c r="H62" s="250"/>
      <c r="I62" s="482">
        <f>SUM(I53:I61)</f>
        <v>6557128.8000000007</v>
      </c>
      <c r="J62" s="422"/>
      <c r="K62" s="482">
        <f>SUM(K53:K61)</f>
        <v>33255.185999999987</v>
      </c>
      <c r="L62" s="481"/>
      <c r="M62" s="480"/>
      <c r="N62" s="354"/>
      <c r="O62" s="182"/>
      <c r="P62" s="168"/>
      <c r="Q62" s="180"/>
      <c r="R62" s="250"/>
      <c r="S62" s="176"/>
      <c r="T62" s="158"/>
      <c r="U62" s="163"/>
      <c r="V62" s="420"/>
      <c r="W62" s="422"/>
      <c r="X62" s="176"/>
      <c r="Y62" s="426"/>
    </row>
    <row r="63" spans="2:25">
      <c r="B63" s="297" t="s">
        <v>122</v>
      </c>
      <c r="C63" s="224"/>
      <c r="D63" s="180"/>
      <c r="E63" s="222"/>
      <c r="F63" s="420">
        <f>F44</f>
        <v>33211.1423</v>
      </c>
      <c r="H63" s="163"/>
      <c r="I63" s="420">
        <f>I44</f>
        <v>0</v>
      </c>
      <c r="J63" s="163"/>
      <c r="K63" s="176">
        <f>I63-F63</f>
        <v>-33211.1423</v>
      </c>
      <c r="L63" s="499"/>
      <c r="M63" s="480"/>
      <c r="N63" s="354"/>
      <c r="O63" s="182"/>
      <c r="P63" s="168"/>
      <c r="Q63" s="180"/>
      <c r="R63" s="250"/>
      <c r="S63" s="176"/>
      <c r="T63" s="158"/>
      <c r="U63" s="163"/>
      <c r="V63" s="420"/>
      <c r="W63" s="422"/>
      <c r="X63" s="176"/>
      <c r="Y63" s="426"/>
    </row>
    <row r="64" spans="2:25">
      <c r="B64" s="166" t="s">
        <v>10</v>
      </c>
      <c r="C64" s="167"/>
      <c r="D64" s="158"/>
      <c r="E64" s="163"/>
      <c r="F64" s="483">
        <f>SUM(F62:F63)</f>
        <v>6557084.7563000005</v>
      </c>
      <c r="H64" s="163"/>
      <c r="I64" s="483">
        <f>SUM(I62:I63)</f>
        <v>6557128.8000000007</v>
      </c>
      <c r="J64" s="422"/>
      <c r="K64" s="483">
        <f>SUM(K62:K63)</f>
        <v>44.043699999987439</v>
      </c>
      <c r="L64" s="491">
        <f>K64/F64</f>
        <v>6.7169636563978477E-6</v>
      </c>
      <c r="M64" s="480"/>
      <c r="N64" s="354"/>
      <c r="O64" s="182"/>
      <c r="P64" s="168"/>
      <c r="Q64" s="180"/>
      <c r="R64" s="250"/>
      <c r="S64" s="176"/>
      <c r="T64" s="158"/>
      <c r="U64" s="163"/>
      <c r="V64" s="420"/>
      <c r="W64" s="422"/>
      <c r="X64" s="176"/>
      <c r="Y64" s="426"/>
    </row>
    <row r="65" spans="1:25">
      <c r="B65" s="166"/>
      <c r="C65" s="167"/>
      <c r="D65" s="158"/>
      <c r="E65" s="163"/>
      <c r="F65" s="420"/>
      <c r="H65" s="163"/>
      <c r="I65" s="420"/>
      <c r="J65" s="422"/>
      <c r="K65" s="176"/>
      <c r="L65" s="479"/>
      <c r="M65" s="480"/>
      <c r="N65" s="354"/>
      <c r="O65" s="182"/>
      <c r="P65" s="168"/>
      <c r="Q65" s="180"/>
      <c r="R65" s="250"/>
      <c r="S65" s="176"/>
      <c r="T65" s="158"/>
      <c r="U65" s="163"/>
      <c r="V65" s="420"/>
      <c r="W65" s="422"/>
      <c r="X65" s="176"/>
      <c r="Y65" s="426"/>
    </row>
    <row r="66" spans="1:25">
      <c r="B66" s="64" t="s">
        <v>211</v>
      </c>
      <c r="C66" s="167"/>
      <c r="D66" s="158"/>
      <c r="E66" s="163"/>
      <c r="F66" s="420"/>
      <c r="H66" s="163"/>
      <c r="I66" s="420"/>
      <c r="J66" s="422"/>
      <c r="K66" s="176"/>
      <c r="L66" s="484"/>
      <c r="M66" s="480"/>
      <c r="N66" s="354"/>
      <c r="O66" s="182"/>
      <c r="P66" s="168"/>
      <c r="Q66" s="180"/>
      <c r="R66" s="250"/>
      <c r="S66" s="176"/>
      <c r="T66" s="158"/>
      <c r="U66" s="163"/>
      <c r="V66" s="420"/>
      <c r="W66" s="422"/>
      <c r="X66" s="176"/>
      <c r="Y66" s="426"/>
    </row>
    <row r="67" spans="1:25">
      <c r="B67" s="225" t="s">
        <v>110</v>
      </c>
      <c r="C67" s="167"/>
      <c r="D67" s="158"/>
      <c r="E67" s="163"/>
      <c r="F67" s="420">
        <f>F24</f>
        <v>12266368.107039999</v>
      </c>
      <c r="H67" s="163"/>
      <c r="I67" s="420">
        <f>I24</f>
        <v>12266368.107039999</v>
      </c>
      <c r="J67" s="422"/>
      <c r="K67" s="176">
        <f>I67-F67</f>
        <v>0</v>
      </c>
      <c r="L67" s="479"/>
      <c r="M67" s="480"/>
      <c r="N67" s="354"/>
      <c r="O67" s="182"/>
      <c r="P67" s="168"/>
      <c r="Q67" s="180"/>
      <c r="R67" s="250"/>
      <c r="S67" s="176"/>
      <c r="T67" s="158"/>
      <c r="U67" s="163"/>
      <c r="V67" s="420"/>
      <c r="W67" s="422"/>
      <c r="X67" s="176"/>
      <c r="Y67" s="426"/>
    </row>
    <row r="68" spans="1:25">
      <c r="B68" s="225" t="s">
        <v>36</v>
      </c>
      <c r="C68" s="167"/>
      <c r="D68" s="158"/>
      <c r="E68" s="163"/>
      <c r="F68" s="420">
        <f>F25</f>
        <v>112612.5</v>
      </c>
      <c r="H68" s="163"/>
      <c r="I68" s="420">
        <f>I25</f>
        <v>112612.5</v>
      </c>
      <c r="J68" s="422"/>
      <c r="K68" s="176">
        <f>I68-F68</f>
        <v>0</v>
      </c>
      <c r="L68" s="479"/>
      <c r="M68" s="480"/>
      <c r="N68" s="354"/>
      <c r="O68" s="182"/>
      <c r="P68" s="168"/>
      <c r="Q68" s="180"/>
      <c r="R68" s="250"/>
      <c r="S68" s="176"/>
      <c r="T68" s="158"/>
      <c r="U68" s="163"/>
      <c r="V68" s="420"/>
      <c r="W68" s="422"/>
      <c r="X68" s="176"/>
      <c r="Y68" s="426"/>
    </row>
    <row r="69" spans="1:25">
      <c r="B69" s="225" t="s">
        <v>160</v>
      </c>
      <c r="C69" s="224" t="s">
        <v>15</v>
      </c>
      <c r="D69" s="158"/>
      <c r="E69" s="163"/>
      <c r="F69" s="420">
        <f>F47</f>
        <v>33211.1423</v>
      </c>
      <c r="H69" s="163"/>
      <c r="I69" s="420">
        <f>I47</f>
        <v>33211.1423</v>
      </c>
      <c r="J69" s="422"/>
      <c r="K69" s="176">
        <f>I69-F69</f>
        <v>0</v>
      </c>
      <c r="L69" s="479"/>
      <c r="M69" s="480"/>
      <c r="N69" s="354"/>
      <c r="O69" s="182"/>
      <c r="P69" s="168"/>
      <c r="Q69" s="180"/>
      <c r="R69" s="250"/>
      <c r="S69" s="176"/>
      <c r="T69" s="158"/>
      <c r="U69" s="163"/>
      <c r="V69" s="420"/>
      <c r="W69" s="422"/>
      <c r="X69" s="176"/>
      <c r="Y69" s="426"/>
    </row>
    <row r="70" spans="1:25">
      <c r="B70" s="166" t="s">
        <v>10</v>
      </c>
      <c r="C70" s="167"/>
      <c r="D70" s="158"/>
      <c r="E70" s="163"/>
      <c r="F70" s="483">
        <f>SUM(F67:F69)</f>
        <v>12412191.74934</v>
      </c>
      <c r="H70" s="163"/>
      <c r="I70" s="483">
        <f>SUM(I67:I69)</f>
        <v>12412191.74934</v>
      </c>
      <c r="J70" s="422"/>
      <c r="K70" s="483">
        <f>SUM(K67:K69)</f>
        <v>0</v>
      </c>
      <c r="L70" s="491">
        <f>K70/F70</f>
        <v>0</v>
      </c>
      <c r="M70" s="480"/>
      <c r="N70" s="354"/>
      <c r="O70" s="182"/>
      <c r="P70" s="168"/>
      <c r="Q70" s="180"/>
      <c r="R70" s="250"/>
      <c r="S70" s="176"/>
      <c r="T70" s="158"/>
      <c r="U70" s="163"/>
      <c r="V70" s="420"/>
      <c r="W70" s="422"/>
      <c r="X70" s="176"/>
      <c r="Y70" s="426"/>
    </row>
    <row r="71" spans="1:25">
      <c r="B71" s="166"/>
      <c r="C71" s="167"/>
      <c r="D71" s="158"/>
      <c r="E71" s="163"/>
      <c r="F71" s="420"/>
      <c r="H71" s="163"/>
      <c r="I71" s="420"/>
      <c r="J71" s="422"/>
      <c r="K71" s="176"/>
      <c r="L71" s="479"/>
      <c r="M71" s="480"/>
      <c r="N71" s="354"/>
      <c r="O71" s="168"/>
      <c r="P71" s="168"/>
      <c r="Q71" s="158"/>
      <c r="R71" s="250"/>
      <c r="S71" s="176"/>
      <c r="T71" s="158"/>
      <c r="U71" s="163"/>
      <c r="V71" s="420"/>
      <c r="W71" s="422"/>
      <c r="X71" s="176"/>
      <c r="Y71" s="426"/>
    </row>
    <row r="72" spans="1:25">
      <c r="B72" s="155" t="s">
        <v>38</v>
      </c>
      <c r="C72" s="144"/>
      <c r="D72" s="158"/>
      <c r="E72" s="163"/>
      <c r="F72" s="483">
        <f>F64+F70</f>
        <v>18969276.50564</v>
      </c>
      <c r="H72" s="163"/>
      <c r="I72" s="483">
        <f>I64+I70</f>
        <v>18969320.549340002</v>
      </c>
      <c r="J72" s="422"/>
      <c r="K72" s="483">
        <f>K64+K70</f>
        <v>44.043699999987439</v>
      </c>
      <c r="L72" s="491">
        <f>K72/F72</f>
        <v>2.3218439557719683E-6</v>
      </c>
      <c r="M72" s="480"/>
      <c r="N72" s="354"/>
    </row>
    <row r="73" spans="1:25">
      <c r="B73" s="177"/>
      <c r="C73" s="154"/>
      <c r="D73" s="212"/>
      <c r="E73" s="249"/>
      <c r="F73" s="201"/>
      <c r="G73" s="212"/>
      <c r="H73" s="248"/>
      <c r="I73" s="263"/>
      <c r="J73" s="485"/>
      <c r="K73" s="201"/>
      <c r="L73" s="203"/>
      <c r="M73" s="480"/>
      <c r="N73" s="354"/>
    </row>
    <row r="74" spans="1:25">
      <c r="A74" s="144"/>
      <c r="B74" s="144"/>
      <c r="C74" s="144"/>
      <c r="D74" s="158"/>
      <c r="E74" s="165"/>
      <c r="F74" s="157"/>
      <c r="H74" s="164"/>
      <c r="I74" s="190"/>
      <c r="J74" s="239"/>
      <c r="K74" s="157"/>
      <c r="L74" s="185"/>
      <c r="M74" s="354"/>
      <c r="N74" s="354"/>
      <c r="O74" s="154"/>
    </row>
    <row r="75" spans="1:25">
      <c r="B75" s="223" t="s">
        <v>218</v>
      </c>
      <c r="C75" s="256"/>
      <c r="D75" s="151"/>
      <c r="E75" s="240"/>
      <c r="F75" s="150"/>
      <c r="G75" s="151"/>
      <c r="H75" s="241"/>
      <c r="I75" s="264"/>
      <c r="J75" s="242"/>
      <c r="K75" s="150"/>
      <c r="L75" s="152"/>
      <c r="M75" s="354"/>
      <c r="N75" s="352"/>
      <c r="O75" s="438" t="s">
        <v>133</v>
      </c>
    </row>
    <row r="76" spans="1:25">
      <c r="B76" s="155"/>
      <c r="C76" s="144"/>
      <c r="D76" s="158"/>
      <c r="E76" s="165"/>
      <c r="F76" s="157"/>
      <c r="G76" s="187"/>
      <c r="H76" s="164"/>
      <c r="I76" s="190"/>
      <c r="J76" s="239"/>
      <c r="K76" s="157"/>
      <c r="L76" s="306"/>
      <c r="M76" s="354"/>
      <c r="N76" s="352"/>
      <c r="O76" s="282">
        <f>'Rate Spread-Margin'!J18</f>
        <v>0</v>
      </c>
    </row>
    <row r="77" spans="1:25">
      <c r="B77" s="255" t="s">
        <v>202</v>
      </c>
      <c r="C77" s="257" t="s">
        <v>80</v>
      </c>
      <c r="D77" s="259">
        <f>4653+133</f>
        <v>4786</v>
      </c>
      <c r="E77" s="221">
        <v>100</v>
      </c>
      <c r="F77" s="157">
        <f>ROUND(D77*E77,2)</f>
        <v>478600</v>
      </c>
      <c r="H77" s="508">
        <v>100</v>
      </c>
      <c r="I77" s="190">
        <f>ROUND(D77*H77,2)</f>
        <v>478600</v>
      </c>
      <c r="J77" s="239"/>
      <c r="K77" s="157">
        <f>I77-F77</f>
        <v>0</v>
      </c>
      <c r="L77" s="306"/>
      <c r="M77" s="354"/>
      <c r="N77" s="357"/>
      <c r="O77" s="304" t="s">
        <v>158</v>
      </c>
    </row>
    <row r="78" spans="1:25">
      <c r="B78" s="225" t="s">
        <v>36</v>
      </c>
      <c r="C78" s="224" t="s">
        <v>90</v>
      </c>
      <c r="D78" s="259">
        <f>141980+1907</f>
        <v>143887</v>
      </c>
      <c r="E78" s="221">
        <v>1.02</v>
      </c>
      <c r="F78" s="157">
        <f>ROUND(D78*E78,2)</f>
        <v>146764.74</v>
      </c>
      <c r="H78" s="310">
        <v>1.5</v>
      </c>
      <c r="I78" s="190">
        <f>ROUND(D78*H78,2)</f>
        <v>215830.5</v>
      </c>
      <c r="J78" s="239"/>
      <c r="K78" s="157">
        <f>I78-F78</f>
        <v>69065.760000000009</v>
      </c>
      <c r="L78" s="306"/>
      <c r="M78" s="354"/>
      <c r="N78" s="354"/>
      <c r="O78" s="243">
        <f>K85-O76</f>
        <v>-38.829999999914435</v>
      </c>
    </row>
    <row r="79" spans="1:25">
      <c r="B79" s="155" t="s">
        <v>78</v>
      </c>
      <c r="C79" s="224" t="s">
        <v>15</v>
      </c>
      <c r="D79" s="158">
        <f>D85</f>
        <v>16961705</v>
      </c>
      <c r="E79" s="222">
        <v>6.4999999999999997E-3</v>
      </c>
      <c r="F79" s="157">
        <f>ROUND(D79*E79,2)</f>
        <v>110251.08</v>
      </c>
      <c r="H79" s="309">
        <v>5.0000000000000001E-3</v>
      </c>
      <c r="I79" s="190">
        <f>ROUND(D85*H79,2)</f>
        <v>84808.53</v>
      </c>
      <c r="J79" s="239"/>
      <c r="K79" s="157">
        <f>I79-F79</f>
        <v>-25442.550000000003</v>
      </c>
      <c r="L79" s="306"/>
      <c r="M79" s="354"/>
      <c r="N79" s="354"/>
    </row>
    <row r="80" spans="1:25">
      <c r="B80" s="297" t="s">
        <v>167</v>
      </c>
      <c r="C80" s="144"/>
      <c r="D80" s="158"/>
      <c r="E80" s="222"/>
      <c r="F80" s="423">
        <f>31472+844</f>
        <v>32316</v>
      </c>
      <c r="H80" s="250"/>
      <c r="I80" s="423">
        <f>31472+844</f>
        <v>32316</v>
      </c>
      <c r="J80" s="450"/>
      <c r="K80" s="157">
        <f>I80-F80</f>
        <v>0</v>
      </c>
      <c r="L80" s="306"/>
      <c r="M80" s="354"/>
      <c r="N80" s="354"/>
      <c r="O80" s="244"/>
    </row>
    <row r="81" spans="1:17">
      <c r="B81" s="155"/>
      <c r="C81" s="144"/>
      <c r="D81" s="158"/>
      <c r="E81" s="222"/>
      <c r="F81" s="157"/>
      <c r="H81" s="250"/>
      <c r="I81" s="190"/>
      <c r="J81" s="239"/>
      <c r="K81" s="157"/>
      <c r="L81" s="306"/>
      <c r="M81" s="354"/>
      <c r="N81" s="357"/>
      <c r="O81" s="145"/>
      <c r="P81" s="137"/>
      <c r="Q81" s="137"/>
    </row>
    <row r="82" spans="1:17">
      <c r="B82" s="225" t="s">
        <v>109</v>
      </c>
      <c r="C82" s="144"/>
      <c r="D82" s="158"/>
      <c r="E82" s="222"/>
      <c r="F82" s="157"/>
      <c r="H82" s="250"/>
      <c r="I82" s="190"/>
      <c r="J82" s="239"/>
      <c r="K82" s="157"/>
      <c r="L82" s="306"/>
      <c r="M82" s="354"/>
      <c r="N82" s="357"/>
      <c r="O82" s="174"/>
      <c r="P82" s="145"/>
      <c r="Q82" s="137"/>
    </row>
    <row r="83" spans="1:17">
      <c r="B83" s="409" t="s">
        <v>22</v>
      </c>
      <c r="C83" s="410" t="s">
        <v>15</v>
      </c>
      <c r="D83" s="259">
        <f>3606830+116607</f>
        <v>3723437</v>
      </c>
      <c r="E83" s="222">
        <v>0.21</v>
      </c>
      <c r="F83" s="157">
        <f>ROUND(D83*E83,2)</f>
        <v>781921.77</v>
      </c>
      <c r="H83" s="509">
        <f>ROUND(E83*(1+$O$83),5)</f>
        <v>0.20669999999999999</v>
      </c>
      <c r="I83" s="190">
        <f>ROUND(D83*H83,2)</f>
        <v>769634.43</v>
      </c>
      <c r="J83" s="239"/>
      <c r="K83" s="157">
        <f>I83-F83</f>
        <v>-12287.339999999967</v>
      </c>
      <c r="L83" s="306"/>
      <c r="M83" s="354"/>
      <c r="N83" s="354"/>
      <c r="O83" s="469">
        <v>-1.5724341646827639E-2</v>
      </c>
      <c r="P83" s="137"/>
      <c r="Q83" s="137"/>
    </row>
    <row r="84" spans="1:17" ht="12.75" customHeight="1">
      <c r="B84" s="409" t="s">
        <v>23</v>
      </c>
      <c r="C84" s="410" t="s">
        <v>15</v>
      </c>
      <c r="D84" s="259">
        <f>12294495+943773</f>
        <v>13238268</v>
      </c>
      <c r="E84" s="222">
        <v>0.15054999999999999</v>
      </c>
      <c r="F84" s="157">
        <f>ROUND(D84*E84,2)</f>
        <v>1993021.25</v>
      </c>
      <c r="H84" s="509">
        <f>ROUND(E84*(1+$O$83),5)</f>
        <v>0.14818000000000001</v>
      </c>
      <c r="I84" s="190">
        <f>ROUND(D84*H84,2)</f>
        <v>1961646.55</v>
      </c>
      <c r="J84" s="239"/>
      <c r="K84" s="157">
        <f>I84-F84</f>
        <v>-31374.699999999953</v>
      </c>
      <c r="L84" s="306"/>
      <c r="M84" s="354"/>
      <c r="N84" s="354"/>
      <c r="O84" s="174"/>
      <c r="P84" s="137"/>
      <c r="Q84" s="197"/>
    </row>
    <row r="85" spans="1:17" ht="12.75" customHeight="1">
      <c r="B85" s="166" t="s">
        <v>10</v>
      </c>
      <c r="C85" s="224" t="s">
        <v>15</v>
      </c>
      <c r="D85" s="151">
        <f>SUM(D83:D84)</f>
        <v>16961705</v>
      </c>
      <c r="E85" s="165"/>
      <c r="F85" s="264">
        <f>SUM(F77:F84)</f>
        <v>3542874.84</v>
      </c>
      <c r="H85" s="164"/>
      <c r="I85" s="264">
        <f>SUM(I77:I84)</f>
        <v>3542836.01</v>
      </c>
      <c r="J85" s="239"/>
      <c r="K85" s="264">
        <f>SUM(K77:K84)</f>
        <v>-38.829999999914435</v>
      </c>
      <c r="L85" s="305">
        <f>K85/F85</f>
        <v>-1.0960025898040033E-5</v>
      </c>
      <c r="M85" s="354"/>
      <c r="N85" s="354"/>
      <c r="O85" s="196"/>
      <c r="P85" s="137"/>
      <c r="Q85" s="197"/>
    </row>
    <row r="86" spans="1:17">
      <c r="B86" s="166"/>
      <c r="C86" s="167"/>
      <c r="D86" s="158"/>
      <c r="E86" s="165"/>
      <c r="F86" s="190"/>
      <c r="H86" s="164"/>
      <c r="I86" s="190"/>
      <c r="J86" s="239"/>
      <c r="K86" s="157"/>
      <c r="L86" s="159"/>
      <c r="M86" s="354"/>
      <c r="N86" s="355"/>
      <c r="O86" s="245"/>
      <c r="P86" s="137"/>
      <c r="Q86" s="197"/>
    </row>
    <row r="87" spans="1:17">
      <c r="B87" s="64" t="s">
        <v>211</v>
      </c>
      <c r="C87" s="167"/>
      <c r="D87" s="158"/>
      <c r="E87" s="165"/>
      <c r="F87" s="190"/>
      <c r="H87" s="164"/>
      <c r="I87" s="190"/>
      <c r="J87" s="239"/>
      <c r="K87" s="157"/>
      <c r="L87" s="159"/>
      <c r="M87" s="354"/>
      <c r="N87" s="354"/>
    </row>
    <row r="88" spans="1:17">
      <c r="B88" s="225" t="s">
        <v>110</v>
      </c>
      <c r="C88" s="224" t="s">
        <v>15</v>
      </c>
      <c r="D88" s="436">
        <f>D85</f>
        <v>16961705</v>
      </c>
      <c r="E88" s="222">
        <v>0.79457999999999995</v>
      </c>
      <c r="F88" s="190">
        <f>+D88*E88</f>
        <v>13477431.558899999</v>
      </c>
      <c r="G88" s="254"/>
      <c r="H88" s="452">
        <f>E88</f>
        <v>0.79457999999999995</v>
      </c>
      <c r="I88" s="190">
        <f>+D88*H88</f>
        <v>13477431.558899999</v>
      </c>
      <c r="J88" s="239"/>
      <c r="K88" s="157">
        <f>I88-F88</f>
        <v>0</v>
      </c>
      <c r="L88" s="306"/>
      <c r="M88" s="354"/>
      <c r="N88" s="354"/>
      <c r="O88" s="245"/>
      <c r="P88" s="137"/>
      <c r="Q88" s="197"/>
    </row>
    <row r="89" spans="1:17">
      <c r="B89" s="225" t="s">
        <v>36</v>
      </c>
      <c r="C89" s="224" t="s">
        <v>90</v>
      </c>
      <c r="D89" s="436">
        <f>D78</f>
        <v>143887</v>
      </c>
      <c r="E89" s="221">
        <v>1.05</v>
      </c>
      <c r="F89" s="190">
        <f>D89*E89</f>
        <v>151081.35</v>
      </c>
      <c r="G89" s="254"/>
      <c r="H89" s="220">
        <f>H25</f>
        <v>1.05</v>
      </c>
      <c r="I89" s="190">
        <f>D89*H89</f>
        <v>151081.35</v>
      </c>
      <c r="J89" s="239"/>
      <c r="K89" s="157">
        <f>I89-F89</f>
        <v>0</v>
      </c>
      <c r="L89" s="159"/>
      <c r="M89" s="354"/>
      <c r="N89" s="354"/>
    </row>
    <row r="90" spans="1:17">
      <c r="B90" s="166" t="s">
        <v>10</v>
      </c>
      <c r="C90" s="167"/>
      <c r="D90" s="168"/>
      <c r="E90" s="164"/>
      <c r="F90" s="264">
        <f>SUM(F88:F89)</f>
        <v>13628512.908899998</v>
      </c>
      <c r="G90" s="168"/>
      <c r="H90" s="164"/>
      <c r="I90" s="264">
        <f>SUM(I88:I89)</f>
        <v>13628512.908899998</v>
      </c>
      <c r="J90" s="164"/>
      <c r="K90" s="264">
        <f>SUM(K88:K89)</f>
        <v>0</v>
      </c>
      <c r="L90" s="305">
        <f>ROUND(K90/F90,5)</f>
        <v>0</v>
      </c>
      <c r="M90" s="354"/>
      <c r="N90" s="354"/>
    </row>
    <row r="91" spans="1:17">
      <c r="B91" s="155"/>
      <c r="C91" s="144"/>
      <c r="D91" s="158"/>
      <c r="E91" s="165"/>
      <c r="F91" s="190"/>
      <c r="H91" s="164"/>
      <c r="I91" s="190"/>
      <c r="J91" s="239"/>
      <c r="K91" s="157"/>
      <c r="L91" s="159"/>
      <c r="M91" s="354"/>
      <c r="N91" s="354"/>
    </row>
    <row r="92" spans="1:17" s="144" customFormat="1">
      <c r="B92" s="155" t="s">
        <v>38</v>
      </c>
      <c r="D92" s="158"/>
      <c r="E92" s="164"/>
      <c r="F92" s="264">
        <f>F90+F85</f>
        <v>17171387.748899996</v>
      </c>
      <c r="G92" s="158"/>
      <c r="H92" s="164"/>
      <c r="I92" s="264">
        <f>I90+I85</f>
        <v>17171348.918899998</v>
      </c>
      <c r="J92" s="239"/>
      <c r="K92" s="264">
        <f>K90+K85</f>
        <v>-38.829999999914435</v>
      </c>
      <c r="L92" s="305">
        <f>K92/F92</f>
        <v>-2.2613198518216384E-6</v>
      </c>
      <c r="M92" s="354"/>
      <c r="N92" s="354"/>
    </row>
    <row r="93" spans="1:17">
      <c r="A93" s="144"/>
      <c r="B93" s="177"/>
      <c r="C93" s="154"/>
      <c r="D93" s="500"/>
      <c r="E93" s="356"/>
      <c r="F93" s="201"/>
      <c r="G93" s="212"/>
      <c r="H93" s="216"/>
      <c r="I93" s="263"/>
      <c r="J93" s="247"/>
      <c r="K93" s="178"/>
      <c r="L93" s="307"/>
      <c r="M93" s="354"/>
      <c r="N93" s="354"/>
    </row>
    <row r="94" spans="1:17" s="144" customFormat="1">
      <c r="D94" s="180"/>
      <c r="E94" s="265"/>
      <c r="F94" s="176"/>
      <c r="G94" s="158"/>
      <c r="H94" s="164"/>
      <c r="I94" s="420"/>
      <c r="J94" s="239"/>
      <c r="K94" s="157"/>
      <c r="L94" s="308"/>
      <c r="M94" s="354"/>
      <c r="N94" s="354"/>
    </row>
    <row r="95" spans="1:17">
      <c r="A95" s="144"/>
      <c r="B95" s="223" t="s">
        <v>219</v>
      </c>
      <c r="C95" s="256"/>
      <c r="D95" s="151"/>
      <c r="E95" s="240"/>
      <c r="F95" s="150"/>
      <c r="G95" s="151"/>
      <c r="H95" s="241"/>
      <c r="I95" s="264"/>
      <c r="J95" s="242"/>
      <c r="K95" s="150"/>
      <c r="L95" s="152"/>
      <c r="M95" s="354"/>
      <c r="N95" s="354"/>
    </row>
    <row r="96" spans="1:17">
      <c r="A96" s="144"/>
      <c r="B96" s="155"/>
      <c r="C96" s="144"/>
      <c r="D96" s="158"/>
      <c r="E96" s="165"/>
      <c r="F96" s="157"/>
      <c r="G96" s="187"/>
      <c r="H96" s="164"/>
      <c r="I96" s="190"/>
      <c r="J96" s="239"/>
      <c r="K96" s="157"/>
      <c r="L96" s="306"/>
      <c r="M96" s="354"/>
      <c r="N96" s="354"/>
    </row>
    <row r="97" spans="1:14">
      <c r="A97" s="144"/>
      <c r="B97" s="255" t="s">
        <v>202</v>
      </c>
      <c r="C97" s="257" t="s">
        <v>80</v>
      </c>
      <c r="D97" s="259">
        <v>0</v>
      </c>
      <c r="E97" s="221"/>
      <c r="F97" s="157">
        <f>ROUND(D97*E97,2)</f>
        <v>0</v>
      </c>
      <c r="H97" s="508">
        <f>H77+300</f>
        <v>400</v>
      </c>
      <c r="I97" s="190">
        <f>ROUND(D97*H97,2)</f>
        <v>0</v>
      </c>
      <c r="J97" s="239"/>
      <c r="K97" s="157">
        <f>I97-F97</f>
        <v>0</v>
      </c>
      <c r="L97" s="306"/>
      <c r="M97" s="354"/>
      <c r="N97" s="354"/>
    </row>
    <row r="98" spans="1:14">
      <c r="A98" s="144"/>
      <c r="B98" s="225" t="s">
        <v>36</v>
      </c>
      <c r="C98" s="224" t="s">
        <v>90</v>
      </c>
      <c r="D98" s="259">
        <v>0</v>
      </c>
      <c r="E98" s="221"/>
      <c r="F98" s="157">
        <f>ROUND(D98*E98,2)</f>
        <v>0</v>
      </c>
      <c r="H98" s="310">
        <f>H78</f>
        <v>1.5</v>
      </c>
      <c r="I98" s="190">
        <f>ROUND(D98*H98,2)</f>
        <v>0</v>
      </c>
      <c r="J98" s="239"/>
      <c r="K98" s="157">
        <f>I98-F98</f>
        <v>0</v>
      </c>
      <c r="L98" s="306"/>
      <c r="M98" s="354"/>
      <c r="N98" s="354"/>
    </row>
    <row r="99" spans="1:14">
      <c r="A99" s="144"/>
      <c r="B99" s="297" t="s">
        <v>167</v>
      </c>
      <c r="C99" s="144"/>
      <c r="D99" s="158"/>
      <c r="E99" s="222"/>
      <c r="F99" s="423"/>
      <c r="H99" s="250"/>
      <c r="I99" s="423"/>
      <c r="J99" s="450"/>
      <c r="K99" s="157">
        <f>I99-F99</f>
        <v>0</v>
      </c>
      <c r="L99" s="306"/>
      <c r="M99" s="354"/>
      <c r="N99" s="354"/>
    </row>
    <row r="100" spans="1:14">
      <c r="A100" s="144"/>
      <c r="B100" s="155"/>
      <c r="C100" s="144"/>
      <c r="D100" s="158"/>
      <c r="E100" s="222"/>
      <c r="F100" s="157"/>
      <c r="H100" s="250"/>
      <c r="I100" s="190"/>
      <c r="J100" s="239"/>
      <c r="K100" s="157"/>
      <c r="L100" s="306"/>
      <c r="M100" s="354"/>
      <c r="N100" s="354"/>
    </row>
    <row r="101" spans="1:14">
      <c r="A101" s="144"/>
      <c r="B101" s="225" t="s">
        <v>109</v>
      </c>
      <c r="C101" s="144"/>
      <c r="D101" s="158"/>
      <c r="E101" s="222"/>
      <c r="F101" s="157"/>
      <c r="H101" s="250"/>
      <c r="I101" s="190"/>
      <c r="J101" s="239"/>
      <c r="K101" s="157"/>
      <c r="L101" s="306"/>
      <c r="M101" s="354"/>
      <c r="N101" s="354"/>
    </row>
    <row r="102" spans="1:14">
      <c r="A102" s="144"/>
      <c r="B102" s="409" t="s">
        <v>22</v>
      </c>
      <c r="C102" s="410" t="s">
        <v>15</v>
      </c>
      <c r="D102" s="259">
        <v>0</v>
      </c>
      <c r="E102" s="222"/>
      <c r="F102" s="157">
        <f>ROUND(D102*E102,2)</f>
        <v>0</v>
      </c>
      <c r="H102" s="509">
        <f>H83</f>
        <v>0.20669999999999999</v>
      </c>
      <c r="I102" s="190">
        <f>ROUND(D102*H102,2)</f>
        <v>0</v>
      </c>
      <c r="J102" s="239"/>
      <c r="K102" s="157">
        <f>I102-F102</f>
        <v>0</v>
      </c>
      <c r="L102" s="306"/>
      <c r="M102" s="354"/>
      <c r="N102" s="354"/>
    </row>
    <row r="103" spans="1:14">
      <c r="A103" s="144"/>
      <c r="B103" s="409" t="s">
        <v>23</v>
      </c>
      <c r="C103" s="410" t="s">
        <v>15</v>
      </c>
      <c r="D103" s="259">
        <v>0</v>
      </c>
      <c r="E103" s="222"/>
      <c r="F103" s="157">
        <f>ROUND(D103*E103,2)</f>
        <v>0</v>
      </c>
      <c r="H103" s="509">
        <f>H84</f>
        <v>0.14818000000000001</v>
      </c>
      <c r="I103" s="190">
        <f>ROUND(D103*H103,2)</f>
        <v>0</v>
      </c>
      <c r="J103" s="239"/>
      <c r="K103" s="157">
        <f>I103-F103</f>
        <v>0</v>
      </c>
      <c r="L103" s="306"/>
      <c r="M103" s="354"/>
      <c r="N103" s="354"/>
    </row>
    <row r="104" spans="1:14">
      <c r="A104" s="144"/>
      <c r="B104" s="166" t="s">
        <v>10</v>
      </c>
      <c r="C104" s="224" t="s">
        <v>15</v>
      </c>
      <c r="D104" s="151">
        <f>SUM(D102:D103)</f>
        <v>0</v>
      </c>
      <c r="E104" s="165"/>
      <c r="F104" s="264">
        <f>SUM(F97:F103)</f>
        <v>0</v>
      </c>
      <c r="H104" s="164"/>
      <c r="I104" s="264">
        <f>SUM(I97:I103)</f>
        <v>0</v>
      </c>
      <c r="J104" s="239"/>
      <c r="K104" s="264">
        <f>SUM(K97:K103)</f>
        <v>0</v>
      </c>
      <c r="L104" s="305"/>
      <c r="M104" s="354"/>
      <c r="N104" s="354"/>
    </row>
    <row r="105" spans="1:14">
      <c r="A105" s="144"/>
      <c r="B105" s="166"/>
      <c r="C105" s="167"/>
      <c r="D105" s="158"/>
      <c r="E105" s="165"/>
      <c r="F105" s="190"/>
      <c r="H105" s="164"/>
      <c r="I105" s="190"/>
      <c r="J105" s="239"/>
      <c r="K105" s="157"/>
      <c r="L105" s="159"/>
      <c r="M105" s="354"/>
      <c r="N105" s="354"/>
    </row>
    <row r="106" spans="1:14">
      <c r="A106" s="144"/>
      <c r="B106" s="225" t="s">
        <v>160</v>
      </c>
      <c r="C106" s="224" t="s">
        <v>15</v>
      </c>
      <c r="D106" s="436">
        <f>D102</f>
        <v>0</v>
      </c>
      <c r="E106" s="222"/>
      <c r="F106" s="190">
        <f>E106*D106</f>
        <v>0</v>
      </c>
      <c r="G106" s="254"/>
      <c r="H106" s="222">
        <v>6.9999999999999999E-4</v>
      </c>
      <c r="I106" s="157">
        <f>H106*D106</f>
        <v>0</v>
      </c>
      <c r="J106" s="239"/>
      <c r="K106" s="157">
        <f>I106-F106</f>
        <v>0</v>
      </c>
      <c r="L106" s="306"/>
      <c r="M106" s="354"/>
      <c r="N106" s="354"/>
    </row>
    <row r="107" spans="1:14">
      <c r="A107" s="144"/>
      <c r="B107" s="312" t="s">
        <v>38</v>
      </c>
      <c r="C107" s="144"/>
      <c r="D107" s="158"/>
      <c r="E107" s="221"/>
      <c r="F107" s="264">
        <f>F106+F104</f>
        <v>0</v>
      </c>
      <c r="G107" s="264"/>
      <c r="H107" s="164"/>
      <c r="I107" s="264">
        <f>I106+I104</f>
        <v>0</v>
      </c>
      <c r="J107" s="164"/>
      <c r="K107" s="264">
        <f>K106+K104</f>
        <v>0</v>
      </c>
      <c r="L107" s="152"/>
      <c r="M107" s="354"/>
      <c r="N107" s="354"/>
    </row>
    <row r="108" spans="1:14">
      <c r="A108" s="144"/>
      <c r="B108" s="177"/>
      <c r="C108" s="154"/>
      <c r="D108" s="212"/>
      <c r="E108" s="246"/>
      <c r="F108" s="178"/>
      <c r="G108" s="212"/>
      <c r="H108" s="216"/>
      <c r="I108" s="189"/>
      <c r="J108" s="247"/>
      <c r="K108" s="178"/>
      <c r="L108" s="184"/>
      <c r="M108" s="354"/>
      <c r="N108" s="354"/>
    </row>
    <row r="109" spans="1:14" s="144" customFormat="1">
      <c r="D109" s="180"/>
      <c r="E109" s="265"/>
      <c r="F109" s="176"/>
      <c r="G109" s="158"/>
      <c r="H109" s="164"/>
      <c r="I109" s="420"/>
      <c r="J109" s="239"/>
      <c r="K109" s="157"/>
      <c r="L109" s="308"/>
      <c r="M109" s="354"/>
      <c r="N109" s="354"/>
    </row>
    <row r="110" spans="1:14">
      <c r="A110" s="144"/>
      <c r="B110" s="223" t="s">
        <v>220</v>
      </c>
      <c r="C110" s="256"/>
      <c r="D110" s="151"/>
      <c r="E110" s="240"/>
      <c r="F110" s="150"/>
      <c r="G110" s="151"/>
      <c r="H110" s="241"/>
      <c r="I110" s="264"/>
      <c r="J110" s="242"/>
      <c r="K110" s="150"/>
      <c r="L110" s="152"/>
      <c r="M110" s="354"/>
      <c r="N110" s="354"/>
    </row>
    <row r="111" spans="1:14">
      <c r="A111" s="144"/>
      <c r="B111" s="155"/>
      <c r="C111" s="144"/>
      <c r="D111" s="158"/>
      <c r="E111" s="165"/>
      <c r="F111" s="157"/>
      <c r="G111" s="187"/>
      <c r="H111" s="164"/>
      <c r="I111" s="190"/>
      <c r="J111" s="239"/>
      <c r="K111" s="157"/>
      <c r="L111" s="306"/>
      <c r="M111" s="354"/>
      <c r="N111" s="354"/>
    </row>
    <row r="112" spans="1:14">
      <c r="A112" s="144"/>
      <c r="B112" s="255" t="s">
        <v>202</v>
      </c>
      <c r="C112" s="257" t="s">
        <v>80</v>
      </c>
      <c r="D112" s="180">
        <f>D78+D97</f>
        <v>143887</v>
      </c>
      <c r="E112" s="221"/>
      <c r="F112" s="157">
        <f>F77+F97</f>
        <v>478600</v>
      </c>
      <c r="H112" s="221"/>
      <c r="I112" s="157">
        <f>I77+I97</f>
        <v>478600</v>
      </c>
      <c r="J112" s="239"/>
      <c r="K112" s="157">
        <f>I112-F112</f>
        <v>0</v>
      </c>
      <c r="L112" s="306"/>
      <c r="M112" s="354"/>
      <c r="N112" s="354"/>
    </row>
    <row r="113" spans="1:14">
      <c r="A113" s="144"/>
      <c r="B113" s="225" t="s">
        <v>36</v>
      </c>
      <c r="C113" s="224" t="s">
        <v>90</v>
      </c>
      <c r="D113" s="180">
        <f>D79+D98</f>
        <v>16961705</v>
      </c>
      <c r="E113" s="221"/>
      <c r="F113" s="157">
        <f>F78+F98</f>
        <v>146764.74</v>
      </c>
      <c r="H113" s="310"/>
      <c r="I113" s="157">
        <f>I78+I98</f>
        <v>215830.5</v>
      </c>
      <c r="J113" s="239"/>
      <c r="K113" s="157">
        <f>I113-F113</f>
        <v>69065.760000000009</v>
      </c>
      <c r="L113" s="306"/>
      <c r="M113" s="354"/>
      <c r="N113" s="354"/>
    </row>
    <row r="114" spans="1:14">
      <c r="A114" s="144"/>
      <c r="B114" s="155" t="s">
        <v>78</v>
      </c>
      <c r="C114" s="224" t="s">
        <v>15</v>
      </c>
      <c r="D114" s="180">
        <f>D79</f>
        <v>16961705</v>
      </c>
      <c r="E114" s="222"/>
      <c r="F114" s="157">
        <f>F79</f>
        <v>110251.08</v>
      </c>
      <c r="H114" s="309"/>
      <c r="I114" s="157">
        <f>I79</f>
        <v>84808.53</v>
      </c>
      <c r="J114" s="239"/>
      <c r="K114" s="157">
        <f>I114-F114</f>
        <v>-25442.550000000003</v>
      </c>
      <c r="L114" s="306"/>
      <c r="M114" s="354"/>
      <c r="N114" s="354"/>
    </row>
    <row r="115" spans="1:14">
      <c r="A115" s="144"/>
      <c r="B115" s="297" t="s">
        <v>167</v>
      </c>
      <c r="C115" s="144"/>
      <c r="D115" s="158"/>
      <c r="E115" s="222"/>
      <c r="F115" s="478">
        <f>F80+F99</f>
        <v>32316</v>
      </c>
      <c r="H115" s="250"/>
      <c r="I115" s="478">
        <f>I80+I99</f>
        <v>32316</v>
      </c>
      <c r="J115" s="450"/>
      <c r="K115" s="157">
        <f>I115-F115</f>
        <v>0</v>
      </c>
      <c r="L115" s="306"/>
      <c r="M115" s="354"/>
      <c r="N115" s="354"/>
    </row>
    <row r="116" spans="1:14">
      <c r="A116" s="144"/>
      <c r="B116" s="155"/>
      <c r="C116" s="144"/>
      <c r="D116" s="158"/>
      <c r="E116" s="222"/>
      <c r="F116" s="157"/>
      <c r="H116" s="250"/>
      <c r="I116" s="157"/>
      <c r="J116" s="239"/>
      <c r="K116" s="157"/>
      <c r="L116" s="306"/>
      <c r="M116" s="354"/>
      <c r="N116" s="354"/>
    </row>
    <row r="117" spans="1:14">
      <c r="A117" s="144"/>
      <c r="B117" s="225" t="s">
        <v>109</v>
      </c>
      <c r="C117" s="144"/>
      <c r="D117" s="158"/>
      <c r="E117" s="222"/>
      <c r="F117" s="157"/>
      <c r="H117" s="250"/>
      <c r="I117" s="157"/>
      <c r="J117" s="239"/>
      <c r="K117" s="157"/>
      <c r="L117" s="306"/>
      <c r="M117" s="354"/>
      <c r="N117" s="354"/>
    </row>
    <row r="118" spans="1:14">
      <c r="A118" s="144"/>
      <c r="B118" s="409" t="s">
        <v>22</v>
      </c>
      <c r="C118" s="410" t="s">
        <v>15</v>
      </c>
      <c r="D118" s="180">
        <f>D83+D102</f>
        <v>3723437</v>
      </c>
      <c r="E118" s="222"/>
      <c r="F118" s="157">
        <f>F83+F102</f>
        <v>781921.77</v>
      </c>
      <c r="H118" s="339"/>
      <c r="I118" s="157">
        <f>I83+I102</f>
        <v>769634.43</v>
      </c>
      <c r="J118" s="239"/>
      <c r="K118" s="157">
        <f>I118-F118</f>
        <v>-12287.339999999967</v>
      </c>
      <c r="L118" s="306"/>
      <c r="M118" s="354"/>
      <c r="N118" s="354"/>
    </row>
    <row r="119" spans="1:14">
      <c r="A119" s="144"/>
      <c r="B119" s="409" t="s">
        <v>23</v>
      </c>
      <c r="C119" s="410" t="s">
        <v>15</v>
      </c>
      <c r="D119" s="180">
        <f>D84+D103</f>
        <v>13238268</v>
      </c>
      <c r="E119" s="222"/>
      <c r="F119" s="157">
        <f>F84+F103</f>
        <v>1993021.25</v>
      </c>
      <c r="H119" s="339"/>
      <c r="I119" s="157">
        <f>I84+I103</f>
        <v>1961646.55</v>
      </c>
      <c r="J119" s="239"/>
      <c r="K119" s="157">
        <f>I119-F119</f>
        <v>-31374.699999999953</v>
      </c>
      <c r="L119" s="306"/>
      <c r="M119" s="354"/>
      <c r="N119" s="354"/>
    </row>
    <row r="120" spans="1:14">
      <c r="A120" s="144"/>
      <c r="B120" s="166" t="s">
        <v>10</v>
      </c>
      <c r="C120" s="224" t="s">
        <v>15</v>
      </c>
      <c r="D120" s="151">
        <f>SUM(D118:D119)</f>
        <v>16961705</v>
      </c>
      <c r="E120" s="165"/>
      <c r="F120" s="264">
        <f>SUM(F112:F119)</f>
        <v>3542874.84</v>
      </c>
      <c r="H120" s="164"/>
      <c r="I120" s="264">
        <f>SUM(I112:I119)</f>
        <v>3542836.01</v>
      </c>
      <c r="J120" s="239"/>
      <c r="K120" s="264">
        <f>SUM(K112:K119)</f>
        <v>-38.829999999914435</v>
      </c>
      <c r="L120" s="305">
        <f>K120/F120</f>
        <v>-1.0960025898040033E-5</v>
      </c>
      <c r="M120" s="354"/>
      <c r="N120" s="354"/>
    </row>
    <row r="121" spans="1:14">
      <c r="A121" s="144"/>
      <c r="B121" s="166"/>
      <c r="C121" s="167"/>
      <c r="D121" s="158"/>
      <c r="E121" s="165"/>
      <c r="F121" s="190"/>
      <c r="H121" s="164"/>
      <c r="I121" s="190"/>
      <c r="J121" s="239"/>
      <c r="K121" s="157"/>
      <c r="L121" s="159"/>
      <c r="M121" s="354"/>
      <c r="N121" s="354"/>
    </row>
    <row r="122" spans="1:14">
      <c r="A122" s="144"/>
      <c r="B122" s="64" t="s">
        <v>211</v>
      </c>
      <c r="C122" s="167"/>
      <c r="D122" s="158"/>
      <c r="E122" s="165"/>
      <c r="F122" s="190"/>
      <c r="H122" s="164"/>
      <c r="I122" s="190"/>
      <c r="J122" s="239"/>
      <c r="K122" s="157"/>
      <c r="L122" s="159"/>
      <c r="M122" s="354"/>
      <c r="N122" s="354"/>
    </row>
    <row r="123" spans="1:14">
      <c r="A123" s="144"/>
      <c r="B123" s="225" t="s">
        <v>110</v>
      </c>
      <c r="C123" s="224" t="s">
        <v>15</v>
      </c>
      <c r="D123" s="436">
        <f>D120</f>
        <v>16961705</v>
      </c>
      <c r="E123" s="222"/>
      <c r="F123" s="190">
        <f>F88</f>
        <v>13477431.558899999</v>
      </c>
      <c r="G123" s="254"/>
      <c r="H123" s="222"/>
      <c r="I123" s="190">
        <f>I88</f>
        <v>13477431.558899999</v>
      </c>
      <c r="J123" s="239"/>
      <c r="K123" s="157">
        <f>I123-F123</f>
        <v>0</v>
      </c>
      <c r="L123" s="306"/>
      <c r="M123" s="354"/>
      <c r="N123" s="354"/>
    </row>
    <row r="124" spans="1:14">
      <c r="A124" s="144"/>
      <c r="B124" s="225" t="s">
        <v>36</v>
      </c>
      <c r="C124" s="224" t="s">
        <v>90</v>
      </c>
      <c r="D124" s="436">
        <f>D113</f>
        <v>16961705</v>
      </c>
      <c r="E124" s="221"/>
      <c r="F124" s="190">
        <f>F89</f>
        <v>151081.35</v>
      </c>
      <c r="G124" s="254"/>
      <c r="H124" s="220"/>
      <c r="I124" s="190">
        <f>I89</f>
        <v>151081.35</v>
      </c>
      <c r="J124" s="239"/>
      <c r="K124" s="157">
        <f>I124-F124</f>
        <v>0</v>
      </c>
      <c r="L124" s="159"/>
      <c r="M124" s="354"/>
      <c r="N124" s="354"/>
    </row>
    <row r="125" spans="1:14">
      <c r="A125" s="144"/>
      <c r="B125" s="225" t="s">
        <v>160</v>
      </c>
      <c r="C125" s="224" t="s">
        <v>15</v>
      </c>
      <c r="D125" s="436">
        <f>D123</f>
        <v>16961705</v>
      </c>
      <c r="E125" s="221"/>
      <c r="F125" s="190">
        <f>F106</f>
        <v>0</v>
      </c>
      <c r="G125" s="254"/>
      <c r="H125" s="220"/>
      <c r="I125" s="190">
        <f>I106</f>
        <v>0</v>
      </c>
      <c r="J125" s="239"/>
      <c r="K125" s="157">
        <f>I125-F125</f>
        <v>0</v>
      </c>
      <c r="L125" s="159"/>
      <c r="M125" s="354"/>
      <c r="N125" s="354"/>
    </row>
    <row r="126" spans="1:14">
      <c r="A126" s="144"/>
      <c r="B126" s="166" t="s">
        <v>10</v>
      </c>
      <c r="C126" s="167"/>
      <c r="D126" s="168"/>
      <c r="E126" s="164"/>
      <c r="F126" s="264">
        <f>SUM(F123:F125)</f>
        <v>13628512.908899998</v>
      </c>
      <c r="G126" s="168"/>
      <c r="H126" s="164"/>
      <c r="I126" s="264">
        <f>SUM(I123:I125)</f>
        <v>13628512.908899998</v>
      </c>
      <c r="J126" s="164"/>
      <c r="K126" s="264">
        <f>SUM(K123:K125)</f>
        <v>0</v>
      </c>
      <c r="L126" s="305">
        <f>ROUND(K126/F126,5)</f>
        <v>0</v>
      </c>
      <c r="M126" s="354"/>
      <c r="N126" s="354"/>
    </row>
    <row r="127" spans="1:14">
      <c r="A127" s="144"/>
      <c r="B127" s="166"/>
      <c r="C127" s="167"/>
      <c r="D127" s="168"/>
      <c r="E127" s="164"/>
      <c r="F127" s="190"/>
      <c r="G127" s="168"/>
      <c r="H127" s="164"/>
      <c r="I127" s="190"/>
      <c r="J127" s="164"/>
      <c r="K127" s="190"/>
      <c r="L127" s="306"/>
      <c r="M127" s="354"/>
      <c r="N127" s="354"/>
    </row>
    <row r="128" spans="1:14">
      <c r="A128" s="144"/>
      <c r="B128" s="312" t="s">
        <v>38</v>
      </c>
      <c r="C128" s="167"/>
      <c r="D128" s="168"/>
      <c r="E128" s="164"/>
      <c r="F128" s="264">
        <f>F120+F126</f>
        <v>17171387.748899996</v>
      </c>
      <c r="G128" s="168"/>
      <c r="H128" s="164"/>
      <c r="I128" s="264">
        <f>I120+I126</f>
        <v>17171348.918899998</v>
      </c>
      <c r="J128" s="164"/>
      <c r="K128" s="264">
        <f>K120+K126</f>
        <v>-38.829999999914435</v>
      </c>
      <c r="L128" s="305">
        <f>ROUND(K128/F128,5)</f>
        <v>0</v>
      </c>
      <c r="M128" s="354"/>
      <c r="N128" s="354"/>
    </row>
    <row r="129" spans="1:25">
      <c r="A129" s="144"/>
      <c r="B129" s="177"/>
      <c r="C129" s="154"/>
      <c r="D129" s="212"/>
      <c r="E129" s="246"/>
      <c r="F129" s="178"/>
      <c r="G129" s="212"/>
      <c r="H129" s="216"/>
      <c r="I129" s="189"/>
      <c r="J129" s="247"/>
      <c r="K129" s="178"/>
      <c r="L129" s="307"/>
      <c r="M129" s="354"/>
      <c r="N129" s="354"/>
    </row>
    <row r="130" spans="1:25" s="144" customFormat="1">
      <c r="D130" s="180"/>
      <c r="E130" s="265"/>
      <c r="F130" s="176"/>
      <c r="G130" s="158"/>
      <c r="H130" s="164"/>
      <c r="I130" s="420"/>
      <c r="J130" s="239"/>
      <c r="K130" s="157"/>
      <c r="L130" s="308"/>
      <c r="M130" s="354"/>
      <c r="N130" s="354"/>
    </row>
    <row r="131" spans="1:25" s="144" customFormat="1">
      <c r="D131" s="158"/>
      <c r="E131" s="165"/>
      <c r="F131" s="157"/>
      <c r="G131" s="158"/>
      <c r="H131" s="164"/>
      <c r="I131" s="190"/>
      <c r="J131" s="239"/>
      <c r="K131" s="157"/>
      <c r="L131" s="308"/>
      <c r="M131" s="354"/>
      <c r="N131" s="354"/>
    </row>
    <row r="132" spans="1:25">
      <c r="B132" s="223" t="s">
        <v>196</v>
      </c>
      <c r="C132" s="256"/>
      <c r="D132" s="151"/>
      <c r="E132" s="240"/>
      <c r="F132" s="150"/>
      <c r="G132" s="151"/>
      <c r="H132" s="241"/>
      <c r="I132" s="264"/>
      <c r="J132" s="242"/>
      <c r="K132" s="150"/>
      <c r="L132" s="305"/>
      <c r="M132" s="354"/>
      <c r="N132" s="352"/>
      <c r="O132" s="192" t="s">
        <v>27</v>
      </c>
    </row>
    <row r="133" spans="1:25">
      <c r="B133" s="155"/>
      <c r="C133" s="144"/>
      <c r="D133" s="158"/>
      <c r="E133" s="165"/>
      <c r="F133" s="157"/>
      <c r="H133" s="164"/>
      <c r="I133" s="190"/>
      <c r="J133" s="239"/>
      <c r="K133" s="157"/>
      <c r="L133" s="306"/>
      <c r="M133" s="354"/>
      <c r="N133" s="352"/>
      <c r="O133" s="284">
        <f>'Rate Spread-Margin'!J19</f>
        <v>979979.5405194792</v>
      </c>
    </row>
    <row r="134" spans="1:25">
      <c r="B134" s="255" t="s">
        <v>202</v>
      </c>
      <c r="C134" s="257" t="s">
        <v>80</v>
      </c>
      <c r="D134" s="259">
        <f>140+49</f>
        <v>189</v>
      </c>
      <c r="E134" s="221">
        <v>500</v>
      </c>
      <c r="F134" s="157">
        <f>ROUND(D134*E134,2)</f>
        <v>94500</v>
      </c>
      <c r="H134" s="510">
        <v>500</v>
      </c>
      <c r="I134" s="190">
        <f>ROUND(D134*H134,2)</f>
        <v>94500</v>
      </c>
      <c r="J134" s="239"/>
      <c r="K134" s="157">
        <f>I134-F134</f>
        <v>0</v>
      </c>
      <c r="L134" s="193"/>
      <c r="M134" s="354"/>
      <c r="N134" s="352"/>
      <c r="O134" s="470" t="s">
        <v>158</v>
      </c>
    </row>
    <row r="135" spans="1:25">
      <c r="B135" s="225" t="s">
        <v>36</v>
      </c>
      <c r="C135" s="224" t="s">
        <v>90</v>
      </c>
      <c r="D135" s="259">
        <f>7628+47700</f>
        <v>55328</v>
      </c>
      <c r="E135" s="221">
        <v>1.02</v>
      </c>
      <c r="F135" s="157">
        <f>ROUND(D135*E135,2)</f>
        <v>56434.559999999998</v>
      </c>
      <c r="H135" s="319">
        <v>1.5</v>
      </c>
      <c r="I135" s="190">
        <f>ROUND(D135*H135,2)</f>
        <v>82992</v>
      </c>
      <c r="J135" s="239"/>
      <c r="K135" s="157">
        <f>I135-F135</f>
        <v>26557.440000000002</v>
      </c>
      <c r="L135" s="193"/>
      <c r="M135" s="354"/>
      <c r="N135" s="353"/>
      <c r="O135" s="195">
        <f>+K146+K171-O133</f>
        <v>-24861.363519479753</v>
      </c>
    </row>
    <row r="136" spans="1:25">
      <c r="B136" s="155" t="s">
        <v>78</v>
      </c>
      <c r="C136" s="224"/>
      <c r="D136" s="180">
        <f>D146</f>
        <v>35690498</v>
      </c>
      <c r="E136" s="222">
        <v>5.0000000000000001E-3</v>
      </c>
      <c r="F136" s="157">
        <f>ROUND(D136*E136,2)</f>
        <v>178452.49</v>
      </c>
      <c r="H136" s="222">
        <v>5.0000000000000001E-3</v>
      </c>
      <c r="I136" s="157">
        <f>ROUND(D136*H136,2)</f>
        <v>178452.49</v>
      </c>
      <c r="J136" s="239"/>
      <c r="K136" s="157">
        <f>I136-F136</f>
        <v>0</v>
      </c>
      <c r="L136" s="193"/>
      <c r="M136" s="354"/>
      <c r="N136" s="354"/>
      <c r="O136" s="188"/>
    </row>
    <row r="137" spans="1:25">
      <c r="B137" s="433" t="s">
        <v>167</v>
      </c>
      <c r="C137" s="168"/>
      <c r="D137" s="158"/>
      <c r="E137" s="163"/>
      <c r="F137" s="428">
        <v>0</v>
      </c>
      <c r="H137" s="311" t="s">
        <v>159</v>
      </c>
      <c r="I137" s="423">
        <f>F137</f>
        <v>0</v>
      </c>
      <c r="J137" s="239"/>
      <c r="K137" s="157">
        <f>I137-F137</f>
        <v>0</v>
      </c>
      <c r="L137" s="193"/>
      <c r="M137" s="354"/>
      <c r="N137" s="354"/>
      <c r="O137" s="266"/>
    </row>
    <row r="138" spans="1:25">
      <c r="B138" s="155"/>
      <c r="C138" s="144"/>
      <c r="D138" s="158"/>
      <c r="E138" s="164"/>
      <c r="F138" s="157"/>
      <c r="H138" s="311"/>
      <c r="I138" s="190"/>
      <c r="J138" s="239"/>
      <c r="K138" s="188"/>
      <c r="L138" s="193"/>
      <c r="M138" s="354"/>
      <c r="N138" s="357"/>
      <c r="O138" s="471" t="s">
        <v>79</v>
      </c>
    </row>
    <row r="139" spans="1:25">
      <c r="B139" s="225" t="s">
        <v>109</v>
      </c>
      <c r="C139" s="144"/>
      <c r="D139" s="158"/>
      <c r="E139" s="164"/>
      <c r="F139" s="157"/>
      <c r="H139" s="165"/>
      <c r="I139" s="190"/>
      <c r="J139" s="239"/>
      <c r="K139" s="188"/>
      <c r="L139" s="193"/>
      <c r="M139" s="354"/>
      <c r="N139" s="354"/>
      <c r="O139" s="472">
        <f>+O133+O212</f>
        <v>1371641.2780866169</v>
      </c>
      <c r="P139" s="137"/>
      <c r="Q139" s="137"/>
    </row>
    <row r="140" spans="1:25">
      <c r="B140" s="155" t="s">
        <v>19</v>
      </c>
      <c r="C140" s="224" t="s">
        <v>15</v>
      </c>
      <c r="D140" s="259">
        <f>3553197+933331</f>
        <v>4486528</v>
      </c>
      <c r="E140" s="222">
        <v>0.12483</v>
      </c>
      <c r="F140" s="157">
        <f t="shared" ref="F140:F145" si="0">ROUND(D140*E140,2)</f>
        <v>560053.29</v>
      </c>
      <c r="H140" s="511">
        <f t="shared" ref="H140:H145" si="1">ROUND((E140*(1+$O$144)),5)</f>
        <v>0.14323</v>
      </c>
      <c r="I140" s="190">
        <f t="shared" ref="I140:I145" si="2">ROUND(D140*H140,2)</f>
        <v>642605.41</v>
      </c>
      <c r="J140" s="239"/>
      <c r="K140" s="157">
        <f t="shared" ref="K140:K145" si="3">I140-F140</f>
        <v>82552.12</v>
      </c>
      <c r="L140" s="193"/>
      <c r="M140" s="354"/>
      <c r="N140" s="354"/>
      <c r="O140" s="304" t="s">
        <v>158</v>
      </c>
      <c r="P140" s="419"/>
      <c r="Q140" s="158"/>
      <c r="R140" s="250"/>
      <c r="S140" s="176"/>
      <c r="T140" s="158"/>
      <c r="U140" s="164"/>
      <c r="V140" s="190"/>
      <c r="W140" s="239"/>
      <c r="X140" s="157"/>
      <c r="Y140" s="308"/>
    </row>
    <row r="141" spans="1:25">
      <c r="B141" s="155" t="s">
        <v>20</v>
      </c>
      <c r="C141" s="224" t="s">
        <v>15</v>
      </c>
      <c r="D141" s="259">
        <f>3522947+740515</f>
        <v>4263462</v>
      </c>
      <c r="E141" s="222">
        <v>7.621E-2</v>
      </c>
      <c r="F141" s="157">
        <f t="shared" si="0"/>
        <v>324918.44</v>
      </c>
      <c r="H141" s="511">
        <f t="shared" si="1"/>
        <v>8.7440000000000004E-2</v>
      </c>
      <c r="I141" s="190">
        <f t="shared" si="2"/>
        <v>372797.12</v>
      </c>
      <c r="J141" s="239"/>
      <c r="K141" s="157">
        <f t="shared" si="3"/>
        <v>47878.679999999993</v>
      </c>
      <c r="L141" s="193"/>
      <c r="M141" s="354"/>
      <c r="N141" s="354"/>
      <c r="O141" s="279">
        <f>O214+O135</f>
        <v>-24.485986617393792</v>
      </c>
      <c r="P141" s="144"/>
      <c r="R141" s="165"/>
      <c r="S141" s="157"/>
      <c r="T141" s="158"/>
      <c r="U141" s="164"/>
      <c r="V141" s="190"/>
      <c r="W141" s="239"/>
      <c r="X141" s="157"/>
      <c r="Y141" s="348"/>
    </row>
    <row r="142" spans="1:25">
      <c r="B142" s="155" t="s">
        <v>24</v>
      </c>
      <c r="C142" s="224" t="s">
        <v>15</v>
      </c>
      <c r="D142" s="259">
        <f>5268166+1123062</f>
        <v>6391228</v>
      </c>
      <c r="E142" s="222">
        <v>4.9209999999999997E-2</v>
      </c>
      <c r="F142" s="157">
        <f t="shared" si="0"/>
        <v>314512.33</v>
      </c>
      <c r="H142" s="511">
        <f t="shared" si="1"/>
        <v>5.6460000000000003E-2</v>
      </c>
      <c r="I142" s="190">
        <f t="shared" si="2"/>
        <v>360848.73</v>
      </c>
      <c r="J142" s="239"/>
      <c r="K142" s="157">
        <f t="shared" si="3"/>
        <v>46336.399999999965</v>
      </c>
      <c r="L142" s="306"/>
      <c r="M142" s="354"/>
      <c r="N142" s="354"/>
      <c r="O142" s="257"/>
      <c r="P142" s="257"/>
      <c r="Q142" s="259"/>
      <c r="R142" s="221"/>
      <c r="S142" s="190"/>
      <c r="T142" s="158"/>
      <c r="U142" s="221"/>
      <c r="V142" s="190"/>
      <c r="W142" s="239"/>
      <c r="X142" s="157"/>
      <c r="Y142" s="308"/>
    </row>
    <row r="143" spans="1:25">
      <c r="B143" s="155" t="s">
        <v>25</v>
      </c>
      <c r="C143" s="224" t="s">
        <v>15</v>
      </c>
      <c r="D143" s="259">
        <f>5751167+444428</f>
        <v>6195595</v>
      </c>
      <c r="E143" s="222">
        <v>3.2259999999999997E-2</v>
      </c>
      <c r="F143" s="157">
        <f t="shared" si="0"/>
        <v>199869.89</v>
      </c>
      <c r="H143" s="511">
        <f t="shared" si="1"/>
        <v>3.7019999999999997E-2</v>
      </c>
      <c r="I143" s="190">
        <f t="shared" si="2"/>
        <v>229360.93</v>
      </c>
      <c r="J143" s="239"/>
      <c r="K143" s="157">
        <f t="shared" si="3"/>
        <v>29491.039999999979</v>
      </c>
      <c r="L143" s="306"/>
      <c r="M143" s="354"/>
      <c r="N143" s="354"/>
      <c r="O143" s="224"/>
      <c r="P143" s="224"/>
      <c r="Q143" s="259"/>
      <c r="R143" s="222"/>
      <c r="S143" s="190"/>
      <c r="T143" s="158"/>
      <c r="U143" s="319"/>
      <c r="V143" s="190"/>
      <c r="W143" s="239"/>
      <c r="X143" s="157"/>
      <c r="Y143" s="185"/>
    </row>
    <row r="144" spans="1:25">
      <c r="B144" s="155" t="s">
        <v>26</v>
      </c>
      <c r="C144" s="224" t="s">
        <v>15</v>
      </c>
      <c r="D144" s="259">
        <f>5226373</f>
        <v>5226373</v>
      </c>
      <c r="E144" s="222">
        <v>2.376E-2</v>
      </c>
      <c r="F144" s="157">
        <f t="shared" si="0"/>
        <v>124178.62</v>
      </c>
      <c r="H144" s="511">
        <f t="shared" si="1"/>
        <v>2.726E-2</v>
      </c>
      <c r="I144" s="190">
        <f t="shared" si="2"/>
        <v>142470.93</v>
      </c>
      <c r="J144" s="239"/>
      <c r="K144" s="157">
        <f t="shared" si="3"/>
        <v>18292.309999999998</v>
      </c>
      <c r="L144" s="306"/>
      <c r="M144" s="354"/>
      <c r="N144" s="354"/>
      <c r="O144" s="473">
        <v>0.1474</v>
      </c>
      <c r="P144" s="144"/>
      <c r="Q144" s="158"/>
      <c r="R144" s="250"/>
      <c r="S144" s="157"/>
      <c r="T144" s="158"/>
      <c r="U144" s="164"/>
      <c r="V144" s="157"/>
      <c r="W144" s="164"/>
      <c r="X144" s="157"/>
      <c r="Y144" s="185"/>
    </row>
    <row r="145" spans="1:25">
      <c r="B145" s="155" t="s">
        <v>28</v>
      </c>
      <c r="C145" s="224" t="s">
        <v>15</v>
      </c>
      <c r="D145" s="259">
        <v>9127312</v>
      </c>
      <c r="E145" s="222">
        <v>1.8759999999999999E-2</v>
      </c>
      <c r="F145" s="157">
        <f t="shared" si="0"/>
        <v>171228.37</v>
      </c>
      <c r="H145" s="511">
        <f t="shared" si="1"/>
        <v>2.1530000000000001E-2</v>
      </c>
      <c r="I145" s="190">
        <f t="shared" si="2"/>
        <v>196511.03</v>
      </c>
      <c r="J145" s="239"/>
      <c r="K145" s="157">
        <f t="shared" si="3"/>
        <v>25282.660000000003</v>
      </c>
      <c r="L145" s="306"/>
      <c r="M145" s="354"/>
      <c r="N145" s="354"/>
      <c r="O145" s="224"/>
      <c r="P145" s="167"/>
      <c r="Q145" s="168"/>
      <c r="R145" s="144"/>
      <c r="S145" s="157"/>
      <c r="T145" s="158"/>
      <c r="U145" s="156"/>
      <c r="V145" s="190"/>
      <c r="W145" s="190"/>
      <c r="X145" s="157"/>
      <c r="Y145" s="185"/>
    </row>
    <row r="146" spans="1:25">
      <c r="B146" s="312" t="s">
        <v>161</v>
      </c>
      <c r="C146" s="224" t="s">
        <v>15</v>
      </c>
      <c r="D146" s="467">
        <f>SUM(D140:D145)</f>
        <v>35690498</v>
      </c>
      <c r="E146" s="165"/>
      <c r="F146" s="264">
        <f>SUM(F134:F145)</f>
        <v>2024147.9900000002</v>
      </c>
      <c r="H146" s="164"/>
      <c r="I146" s="264">
        <f>SUM(I134:I145)</f>
        <v>2300538.6399999997</v>
      </c>
      <c r="J146" s="239"/>
      <c r="K146" s="264">
        <f>I146-F146</f>
        <v>276390.64999999944</v>
      </c>
      <c r="L146" s="305">
        <f>K146/F146</f>
        <v>0.13654666129426604</v>
      </c>
      <c r="M146" s="354"/>
      <c r="N146" s="354"/>
      <c r="O146" s="224"/>
      <c r="P146" s="224"/>
      <c r="Q146" s="158"/>
      <c r="R146" s="222"/>
      <c r="S146" s="157"/>
      <c r="T146" s="168"/>
      <c r="U146" s="222"/>
      <c r="V146" s="157"/>
      <c r="W146" s="157"/>
      <c r="X146" s="157"/>
      <c r="Y146" s="185"/>
    </row>
    <row r="147" spans="1:25">
      <c r="B147" s="166"/>
      <c r="C147" s="167"/>
      <c r="D147" s="158"/>
      <c r="E147" s="165"/>
      <c r="F147" s="157"/>
      <c r="H147" s="164"/>
      <c r="I147" s="190"/>
      <c r="J147" s="239"/>
      <c r="K147" s="157"/>
      <c r="L147" s="159"/>
      <c r="M147" s="354"/>
      <c r="N147" s="355"/>
      <c r="O147" s="224"/>
      <c r="P147" s="224"/>
      <c r="Q147" s="158"/>
      <c r="R147" s="222"/>
      <c r="S147" s="157"/>
      <c r="T147" s="168"/>
      <c r="U147" s="221"/>
      <c r="V147" s="157"/>
      <c r="W147" s="157"/>
      <c r="X147" s="157"/>
      <c r="Y147" s="185"/>
    </row>
    <row r="148" spans="1:25">
      <c r="B148" s="64" t="s">
        <v>211</v>
      </c>
      <c r="C148" s="167"/>
      <c r="D148" s="158"/>
      <c r="E148" s="165"/>
      <c r="F148" s="157"/>
      <c r="H148" s="164"/>
      <c r="I148" s="190"/>
      <c r="J148" s="239"/>
      <c r="K148" s="157"/>
      <c r="L148" s="159"/>
      <c r="M148" s="354"/>
      <c r="N148" s="354"/>
      <c r="O148" s="167"/>
      <c r="P148" s="167"/>
      <c r="Q148" s="168"/>
      <c r="R148" s="164"/>
      <c r="S148" s="157"/>
      <c r="T148" s="168"/>
      <c r="U148" s="164"/>
      <c r="V148" s="157"/>
      <c r="W148" s="157"/>
      <c r="X148" s="157"/>
      <c r="Y148" s="185"/>
    </row>
    <row r="149" spans="1:25">
      <c r="B149" s="225" t="s">
        <v>110</v>
      </c>
      <c r="C149" s="224" t="s">
        <v>15</v>
      </c>
      <c r="D149" s="436">
        <f>D146</f>
        <v>35690498</v>
      </c>
      <c r="E149" s="222">
        <v>0.78935</v>
      </c>
      <c r="F149" s="190">
        <f>+E149*D149</f>
        <v>28172294.596299998</v>
      </c>
      <c r="G149" s="254"/>
      <c r="H149" s="452">
        <f>E149</f>
        <v>0.78935</v>
      </c>
      <c r="I149" s="190">
        <f>+H149*D149</f>
        <v>28172294.596299998</v>
      </c>
      <c r="J149" s="239"/>
      <c r="K149" s="157">
        <f>I149-F149</f>
        <v>0</v>
      </c>
      <c r="L149" s="306"/>
      <c r="M149" s="354"/>
      <c r="N149" s="354"/>
      <c r="O149" s="144"/>
      <c r="P149" s="144"/>
      <c r="Q149" s="168"/>
      <c r="R149" s="144"/>
      <c r="S149" s="157"/>
      <c r="T149" s="168"/>
      <c r="U149" s="144"/>
      <c r="V149" s="190"/>
      <c r="W149" s="190"/>
      <c r="X149" s="157"/>
      <c r="Y149" s="185"/>
    </row>
    <row r="150" spans="1:25">
      <c r="B150" s="225" t="s">
        <v>36</v>
      </c>
      <c r="C150" s="224" t="s">
        <v>90</v>
      </c>
      <c r="D150" s="436">
        <f>D135</f>
        <v>55328</v>
      </c>
      <c r="E150" s="221">
        <v>1.05</v>
      </c>
      <c r="F150" s="190">
        <f>D150*E150</f>
        <v>58094.400000000001</v>
      </c>
      <c r="G150" s="254"/>
      <c r="H150" s="313">
        <f>H25</f>
        <v>1.05</v>
      </c>
      <c r="I150" s="190">
        <f>D150*H150</f>
        <v>58094.400000000001</v>
      </c>
      <c r="J150" s="239"/>
      <c r="K150" s="157">
        <f>I150-F150</f>
        <v>0</v>
      </c>
      <c r="L150" s="159"/>
      <c r="M150" s="354"/>
      <c r="N150" s="354"/>
      <c r="O150" s="167"/>
      <c r="P150" s="167"/>
      <c r="Q150" s="168"/>
      <c r="R150" s="158"/>
      <c r="S150" s="420"/>
      <c r="T150" s="158"/>
      <c r="U150" s="158"/>
      <c r="V150" s="190"/>
      <c r="W150" s="190"/>
      <c r="X150" s="157"/>
      <c r="Y150" s="185"/>
    </row>
    <row r="151" spans="1:25">
      <c r="B151" s="166" t="s">
        <v>10</v>
      </c>
      <c r="C151" s="167"/>
      <c r="D151" s="168"/>
      <c r="E151" s="164"/>
      <c r="F151" s="264">
        <f>SUM(F149:F150)</f>
        <v>28230388.996299997</v>
      </c>
      <c r="G151" s="168"/>
      <c r="H151" s="164"/>
      <c r="I151" s="264">
        <f>SUM(I149:I150)</f>
        <v>28230388.996299997</v>
      </c>
      <c r="J151" s="264"/>
      <c r="K151" s="264">
        <f>I151-F151</f>
        <v>0</v>
      </c>
      <c r="L151" s="305">
        <f>ROUND(K151/F151,5)</f>
        <v>0</v>
      </c>
      <c r="M151" s="354"/>
      <c r="N151" s="354"/>
      <c r="O151" s="144"/>
      <c r="P151" s="144"/>
      <c r="Q151" s="168"/>
      <c r="R151" s="163"/>
      <c r="S151" s="176"/>
      <c r="T151" s="168"/>
      <c r="U151" s="168"/>
      <c r="V151" s="188"/>
      <c r="W151" s="188"/>
      <c r="X151" s="157"/>
      <c r="Y151" s="185"/>
    </row>
    <row r="152" spans="1:25">
      <c r="B152" s="155"/>
      <c r="C152" s="144"/>
      <c r="D152" s="158"/>
      <c r="E152" s="164"/>
      <c r="F152" s="190"/>
      <c r="H152" s="164"/>
      <c r="I152" s="190"/>
      <c r="J152" s="190"/>
      <c r="K152" s="157"/>
      <c r="L152" s="159"/>
      <c r="M152" s="354"/>
      <c r="N152" s="354"/>
      <c r="O152" s="418"/>
      <c r="P152" s="224"/>
      <c r="Q152" s="158"/>
      <c r="R152" s="165"/>
      <c r="S152" s="190"/>
      <c r="T152" s="158"/>
      <c r="U152" s="164"/>
      <c r="V152" s="190"/>
      <c r="W152" s="239"/>
      <c r="X152" s="157"/>
      <c r="Y152" s="308"/>
    </row>
    <row r="153" spans="1:25">
      <c r="B153" s="155" t="s">
        <v>38</v>
      </c>
      <c r="C153" s="144"/>
      <c r="D153" s="158"/>
      <c r="E153" s="164"/>
      <c r="F153" s="264">
        <f>F146+F151</f>
        <v>30254536.986299999</v>
      </c>
      <c r="H153" s="164"/>
      <c r="I153" s="264">
        <f>I146+I151</f>
        <v>30530927.636299998</v>
      </c>
      <c r="J153" s="239"/>
      <c r="K153" s="264">
        <f>K146+K151</f>
        <v>276390.64999999944</v>
      </c>
      <c r="L153" s="305">
        <f>K153/F153</f>
        <v>9.1355108202500653E-3</v>
      </c>
      <c r="M153" s="354"/>
      <c r="N153" s="354"/>
      <c r="O153" s="224"/>
      <c r="P153" s="224"/>
      <c r="Q153" s="158"/>
      <c r="R153" s="222"/>
      <c r="S153" s="190"/>
      <c r="T153" s="158"/>
      <c r="U153" s="222"/>
      <c r="V153" s="190"/>
      <c r="W153" s="239"/>
      <c r="X153" s="157"/>
      <c r="Y153" s="308"/>
    </row>
    <row r="154" spans="1:25">
      <c r="A154" s="144"/>
      <c r="B154" s="177"/>
      <c r="C154" s="154"/>
      <c r="D154" s="212"/>
      <c r="E154" s="249"/>
      <c r="F154" s="201"/>
      <c r="G154" s="212"/>
      <c r="H154" s="216"/>
      <c r="I154" s="189"/>
      <c r="J154" s="247"/>
      <c r="K154" s="178"/>
      <c r="L154" s="307"/>
      <c r="M154" s="354"/>
      <c r="N154" s="354"/>
      <c r="O154" s="418"/>
      <c r="P154" s="224"/>
      <c r="Q154" s="158"/>
      <c r="R154" s="222"/>
      <c r="S154" s="157"/>
      <c r="T154" s="168"/>
      <c r="U154" s="298"/>
      <c r="V154" s="157"/>
      <c r="W154" s="164"/>
      <c r="X154" s="157"/>
      <c r="Y154" s="308"/>
    </row>
    <row r="155" spans="1:25">
      <c r="A155" s="144"/>
      <c r="B155" s="144"/>
      <c r="C155" s="144"/>
      <c r="D155" s="158"/>
      <c r="E155" s="250"/>
      <c r="F155" s="176"/>
      <c r="H155" s="164"/>
      <c r="I155" s="190"/>
      <c r="J155" s="239"/>
      <c r="K155" s="157"/>
      <c r="L155" s="308"/>
      <c r="M155" s="354"/>
      <c r="N155" s="354"/>
      <c r="O155" s="413"/>
      <c r="P155" s="224"/>
      <c r="Q155" s="158"/>
      <c r="R155" s="165"/>
      <c r="S155" s="157"/>
      <c r="T155" s="158"/>
      <c r="U155" s="165"/>
      <c r="V155" s="190"/>
      <c r="W155" s="239"/>
      <c r="X155" s="157"/>
      <c r="Y155" s="308"/>
    </row>
    <row r="156" spans="1:25">
      <c r="A156" s="144"/>
      <c r="B156" s="223" t="s">
        <v>197</v>
      </c>
      <c r="C156" s="256"/>
      <c r="D156" s="151"/>
      <c r="E156" s="240"/>
      <c r="F156" s="150"/>
      <c r="G156" s="151"/>
      <c r="H156" s="241"/>
      <c r="I156" s="264"/>
      <c r="J156" s="242"/>
      <c r="K156" s="150"/>
      <c r="L156" s="305"/>
      <c r="M156" s="354"/>
      <c r="N156" s="354"/>
      <c r="O156" s="144"/>
      <c r="P156" s="144"/>
      <c r="Q156" s="158"/>
      <c r="R156" s="165"/>
      <c r="S156" s="157"/>
      <c r="T156" s="158"/>
      <c r="U156" s="164"/>
      <c r="V156" s="157"/>
      <c r="W156" s="239"/>
      <c r="X156" s="157"/>
      <c r="Y156" s="308"/>
    </row>
    <row r="157" spans="1:25">
      <c r="A157" s="144"/>
      <c r="B157" s="155"/>
      <c r="C157" s="144"/>
      <c r="D157" s="158"/>
      <c r="E157" s="165"/>
      <c r="F157" s="157"/>
      <c r="H157" s="164"/>
      <c r="I157" s="190"/>
      <c r="J157" s="239"/>
      <c r="K157" s="157"/>
      <c r="L157" s="306"/>
      <c r="M157" s="354"/>
      <c r="N157" s="354"/>
      <c r="O157" s="144"/>
      <c r="P157" s="144"/>
      <c r="Q157" s="158"/>
      <c r="R157" s="265"/>
      <c r="S157" s="176"/>
      <c r="T157" s="158"/>
      <c r="U157" s="164"/>
      <c r="V157" s="190"/>
      <c r="W157" s="239"/>
      <c r="X157" s="157"/>
      <c r="Y157" s="308"/>
    </row>
    <row r="158" spans="1:25">
      <c r="A158" s="144"/>
      <c r="B158" s="255" t="s">
        <v>202</v>
      </c>
      <c r="C158" s="257" t="s">
        <v>80</v>
      </c>
      <c r="D158" s="259">
        <f>108+24</f>
        <v>132</v>
      </c>
      <c r="E158" s="221">
        <v>800</v>
      </c>
      <c r="F158" s="157">
        <f>ROUND(D158*E158,2)</f>
        <v>105600</v>
      </c>
      <c r="H158" s="512">
        <f>H134+300</f>
        <v>800</v>
      </c>
      <c r="I158" s="190">
        <f>ROUND(D158*H158,2)</f>
        <v>105600</v>
      </c>
      <c r="J158" s="239"/>
      <c r="K158" s="157">
        <f>I158-F158</f>
        <v>0</v>
      </c>
      <c r="L158" s="193"/>
      <c r="M158" s="354"/>
      <c r="N158" s="354"/>
      <c r="O158" s="144"/>
      <c r="P158" s="144"/>
      <c r="Q158" s="158"/>
      <c r="R158" s="265"/>
      <c r="S158" s="176"/>
      <c r="T158" s="158"/>
      <c r="U158" s="164"/>
      <c r="V158" s="190"/>
      <c r="W158" s="239"/>
      <c r="X158" s="157"/>
      <c r="Y158" s="308"/>
    </row>
    <row r="159" spans="1:25">
      <c r="A159" s="144"/>
      <c r="B159" s="225" t="s">
        <v>36</v>
      </c>
      <c r="C159" s="224" t="s">
        <v>90</v>
      </c>
      <c r="D159" s="259">
        <f>24+660144</f>
        <v>660168</v>
      </c>
      <c r="E159" s="221">
        <v>1.02</v>
      </c>
      <c r="F159" s="157">
        <f>ROUND(D159*E159,2)</f>
        <v>673371.36</v>
      </c>
      <c r="H159" s="453">
        <f>H135</f>
        <v>1.5</v>
      </c>
      <c r="I159" s="190">
        <f>ROUND(D159*H159,2)</f>
        <v>990252</v>
      </c>
      <c r="J159" s="239"/>
      <c r="K159" s="157">
        <f>I159-F159</f>
        <v>316880.64000000001</v>
      </c>
      <c r="L159" s="193"/>
      <c r="M159" s="354"/>
      <c r="N159" s="354"/>
    </row>
    <row r="160" spans="1:25">
      <c r="A160" s="144"/>
      <c r="B160" s="297" t="s">
        <v>167</v>
      </c>
      <c r="C160" s="224"/>
      <c r="D160" s="259"/>
      <c r="E160" s="221"/>
      <c r="F160" s="428"/>
      <c r="H160" s="164"/>
      <c r="I160" s="423"/>
      <c r="J160" s="239"/>
      <c r="K160" s="188"/>
      <c r="L160" s="193"/>
      <c r="M160" s="354"/>
      <c r="N160" s="354"/>
    </row>
    <row r="161" spans="1:15">
      <c r="A161" s="144"/>
      <c r="B161" s="409"/>
      <c r="C161" s="224"/>
      <c r="D161" s="158"/>
      <c r="E161" s="222"/>
      <c r="F161" s="157"/>
      <c r="H161" s="298"/>
      <c r="I161" s="190"/>
      <c r="J161" s="239"/>
      <c r="K161" s="188"/>
      <c r="L161" s="193"/>
      <c r="M161" s="354"/>
      <c r="N161" s="354"/>
    </row>
    <row r="162" spans="1:15">
      <c r="A162" s="144"/>
      <c r="B162" s="225" t="s">
        <v>109</v>
      </c>
      <c r="C162" s="144"/>
      <c r="D162" s="158"/>
      <c r="E162" s="164"/>
      <c r="F162" s="157"/>
      <c r="H162" s="165"/>
      <c r="I162" s="190"/>
      <c r="J162" s="239"/>
      <c r="K162" s="188"/>
      <c r="L162" s="193"/>
      <c r="M162" s="354"/>
      <c r="N162" s="354"/>
    </row>
    <row r="163" spans="1:15">
      <c r="A163" s="144"/>
      <c r="B163" s="155" t="s">
        <v>19</v>
      </c>
      <c r="C163" s="224" t="s">
        <v>15</v>
      </c>
      <c r="D163" s="259">
        <f>600000+2700000</f>
        <v>3300000</v>
      </c>
      <c r="E163" s="222">
        <v>0.12483</v>
      </c>
      <c r="F163" s="157">
        <f t="shared" ref="F163:F168" si="4">ROUND(D163*E163,2)</f>
        <v>411939</v>
      </c>
      <c r="H163" s="511">
        <f t="shared" ref="H163:H168" si="5">H140</f>
        <v>0.14323</v>
      </c>
      <c r="I163" s="190">
        <f t="shared" ref="I163:I168" si="6">ROUND(D163*H163,2)</f>
        <v>472659</v>
      </c>
      <c r="J163" s="239"/>
      <c r="K163" s="157">
        <f t="shared" ref="K163:K168" si="7">I163-F163</f>
        <v>60720</v>
      </c>
      <c r="L163" s="440"/>
      <c r="M163" s="354"/>
      <c r="N163" s="354"/>
    </row>
    <row r="164" spans="1:15">
      <c r="A164" s="144"/>
      <c r="B164" s="155" t="s">
        <v>20</v>
      </c>
      <c r="C164" s="224" t="s">
        <v>15</v>
      </c>
      <c r="D164" s="259">
        <f>600000+2700000</f>
        <v>3300000</v>
      </c>
      <c r="E164" s="222">
        <v>7.621E-2</v>
      </c>
      <c r="F164" s="157">
        <f t="shared" si="4"/>
        <v>251493</v>
      </c>
      <c r="H164" s="511">
        <f t="shared" si="5"/>
        <v>8.7440000000000004E-2</v>
      </c>
      <c r="I164" s="190">
        <f t="shared" si="6"/>
        <v>288552</v>
      </c>
      <c r="J164" s="239"/>
      <c r="K164" s="157">
        <f t="shared" si="7"/>
        <v>37059</v>
      </c>
      <c r="L164" s="440"/>
      <c r="M164" s="354"/>
      <c r="N164" s="354"/>
    </row>
    <row r="165" spans="1:15">
      <c r="A165" s="144"/>
      <c r="B165" s="155" t="s">
        <v>24</v>
      </c>
      <c r="C165" s="224" t="s">
        <v>15</v>
      </c>
      <c r="D165" s="259">
        <f>1200000+5400000</f>
        <v>6600000</v>
      </c>
      <c r="E165" s="222">
        <v>4.9209999999999997E-2</v>
      </c>
      <c r="F165" s="157">
        <f t="shared" si="4"/>
        <v>324786</v>
      </c>
      <c r="H165" s="511">
        <f t="shared" si="5"/>
        <v>5.6460000000000003E-2</v>
      </c>
      <c r="I165" s="190">
        <f t="shared" si="6"/>
        <v>372636</v>
      </c>
      <c r="J165" s="239"/>
      <c r="K165" s="157">
        <f t="shared" si="7"/>
        <v>47850</v>
      </c>
      <c r="L165" s="440"/>
      <c r="M165" s="354"/>
      <c r="N165" s="354"/>
    </row>
    <row r="166" spans="1:15">
      <c r="A166" s="144"/>
      <c r="B166" s="155" t="s">
        <v>25</v>
      </c>
      <c r="C166" s="224" t="s">
        <v>15</v>
      </c>
      <c r="D166" s="259">
        <f>2400000+10284877</f>
        <v>12684877</v>
      </c>
      <c r="E166" s="222">
        <v>3.2259999999999997E-2</v>
      </c>
      <c r="F166" s="157">
        <f t="shared" si="4"/>
        <v>409214.13</v>
      </c>
      <c r="H166" s="511">
        <f t="shared" si="5"/>
        <v>3.7019999999999997E-2</v>
      </c>
      <c r="I166" s="190">
        <f t="shared" si="6"/>
        <v>469594.15</v>
      </c>
      <c r="J166" s="239"/>
      <c r="K166" s="157">
        <f t="shared" si="7"/>
        <v>60380.020000000019</v>
      </c>
      <c r="L166" s="440"/>
      <c r="M166" s="354"/>
      <c r="N166" s="354"/>
    </row>
    <row r="167" spans="1:15">
      <c r="A167" s="144"/>
      <c r="B167" s="155" t="s">
        <v>26</v>
      </c>
      <c r="C167" s="224" t="s">
        <v>15</v>
      </c>
      <c r="D167" s="259">
        <f>4885955+22096977</f>
        <v>26982932</v>
      </c>
      <c r="E167" s="222">
        <v>2.376E-2</v>
      </c>
      <c r="F167" s="157">
        <f t="shared" si="4"/>
        <v>641114.46</v>
      </c>
      <c r="H167" s="511">
        <f t="shared" si="5"/>
        <v>2.726E-2</v>
      </c>
      <c r="I167" s="190">
        <f t="shared" si="6"/>
        <v>735554.73</v>
      </c>
      <c r="J167" s="239"/>
      <c r="K167" s="157">
        <f t="shared" si="7"/>
        <v>94440.270000000019</v>
      </c>
      <c r="L167" s="440"/>
      <c r="M167" s="354"/>
      <c r="N167" s="354"/>
    </row>
    <row r="168" spans="1:15">
      <c r="A168" s="144"/>
      <c r="B168" s="155" t="s">
        <v>28</v>
      </c>
      <c r="C168" s="224" t="s">
        <v>15</v>
      </c>
      <c r="D168" s="421">
        <f>9678274+37860407</f>
        <v>47538681</v>
      </c>
      <c r="E168" s="222">
        <v>1.8759999999999999E-2</v>
      </c>
      <c r="F168" s="157">
        <f t="shared" si="4"/>
        <v>891825.66</v>
      </c>
      <c r="H168" s="511">
        <f t="shared" si="5"/>
        <v>2.1530000000000001E-2</v>
      </c>
      <c r="I168" s="190">
        <f t="shared" si="6"/>
        <v>1023507.8</v>
      </c>
      <c r="J168" s="239"/>
      <c r="K168" s="157">
        <f t="shared" si="7"/>
        <v>131682.14000000001</v>
      </c>
      <c r="L168" s="440"/>
      <c r="M168" s="354"/>
      <c r="N168" s="354"/>
    </row>
    <row r="169" spans="1:15">
      <c r="A169" s="144"/>
      <c r="B169" s="297" t="s">
        <v>161</v>
      </c>
      <c r="C169" s="224"/>
      <c r="D169" s="180">
        <f>SUM(D163:D168)</f>
        <v>100406490</v>
      </c>
      <c r="E169" s="222"/>
      <c r="F169" s="157"/>
      <c r="H169" s="165"/>
      <c r="I169" s="190"/>
      <c r="J169" s="239"/>
      <c r="K169" s="157"/>
      <c r="L169" s="306"/>
      <c r="M169" s="354"/>
      <c r="N169" s="354"/>
    </row>
    <row r="170" spans="1:15">
      <c r="A170" s="144"/>
      <c r="B170" s="297" t="s">
        <v>122</v>
      </c>
      <c r="C170" s="224"/>
      <c r="D170" s="180">
        <f>D169</f>
        <v>100406490</v>
      </c>
      <c r="E170" s="298">
        <v>6.9999999999999999E-4</v>
      </c>
      <c r="F170" s="157">
        <f>E170*D170</f>
        <v>70284.543000000005</v>
      </c>
      <c r="H170" s="298">
        <v>0</v>
      </c>
      <c r="I170" s="157">
        <f>H170*D170</f>
        <v>0</v>
      </c>
      <c r="J170" s="239"/>
      <c r="K170" s="157">
        <f>I170-F170</f>
        <v>-70284.543000000005</v>
      </c>
      <c r="L170" s="306"/>
      <c r="M170" s="354"/>
      <c r="N170" s="354"/>
    </row>
    <row r="171" spans="1:15">
      <c r="A171" s="144"/>
      <c r="B171" s="166" t="s">
        <v>10</v>
      </c>
      <c r="C171" s="224" t="s">
        <v>15</v>
      </c>
      <c r="D171" s="158"/>
      <c r="E171" s="165"/>
      <c r="F171" s="264">
        <f>SUM(F158:F170)</f>
        <v>3779628.1529999999</v>
      </c>
      <c r="H171" s="164"/>
      <c r="I171" s="264">
        <f>SUM(I158:I170)</f>
        <v>4458355.68</v>
      </c>
      <c r="J171" s="239"/>
      <c r="K171" s="264">
        <f>SUM(K158:K170)</f>
        <v>678727.527</v>
      </c>
      <c r="L171" s="305">
        <f>K171/F171</f>
        <v>0.17957521203806104</v>
      </c>
      <c r="M171" s="354"/>
      <c r="N171" s="354"/>
    </row>
    <row r="172" spans="1:15">
      <c r="A172" s="144"/>
      <c r="B172" s="166"/>
      <c r="C172" s="167"/>
      <c r="D172" s="158"/>
      <c r="E172" s="165"/>
      <c r="F172" s="157"/>
      <c r="H172" s="164"/>
      <c r="I172" s="190"/>
      <c r="J172" s="239"/>
      <c r="K172" s="157"/>
      <c r="L172" s="159"/>
      <c r="M172" s="354"/>
      <c r="N172" s="354"/>
    </row>
    <row r="173" spans="1:15">
      <c r="A173" s="144"/>
      <c r="B173" s="225"/>
      <c r="C173" s="167"/>
      <c r="D173" s="158"/>
      <c r="E173" s="165"/>
      <c r="F173" s="157"/>
      <c r="H173" s="164"/>
      <c r="I173" s="190"/>
      <c r="J173" s="239"/>
      <c r="K173" s="157"/>
      <c r="L173" s="159"/>
      <c r="M173" s="354"/>
      <c r="N173" s="354"/>
    </row>
    <row r="174" spans="1:15">
      <c r="A174" s="144"/>
      <c r="B174" s="312" t="s">
        <v>160</v>
      </c>
      <c r="C174" s="224" t="s">
        <v>15</v>
      </c>
      <c r="D174" s="254">
        <f>D169</f>
        <v>100406490</v>
      </c>
      <c r="E174" s="222">
        <v>6.9999999999999999E-4</v>
      </c>
      <c r="F174" s="190">
        <f>+E174*D174</f>
        <v>70284.543000000005</v>
      </c>
      <c r="G174" s="254"/>
      <c r="H174" s="222">
        <v>6.9999999999999999E-4</v>
      </c>
      <c r="I174" s="190">
        <f>+H174*D174</f>
        <v>70284.543000000005</v>
      </c>
      <c r="J174" s="239"/>
      <c r="K174" s="157">
        <f>I174-F174</f>
        <v>0</v>
      </c>
      <c r="L174" s="306"/>
      <c r="M174" s="354"/>
      <c r="N174" s="354"/>
    </row>
    <row r="175" spans="1:15">
      <c r="A175" s="144"/>
      <c r="B175" s="155" t="s">
        <v>38</v>
      </c>
      <c r="C175" s="144"/>
      <c r="D175" s="158"/>
      <c r="E175" s="164"/>
      <c r="F175" s="264">
        <f>F174+F171</f>
        <v>3849912.696</v>
      </c>
      <c r="H175" s="164"/>
      <c r="I175" s="264">
        <f>I174+I171</f>
        <v>4528640.2229999993</v>
      </c>
      <c r="J175" s="239"/>
      <c r="K175" s="264">
        <f>K174+K171</f>
        <v>678727.527</v>
      </c>
      <c r="L175" s="305">
        <f>K175/F175</f>
        <v>0.17629686192759317</v>
      </c>
      <c r="M175" s="354"/>
      <c r="N175" s="354"/>
      <c r="O175" s="213"/>
    </row>
    <row r="176" spans="1:15">
      <c r="A176" s="144"/>
      <c r="B176" s="177"/>
      <c r="C176" s="154"/>
      <c r="D176" s="212"/>
      <c r="E176" s="356"/>
      <c r="F176" s="201"/>
      <c r="G176" s="212"/>
      <c r="H176" s="216"/>
      <c r="I176" s="216"/>
      <c r="J176" s="247"/>
      <c r="K176" s="178"/>
      <c r="L176" s="307"/>
      <c r="M176" s="354"/>
      <c r="N176" s="354"/>
    </row>
    <row r="177" spans="1:14" s="144" customFormat="1">
      <c r="B177" s="154"/>
      <c r="C177" s="154"/>
      <c r="D177" s="212"/>
      <c r="E177" s="249"/>
      <c r="F177" s="201"/>
      <c r="G177" s="212"/>
      <c r="H177" s="216"/>
      <c r="I177" s="189"/>
      <c r="J177" s="247"/>
      <c r="K177" s="178"/>
      <c r="L177" s="487"/>
      <c r="M177" s="354"/>
      <c r="N177" s="354"/>
    </row>
    <row r="178" spans="1:14" s="144" customFormat="1">
      <c r="D178" s="158"/>
      <c r="E178" s="250"/>
      <c r="F178" s="176"/>
      <c r="G178" s="158"/>
      <c r="H178" s="164"/>
      <c r="I178" s="190"/>
      <c r="J178" s="239"/>
      <c r="K178" s="157"/>
      <c r="L178" s="308"/>
      <c r="M178" s="354"/>
      <c r="N178" s="354"/>
    </row>
    <row r="179" spans="1:14">
      <c r="A179" s="144"/>
      <c r="B179" s="434" t="s">
        <v>201</v>
      </c>
      <c r="C179" s="488"/>
      <c r="D179" s="151"/>
      <c r="E179" s="251"/>
      <c r="F179" s="207"/>
      <c r="G179" s="151"/>
      <c r="H179" s="489"/>
      <c r="I179" s="483"/>
      <c r="J179" s="490"/>
      <c r="K179" s="207"/>
      <c r="L179" s="491"/>
      <c r="M179" s="354"/>
      <c r="N179" s="354"/>
    </row>
    <row r="180" spans="1:14">
      <c r="A180" s="144"/>
      <c r="B180" s="409"/>
      <c r="C180" s="168"/>
      <c r="D180" s="158"/>
      <c r="E180" s="250"/>
      <c r="F180" s="176"/>
      <c r="H180" s="163"/>
      <c r="I180" s="420"/>
      <c r="J180" s="422"/>
      <c r="K180" s="176"/>
      <c r="L180" s="479"/>
      <c r="M180" s="354"/>
      <c r="N180" s="354"/>
    </row>
    <row r="181" spans="1:14">
      <c r="A181" s="144"/>
      <c r="B181" s="492" t="s">
        <v>202</v>
      </c>
      <c r="C181" s="424" t="s">
        <v>80</v>
      </c>
      <c r="D181" s="259"/>
      <c r="E181" s="221"/>
      <c r="F181" s="176">
        <f>F158+F134</f>
        <v>200100</v>
      </c>
      <c r="H181" s="221"/>
      <c r="I181" s="176">
        <f>I158+I134</f>
        <v>200100</v>
      </c>
      <c r="J181" s="422"/>
      <c r="K181" s="420">
        <f>I181-F181</f>
        <v>0</v>
      </c>
      <c r="L181" s="493"/>
      <c r="M181" s="354"/>
      <c r="N181" s="354"/>
    </row>
    <row r="182" spans="1:14">
      <c r="A182" s="144"/>
      <c r="B182" s="435" t="s">
        <v>36</v>
      </c>
      <c r="C182" s="410" t="s">
        <v>90</v>
      </c>
      <c r="D182" s="259"/>
      <c r="E182" s="221"/>
      <c r="F182" s="176">
        <f>F159+F135</f>
        <v>729805.91999999993</v>
      </c>
      <c r="H182" s="221"/>
      <c r="I182" s="176">
        <f>I159+I135</f>
        <v>1073244</v>
      </c>
      <c r="J182" s="422"/>
      <c r="K182" s="420">
        <f>I182-F182</f>
        <v>343438.08000000007</v>
      </c>
      <c r="L182" s="493"/>
      <c r="M182" s="354"/>
      <c r="N182" s="354"/>
    </row>
    <row r="183" spans="1:14">
      <c r="A183" s="144"/>
      <c r="B183" s="409" t="s">
        <v>78</v>
      </c>
      <c r="C183" s="410"/>
      <c r="D183" s="259"/>
      <c r="E183" s="221"/>
      <c r="F183" s="176">
        <f>F136</f>
        <v>178452.49</v>
      </c>
      <c r="H183" s="221"/>
      <c r="I183" s="176">
        <f>I136</f>
        <v>178452.49</v>
      </c>
      <c r="J183" s="422"/>
      <c r="K183" s="420">
        <f>I183-F183</f>
        <v>0</v>
      </c>
      <c r="L183" s="493"/>
      <c r="M183" s="354"/>
      <c r="N183" s="354"/>
    </row>
    <row r="184" spans="1:14">
      <c r="A184" s="144"/>
      <c r="B184" s="433" t="s">
        <v>167</v>
      </c>
      <c r="C184" s="410"/>
      <c r="D184" s="259"/>
      <c r="E184" s="221"/>
      <c r="F184" s="498">
        <f>F160+F137</f>
        <v>0</v>
      </c>
      <c r="H184" s="163"/>
      <c r="I184" s="498">
        <f>I160+I137</f>
        <v>0</v>
      </c>
      <c r="J184" s="422"/>
      <c r="K184" s="420">
        <f>I184-F184</f>
        <v>0</v>
      </c>
      <c r="L184" s="493"/>
      <c r="M184" s="354"/>
      <c r="N184" s="354"/>
    </row>
    <row r="185" spans="1:14">
      <c r="A185" s="144"/>
      <c r="B185" s="433"/>
      <c r="C185" s="168"/>
      <c r="D185" s="158"/>
      <c r="E185" s="163"/>
      <c r="F185" s="428"/>
      <c r="H185" s="339"/>
      <c r="I185" s="428"/>
      <c r="J185" s="422"/>
      <c r="K185" s="420"/>
      <c r="L185" s="493"/>
      <c r="M185" s="354"/>
      <c r="N185" s="354"/>
    </row>
    <row r="186" spans="1:14" ht="12" customHeight="1">
      <c r="A186" s="144"/>
      <c r="B186" s="435" t="s">
        <v>109</v>
      </c>
      <c r="C186" s="168"/>
      <c r="D186" s="158"/>
      <c r="E186" s="163"/>
      <c r="F186" s="176"/>
      <c r="H186" s="250"/>
      <c r="I186" s="176"/>
      <c r="J186" s="422"/>
      <c r="K186" s="420"/>
      <c r="L186" s="493"/>
      <c r="M186" s="354"/>
      <c r="N186" s="354"/>
    </row>
    <row r="187" spans="1:14">
      <c r="A187" s="144"/>
      <c r="B187" s="409" t="s">
        <v>19</v>
      </c>
      <c r="C187" s="410" t="s">
        <v>15</v>
      </c>
      <c r="D187" s="259"/>
      <c r="E187" s="222"/>
      <c r="F187" s="176">
        <f t="shared" ref="F187:F192" si="8">F163+F140</f>
        <v>971992.29</v>
      </c>
      <c r="H187" s="222"/>
      <c r="I187" s="176">
        <f t="shared" ref="I187:I192" si="9">I163+I140</f>
        <v>1115264.4100000001</v>
      </c>
      <c r="J187" s="422"/>
      <c r="K187" s="420">
        <f t="shared" ref="K187:K192" si="10">I187-F187</f>
        <v>143272.12000000011</v>
      </c>
      <c r="L187" s="493"/>
      <c r="M187" s="354"/>
      <c r="N187" s="354"/>
    </row>
    <row r="188" spans="1:14">
      <c r="A188" s="144"/>
      <c r="B188" s="409" t="s">
        <v>20</v>
      </c>
      <c r="C188" s="410" t="s">
        <v>15</v>
      </c>
      <c r="D188" s="259"/>
      <c r="E188" s="222"/>
      <c r="F188" s="176">
        <f t="shared" si="8"/>
        <v>576411.43999999994</v>
      </c>
      <c r="H188" s="222"/>
      <c r="I188" s="176">
        <f t="shared" si="9"/>
        <v>661349.12</v>
      </c>
      <c r="J188" s="422"/>
      <c r="K188" s="420">
        <f t="shared" si="10"/>
        <v>84937.680000000051</v>
      </c>
      <c r="L188" s="493"/>
      <c r="M188" s="354"/>
      <c r="N188" s="354"/>
    </row>
    <row r="189" spans="1:14">
      <c r="A189" s="144"/>
      <c r="B189" s="409" t="s">
        <v>24</v>
      </c>
      <c r="C189" s="410" t="s">
        <v>15</v>
      </c>
      <c r="D189" s="259"/>
      <c r="E189" s="222"/>
      <c r="F189" s="176">
        <f t="shared" si="8"/>
        <v>639298.33000000007</v>
      </c>
      <c r="H189" s="222"/>
      <c r="I189" s="176">
        <f t="shared" si="9"/>
        <v>733484.73</v>
      </c>
      <c r="J189" s="422"/>
      <c r="K189" s="420">
        <f t="shared" si="10"/>
        <v>94186.399999999907</v>
      </c>
      <c r="L189" s="479"/>
      <c r="M189" s="354"/>
      <c r="N189" s="354"/>
    </row>
    <row r="190" spans="1:14">
      <c r="A190" s="144"/>
      <c r="B190" s="409" t="s">
        <v>25</v>
      </c>
      <c r="C190" s="410" t="s">
        <v>15</v>
      </c>
      <c r="D190" s="259"/>
      <c r="E190" s="222"/>
      <c r="F190" s="176">
        <f t="shared" si="8"/>
        <v>609084.02</v>
      </c>
      <c r="H190" s="222"/>
      <c r="I190" s="176">
        <f t="shared" si="9"/>
        <v>698955.08000000007</v>
      </c>
      <c r="J190" s="422"/>
      <c r="K190" s="420">
        <f t="shared" si="10"/>
        <v>89871.060000000056</v>
      </c>
      <c r="L190" s="479"/>
      <c r="M190" s="354"/>
      <c r="N190" s="354"/>
    </row>
    <row r="191" spans="1:14">
      <c r="A191" s="144"/>
      <c r="B191" s="409" t="s">
        <v>26</v>
      </c>
      <c r="C191" s="410" t="s">
        <v>15</v>
      </c>
      <c r="D191" s="259"/>
      <c r="E191" s="222"/>
      <c r="F191" s="176">
        <f t="shared" si="8"/>
        <v>765293.08</v>
      </c>
      <c r="H191" s="222"/>
      <c r="I191" s="176">
        <f t="shared" si="9"/>
        <v>878025.65999999992</v>
      </c>
      <c r="J191" s="422"/>
      <c r="K191" s="420">
        <f t="shared" si="10"/>
        <v>112732.57999999996</v>
      </c>
      <c r="L191" s="479"/>
      <c r="M191" s="354"/>
      <c r="N191" s="354"/>
    </row>
    <row r="192" spans="1:14">
      <c r="A192" s="144"/>
      <c r="B192" s="409" t="s">
        <v>28</v>
      </c>
      <c r="C192" s="410" t="s">
        <v>15</v>
      </c>
      <c r="D192" s="259"/>
      <c r="E192" s="222"/>
      <c r="F192" s="176">
        <f t="shared" si="8"/>
        <v>1063054.03</v>
      </c>
      <c r="H192" s="222"/>
      <c r="I192" s="176">
        <f t="shared" si="9"/>
        <v>1220018.83</v>
      </c>
      <c r="J192" s="422"/>
      <c r="K192" s="420">
        <f t="shared" si="10"/>
        <v>156964.80000000005</v>
      </c>
      <c r="L192" s="479"/>
      <c r="M192" s="354"/>
      <c r="N192" s="354"/>
    </row>
    <row r="193" spans="1:14">
      <c r="A193" s="144"/>
      <c r="B193" s="433" t="s">
        <v>161</v>
      </c>
      <c r="C193" s="410"/>
      <c r="D193" s="180"/>
      <c r="E193" s="222"/>
      <c r="F193" s="176"/>
      <c r="H193" s="250"/>
      <c r="I193" s="420"/>
      <c r="J193" s="422"/>
      <c r="K193" s="420"/>
      <c r="L193" s="479"/>
      <c r="M193" s="354"/>
      <c r="N193" s="354"/>
    </row>
    <row r="194" spans="1:14">
      <c r="A194" s="144"/>
      <c r="B194" s="433" t="s">
        <v>122</v>
      </c>
      <c r="C194" s="410"/>
      <c r="D194" s="180"/>
      <c r="E194" s="309"/>
      <c r="F194" s="176">
        <f>F170</f>
        <v>70284.543000000005</v>
      </c>
      <c r="H194" s="250"/>
      <c r="I194" s="176">
        <f>I170</f>
        <v>0</v>
      </c>
      <c r="J194" s="422"/>
      <c r="K194" s="420">
        <f>I194-F194</f>
        <v>-70284.543000000005</v>
      </c>
      <c r="L194" s="479"/>
      <c r="M194" s="354"/>
      <c r="N194" s="354"/>
    </row>
    <row r="195" spans="1:14">
      <c r="A195" s="144"/>
      <c r="B195" s="161" t="s">
        <v>10</v>
      </c>
      <c r="C195" s="410" t="s">
        <v>15</v>
      </c>
      <c r="D195" s="158"/>
      <c r="E195" s="250"/>
      <c r="F195" s="207">
        <f>SUM(F181:F194)</f>
        <v>5803776.1429999992</v>
      </c>
      <c r="H195" s="163"/>
      <c r="I195" s="207">
        <f>SUM(I181:I194)</f>
        <v>6758894.3200000003</v>
      </c>
      <c r="J195" s="422"/>
      <c r="K195" s="207">
        <f>SUM(K181:K194)</f>
        <v>955118.17700000014</v>
      </c>
      <c r="L195" s="491">
        <f>K195/F195</f>
        <v>0.1645684039953848</v>
      </c>
      <c r="M195" s="354"/>
      <c r="N195" s="354"/>
    </row>
    <row r="196" spans="1:14">
      <c r="A196" s="144"/>
      <c r="B196" s="161"/>
      <c r="C196" s="162"/>
      <c r="D196" s="158"/>
      <c r="E196" s="250"/>
      <c r="F196" s="176"/>
      <c r="H196" s="163"/>
      <c r="I196" s="420"/>
      <c r="J196" s="422"/>
      <c r="K196" s="176"/>
      <c r="L196" s="481"/>
      <c r="M196" s="354"/>
      <c r="N196" s="354"/>
    </row>
    <row r="197" spans="1:14">
      <c r="A197" s="144"/>
      <c r="B197" s="70" t="s">
        <v>211</v>
      </c>
      <c r="C197" s="162"/>
      <c r="D197" s="158"/>
      <c r="E197" s="250"/>
      <c r="F197" s="176"/>
      <c r="H197" s="163"/>
      <c r="I197" s="420"/>
      <c r="J197" s="422"/>
      <c r="K197" s="176"/>
      <c r="L197" s="481"/>
      <c r="M197" s="354"/>
      <c r="N197" s="354"/>
    </row>
    <row r="198" spans="1:14">
      <c r="A198" s="144"/>
      <c r="B198" s="435" t="s">
        <v>110</v>
      </c>
      <c r="C198" s="162"/>
      <c r="D198" s="158"/>
      <c r="E198" s="250"/>
      <c r="F198" s="176">
        <f>F149</f>
        <v>28172294.596299998</v>
      </c>
      <c r="H198" s="163"/>
      <c r="I198" s="176">
        <f>I149</f>
        <v>28172294.596299998</v>
      </c>
      <c r="J198" s="422"/>
      <c r="K198" s="420">
        <f>I198-F198</f>
        <v>0</v>
      </c>
      <c r="L198" s="481"/>
      <c r="M198" s="354"/>
      <c r="N198" s="354"/>
    </row>
    <row r="199" spans="1:14">
      <c r="A199" s="144"/>
      <c r="B199" s="435" t="s">
        <v>36</v>
      </c>
      <c r="C199" s="162"/>
      <c r="D199" s="158"/>
      <c r="E199" s="250"/>
      <c r="F199" s="176">
        <f>F150</f>
        <v>58094.400000000001</v>
      </c>
      <c r="H199" s="163"/>
      <c r="I199" s="176">
        <f>I150</f>
        <v>58094.400000000001</v>
      </c>
      <c r="J199" s="422"/>
      <c r="K199" s="420">
        <f>I199-F199</f>
        <v>0</v>
      </c>
      <c r="L199" s="481"/>
      <c r="M199" s="354"/>
      <c r="N199" s="354"/>
    </row>
    <row r="200" spans="1:14">
      <c r="A200" s="144"/>
      <c r="B200" s="435" t="s">
        <v>160</v>
      </c>
      <c r="C200" s="410" t="s">
        <v>15</v>
      </c>
      <c r="D200" s="254"/>
      <c r="E200" s="222"/>
      <c r="F200" s="420">
        <f>F174</f>
        <v>70284.543000000005</v>
      </c>
      <c r="G200" s="254"/>
      <c r="H200" s="222"/>
      <c r="I200" s="420">
        <f>I174</f>
        <v>70284.543000000005</v>
      </c>
      <c r="J200" s="422"/>
      <c r="K200" s="420">
        <f>I200-F200</f>
        <v>0</v>
      </c>
      <c r="L200" s="479"/>
      <c r="M200" s="354"/>
      <c r="N200" s="354"/>
    </row>
    <row r="201" spans="1:14">
      <c r="A201" s="144"/>
      <c r="B201" s="161" t="s">
        <v>10</v>
      </c>
      <c r="C201" s="410"/>
      <c r="D201" s="254"/>
      <c r="E201" s="222"/>
      <c r="F201" s="483">
        <f>SUM(F198:F200)</f>
        <v>28300673.539299998</v>
      </c>
      <c r="G201" s="254"/>
      <c r="H201" s="222"/>
      <c r="I201" s="483">
        <f>SUM(I198:I200)</f>
        <v>28300673.539299998</v>
      </c>
      <c r="J201" s="483"/>
      <c r="K201" s="483">
        <f>SUM(K198:K200)</f>
        <v>0</v>
      </c>
      <c r="L201" s="491">
        <f>K201/F201</f>
        <v>0</v>
      </c>
      <c r="M201" s="354"/>
      <c r="N201" s="354"/>
    </row>
    <row r="202" spans="1:14">
      <c r="A202" s="144"/>
      <c r="B202" s="161"/>
      <c r="C202" s="410"/>
      <c r="D202" s="254"/>
      <c r="E202" s="222"/>
      <c r="F202" s="420"/>
      <c r="G202" s="254"/>
      <c r="H202" s="222"/>
      <c r="I202" s="420"/>
      <c r="J202" s="422"/>
      <c r="K202" s="176"/>
      <c r="L202" s="479"/>
      <c r="M202" s="354"/>
      <c r="N202" s="354"/>
    </row>
    <row r="203" spans="1:14">
      <c r="A203" s="144"/>
      <c r="B203" s="437" t="s">
        <v>38</v>
      </c>
      <c r="C203" s="162"/>
      <c r="D203" s="176"/>
      <c r="E203" s="163"/>
      <c r="F203" s="207">
        <f>F195+F201</f>
        <v>34104449.682300001</v>
      </c>
      <c r="G203" s="168"/>
      <c r="H203" s="163"/>
      <c r="I203" s="207">
        <f>I195+I201</f>
        <v>35059567.859300002</v>
      </c>
      <c r="J203" s="163"/>
      <c r="K203" s="207">
        <f>K195+K201</f>
        <v>955118.17700000014</v>
      </c>
      <c r="L203" s="209">
        <f>ROUND(K203/F203,5)</f>
        <v>2.801E-2</v>
      </c>
      <c r="M203" s="354"/>
      <c r="N203" s="354"/>
    </row>
    <row r="204" spans="1:14">
      <c r="A204" s="144"/>
      <c r="B204" s="177"/>
      <c r="C204" s="154"/>
      <c r="D204" s="212"/>
      <c r="E204" s="216"/>
      <c r="F204" s="189"/>
      <c r="G204" s="212"/>
      <c r="H204" s="216"/>
      <c r="I204" s="263"/>
      <c r="J204" s="247"/>
      <c r="K204" s="178"/>
      <c r="L204" s="184"/>
      <c r="M204" s="354"/>
      <c r="N204" s="354"/>
    </row>
    <row r="205" spans="1:14">
      <c r="A205" s="144"/>
      <c r="B205" s="144"/>
      <c r="C205" s="144"/>
      <c r="D205" s="158"/>
      <c r="E205" s="250"/>
      <c r="F205" s="176"/>
      <c r="H205" s="164"/>
      <c r="I205" s="190"/>
      <c r="J205" s="239"/>
      <c r="K205" s="157"/>
      <c r="L205" s="308"/>
      <c r="M205" s="354"/>
      <c r="N205" s="354"/>
    </row>
    <row r="206" spans="1:14">
      <c r="A206" s="144"/>
      <c r="B206" s="267" t="s">
        <v>121</v>
      </c>
      <c r="C206" s="258"/>
      <c r="D206" s="151"/>
      <c r="E206" s="251"/>
      <c r="F206" s="207"/>
      <c r="G206" s="151"/>
      <c r="H206" s="241"/>
      <c r="I206" s="264"/>
      <c r="J206" s="242"/>
      <c r="K206" s="150"/>
      <c r="L206" s="305"/>
      <c r="M206" s="354"/>
      <c r="N206" s="354"/>
    </row>
    <row r="207" spans="1:14">
      <c r="A207" s="144"/>
      <c r="B207" s="155"/>
      <c r="C207" s="144"/>
      <c r="D207" s="158"/>
      <c r="E207" s="165"/>
      <c r="F207" s="157"/>
      <c r="H207" s="164"/>
      <c r="I207" s="190"/>
      <c r="J207" s="239"/>
      <c r="K207" s="157"/>
      <c r="L207" s="193"/>
      <c r="M207" s="354"/>
      <c r="N207" s="354"/>
    </row>
    <row r="208" spans="1:14">
      <c r="A208" s="144"/>
      <c r="B208" s="255" t="s">
        <v>202</v>
      </c>
      <c r="C208" s="257" t="s">
        <v>80</v>
      </c>
      <c r="D208" s="259">
        <f>41+225</f>
        <v>266</v>
      </c>
      <c r="E208" s="221">
        <v>800</v>
      </c>
      <c r="F208" s="190">
        <f>ROUND(D208*E208,2)</f>
        <v>212800</v>
      </c>
      <c r="H208" s="512">
        <f>H134+300</f>
        <v>800</v>
      </c>
      <c r="I208" s="190">
        <f>ROUND(D208*H208,2)</f>
        <v>212800</v>
      </c>
      <c r="J208" s="239"/>
      <c r="K208" s="157">
        <f>I208-F208</f>
        <v>0</v>
      </c>
      <c r="L208" s="306"/>
      <c r="M208" s="354"/>
      <c r="N208" s="354"/>
    </row>
    <row r="209" spans="2:20">
      <c r="B209" s="225" t="s">
        <v>36</v>
      </c>
      <c r="C209" s="224" t="s">
        <v>90</v>
      </c>
      <c r="D209" s="259">
        <f>31520+358075</f>
        <v>389595</v>
      </c>
      <c r="E209" s="222">
        <v>1.02</v>
      </c>
      <c r="F209" s="190">
        <f>ROUND(D209*E209,2)</f>
        <v>397386.9</v>
      </c>
      <c r="H209" s="468">
        <f>H135</f>
        <v>1.5</v>
      </c>
      <c r="I209" s="190">
        <f>ROUND(D209*H209,2)</f>
        <v>584392.5</v>
      </c>
      <c r="J209" s="239"/>
      <c r="K209" s="157">
        <f>I209-F209</f>
        <v>187005.59999999998</v>
      </c>
      <c r="L209" s="159"/>
      <c r="M209" s="354"/>
      <c r="N209" s="354"/>
    </row>
    <row r="210" spans="2:20">
      <c r="B210" s="155"/>
      <c r="C210" s="144"/>
      <c r="D210" s="158"/>
      <c r="E210" s="250"/>
      <c r="F210" s="157"/>
      <c r="H210" s="164"/>
      <c r="I210" s="157"/>
      <c r="J210" s="164"/>
      <c r="K210" s="157"/>
      <c r="L210" s="159"/>
      <c r="M210" s="354"/>
      <c r="N210" s="354"/>
    </row>
    <row r="211" spans="2:20">
      <c r="B211" s="225" t="s">
        <v>109</v>
      </c>
      <c r="C211" s="144"/>
      <c r="D211" s="158"/>
      <c r="E211" s="165"/>
      <c r="F211" s="157"/>
      <c r="H211" s="164"/>
      <c r="I211" s="157"/>
      <c r="J211" s="164"/>
      <c r="K211" s="157"/>
      <c r="L211" s="159"/>
      <c r="M211" s="354"/>
      <c r="N211" s="352"/>
      <c r="O211" s="160" t="s">
        <v>29</v>
      </c>
      <c r="P211" s="144"/>
    </row>
    <row r="212" spans="2:20">
      <c r="B212" s="155" t="s">
        <v>19</v>
      </c>
      <c r="C212" s="224" t="s">
        <v>15</v>
      </c>
      <c r="D212" s="259">
        <f>903732+5120870</f>
        <v>6024602</v>
      </c>
      <c r="E212" s="222">
        <v>0.12483</v>
      </c>
      <c r="F212" s="190">
        <f t="shared" ref="F212:F217" si="11">ROUND(D212*E212,2)</f>
        <v>752051.07</v>
      </c>
      <c r="H212" s="509">
        <f t="shared" ref="H212:H217" si="12">H163</f>
        <v>0.14323</v>
      </c>
      <c r="I212" s="190">
        <f t="shared" ref="I212:I217" si="13">ROUND(D212*H212,2)</f>
        <v>862903.74</v>
      </c>
      <c r="J212" s="239"/>
      <c r="K212" s="157">
        <f t="shared" ref="K212:K217" si="14">I212-F212</f>
        <v>110852.67000000004</v>
      </c>
      <c r="L212" s="159"/>
      <c r="M212" s="354"/>
      <c r="N212" s="352"/>
      <c r="O212" s="278">
        <f>'Rate Spread-Margin'!J20</f>
        <v>391661.73756713775</v>
      </c>
    </row>
    <row r="213" spans="2:20">
      <c r="B213" s="155" t="s">
        <v>20</v>
      </c>
      <c r="C213" s="224" t="s">
        <v>15</v>
      </c>
      <c r="D213" s="259">
        <f>613870+3791809</f>
        <v>4405679</v>
      </c>
      <c r="E213" s="222">
        <v>7.621E-2</v>
      </c>
      <c r="F213" s="190">
        <f t="shared" si="11"/>
        <v>335756.79999999999</v>
      </c>
      <c r="H213" s="509">
        <f t="shared" si="12"/>
        <v>8.7440000000000004E-2</v>
      </c>
      <c r="I213" s="190">
        <f t="shared" si="13"/>
        <v>385232.57</v>
      </c>
      <c r="J213" s="239"/>
      <c r="K213" s="157">
        <f t="shared" si="14"/>
        <v>49475.770000000019</v>
      </c>
      <c r="L213" s="193"/>
      <c r="M213" s="354"/>
      <c r="N213" s="353"/>
      <c r="O213" s="304" t="s">
        <v>158</v>
      </c>
    </row>
    <row r="214" spans="2:20">
      <c r="B214" s="155" t="s">
        <v>24</v>
      </c>
      <c r="C214" s="224" t="s">
        <v>15</v>
      </c>
      <c r="D214" s="259">
        <f>611600+5226673</f>
        <v>5838273</v>
      </c>
      <c r="E214" s="222">
        <v>4.9209999999999997E-2</v>
      </c>
      <c r="F214" s="190">
        <f t="shared" si="11"/>
        <v>287301.40999999997</v>
      </c>
      <c r="H214" s="509">
        <f t="shared" si="12"/>
        <v>5.6460000000000003E-2</v>
      </c>
      <c r="I214" s="190">
        <f t="shared" si="13"/>
        <v>329628.89</v>
      </c>
      <c r="J214" s="239"/>
      <c r="K214" s="157">
        <f t="shared" si="14"/>
        <v>42327.48000000004</v>
      </c>
      <c r="L214" s="306"/>
      <c r="M214" s="354"/>
      <c r="N214" s="353"/>
      <c r="O214" s="279">
        <f>+K220-O212</f>
        <v>24836.87753286236</v>
      </c>
      <c r="P214" s="413"/>
      <c r="R214" s="144"/>
      <c r="S214" s="144"/>
      <c r="T214" s="144"/>
    </row>
    <row r="215" spans="2:20">
      <c r="B215" s="155" t="s">
        <v>30</v>
      </c>
      <c r="C215" s="224" t="s">
        <v>15</v>
      </c>
      <c r="D215" s="259">
        <f>211977+5420862</f>
        <v>5632839</v>
      </c>
      <c r="E215" s="222">
        <v>3.2259999999999997E-2</v>
      </c>
      <c r="F215" s="190">
        <f t="shared" si="11"/>
        <v>181715.39</v>
      </c>
      <c r="H215" s="509">
        <f t="shared" si="12"/>
        <v>3.7019999999999997E-2</v>
      </c>
      <c r="I215" s="190">
        <f t="shared" si="13"/>
        <v>208527.7</v>
      </c>
      <c r="J215" s="239"/>
      <c r="K215" s="157">
        <f t="shared" si="14"/>
        <v>26812.309999999998</v>
      </c>
      <c r="L215" s="306"/>
      <c r="M215" s="354"/>
      <c r="N215" s="357"/>
      <c r="O215" s="149"/>
      <c r="P215" s="460"/>
      <c r="Q215" s="461"/>
      <c r="R215" s="461"/>
      <c r="S215" s="144"/>
      <c r="T215" s="144"/>
    </row>
    <row r="216" spans="2:20">
      <c r="B216" s="155" t="s">
        <v>31</v>
      </c>
      <c r="C216" s="224" t="s">
        <v>15</v>
      </c>
      <c r="D216" s="259">
        <f>39914+3796468</f>
        <v>3836382</v>
      </c>
      <c r="E216" s="222">
        <v>2.376E-2</v>
      </c>
      <c r="F216" s="190">
        <f t="shared" si="11"/>
        <v>91152.44</v>
      </c>
      <c r="H216" s="509">
        <f t="shared" si="12"/>
        <v>2.726E-2</v>
      </c>
      <c r="I216" s="190">
        <f t="shared" si="13"/>
        <v>104579.77</v>
      </c>
      <c r="J216" s="239"/>
      <c r="K216" s="157">
        <f t="shared" si="14"/>
        <v>13427.330000000002</v>
      </c>
      <c r="L216" s="159"/>
      <c r="M216" s="354"/>
      <c r="N216" s="354"/>
      <c r="P216" s="462"/>
      <c r="Q216" s="172"/>
      <c r="R216" s="172"/>
      <c r="S216" s="144"/>
      <c r="T216" s="144"/>
    </row>
    <row r="217" spans="2:20">
      <c r="B217" s="155" t="s">
        <v>32</v>
      </c>
      <c r="C217" s="224" t="s">
        <v>15</v>
      </c>
      <c r="D217" s="259">
        <f>0+2228932</f>
        <v>2228932</v>
      </c>
      <c r="E217" s="222">
        <v>1.8759999999999999E-2</v>
      </c>
      <c r="F217" s="190">
        <f t="shared" si="11"/>
        <v>41814.76</v>
      </c>
      <c r="H217" s="509">
        <f t="shared" si="12"/>
        <v>2.1530000000000001E-2</v>
      </c>
      <c r="I217" s="190">
        <f t="shared" si="13"/>
        <v>47988.91</v>
      </c>
      <c r="J217" s="239"/>
      <c r="K217" s="157">
        <f t="shared" si="14"/>
        <v>6174.1500000000015</v>
      </c>
      <c r="L217" s="159"/>
      <c r="M217" s="354"/>
      <c r="N217" s="354"/>
      <c r="P217" s="462"/>
      <c r="Q217" s="172"/>
      <c r="R217" s="172"/>
      <c r="S217" s="144"/>
      <c r="T217" s="144"/>
    </row>
    <row r="218" spans="2:20">
      <c r="B218" s="312" t="s">
        <v>161</v>
      </c>
      <c r="C218" s="224" t="s">
        <v>15</v>
      </c>
      <c r="D218" s="151">
        <f>SUM(D212:D217)</f>
        <v>27966707</v>
      </c>
      <c r="E218" s="165"/>
      <c r="F218" s="190"/>
      <c r="H218" s="164"/>
      <c r="I218" s="190"/>
      <c r="J218" s="239"/>
      <c r="K218" s="157"/>
      <c r="L218" s="306"/>
      <c r="M218" s="354"/>
      <c r="N218" s="354"/>
      <c r="O218" s="354"/>
      <c r="P218" s="462"/>
      <c r="Q218" s="172"/>
      <c r="R218" s="172"/>
      <c r="S218" s="144"/>
      <c r="T218" s="144"/>
    </row>
    <row r="219" spans="2:20">
      <c r="B219" s="225" t="s">
        <v>122</v>
      </c>
      <c r="C219" s="224" t="s">
        <v>15</v>
      </c>
      <c r="D219" s="158">
        <f>D218</f>
        <v>27966707</v>
      </c>
      <c r="E219" s="222">
        <v>6.9999999999999999E-4</v>
      </c>
      <c r="F219" s="190">
        <f>E219*D219</f>
        <v>19576.694899999999</v>
      </c>
      <c r="H219" s="222">
        <v>0</v>
      </c>
      <c r="I219" s="190">
        <f>H219*D219</f>
        <v>0</v>
      </c>
      <c r="J219" s="239"/>
      <c r="K219" s="157">
        <f>I219-F219</f>
        <v>-19576.694899999999</v>
      </c>
      <c r="L219" s="306"/>
      <c r="M219" s="354"/>
      <c r="N219" s="354"/>
      <c r="P219" s="462"/>
      <c r="Q219" s="172"/>
      <c r="R219" s="172"/>
      <c r="S219" s="144"/>
      <c r="T219" s="144"/>
    </row>
    <row r="220" spans="2:20">
      <c r="B220" s="166" t="s">
        <v>10</v>
      </c>
      <c r="C220" s="167"/>
      <c r="D220" s="168"/>
      <c r="E220" s="164"/>
      <c r="F220" s="207">
        <f>SUM(F208:F219)</f>
        <v>2319555.4648999996</v>
      </c>
      <c r="G220" s="168"/>
      <c r="H220" s="164"/>
      <c r="I220" s="207">
        <f>SUM(I208:I219)</f>
        <v>2736054.0800000005</v>
      </c>
      <c r="J220" s="164"/>
      <c r="K220" s="207">
        <f>SUM(K208:K219)</f>
        <v>416498.61510000011</v>
      </c>
      <c r="L220" s="305">
        <f>ROUND(K220/F220,5)</f>
        <v>0.17956</v>
      </c>
      <c r="M220" s="354"/>
      <c r="P220" s="462"/>
      <c r="Q220" s="172"/>
      <c r="R220" s="172"/>
      <c r="S220" s="144"/>
      <c r="T220" s="144"/>
    </row>
    <row r="221" spans="2:20">
      <c r="B221" s="166"/>
      <c r="C221" s="167"/>
      <c r="D221" s="168"/>
      <c r="E221" s="164"/>
      <c r="F221" s="157"/>
      <c r="G221" s="168"/>
      <c r="H221" s="164"/>
      <c r="I221" s="157"/>
      <c r="J221" s="164"/>
      <c r="K221" s="157"/>
      <c r="L221" s="306"/>
      <c r="M221" s="354"/>
      <c r="N221" s="354"/>
      <c r="O221" s="144"/>
      <c r="P221" s="156"/>
      <c r="Q221" s="144"/>
      <c r="R221" s="144"/>
      <c r="S221" s="144"/>
      <c r="T221" s="144"/>
    </row>
    <row r="222" spans="2:20">
      <c r="B222" s="312" t="s">
        <v>160</v>
      </c>
      <c r="C222" s="224" t="s">
        <v>15</v>
      </c>
      <c r="D222" s="158">
        <f>D219</f>
        <v>27966707</v>
      </c>
      <c r="E222" s="222">
        <v>6.9999999999999999E-4</v>
      </c>
      <c r="F222" s="157">
        <f>E222*D222</f>
        <v>19576.694899999999</v>
      </c>
      <c r="G222" s="168"/>
      <c r="H222" s="298">
        <v>6.9999999999999999E-4</v>
      </c>
      <c r="I222" s="157">
        <f>H222*D222</f>
        <v>19576.694899999999</v>
      </c>
      <c r="J222" s="164"/>
      <c r="K222" s="157">
        <f>I222-F222</f>
        <v>0</v>
      </c>
      <c r="L222" s="306"/>
      <c r="M222" s="354"/>
      <c r="N222" s="357"/>
      <c r="O222" s="144"/>
      <c r="P222" s="144"/>
      <c r="Q222" s="144"/>
      <c r="R222" s="144"/>
      <c r="S222" s="144"/>
      <c r="T222" s="144"/>
    </row>
    <row r="223" spans="2:20">
      <c r="B223" s="155" t="s">
        <v>38</v>
      </c>
      <c r="C223" s="144"/>
      <c r="D223" s="158"/>
      <c r="E223" s="165"/>
      <c r="F223" s="207">
        <f>F220+F222</f>
        <v>2339132.1597999996</v>
      </c>
      <c r="H223" s="164"/>
      <c r="I223" s="207">
        <f>I220+I222</f>
        <v>2755630.7749000005</v>
      </c>
      <c r="J223" s="239"/>
      <c r="K223" s="207">
        <f>K220+K222</f>
        <v>416498.61510000011</v>
      </c>
      <c r="L223" s="305">
        <f>K223/F223</f>
        <v>0.17805689745021144</v>
      </c>
      <c r="M223" s="354"/>
      <c r="N223" s="354"/>
      <c r="O223" s="144"/>
      <c r="P223" s="137"/>
      <c r="Q223" s="197"/>
    </row>
    <row r="224" spans="2:20">
      <c r="B224" s="177"/>
      <c r="C224" s="154"/>
      <c r="D224" s="212"/>
      <c r="E224" s="356"/>
      <c r="F224" s="201"/>
      <c r="G224" s="212"/>
      <c r="H224" s="216"/>
      <c r="I224" s="189"/>
      <c r="J224" s="247"/>
      <c r="K224" s="178"/>
      <c r="L224" s="307"/>
      <c r="M224" s="354"/>
      <c r="N224" s="357"/>
      <c r="O224" s="144"/>
      <c r="P224" s="137"/>
      <c r="Q224" s="197"/>
    </row>
    <row r="225" spans="2:15">
      <c r="B225" s="144"/>
      <c r="C225" s="144"/>
      <c r="D225" s="158"/>
      <c r="E225" s="165"/>
      <c r="F225" s="164"/>
      <c r="H225" s="165"/>
      <c r="I225" s="164"/>
      <c r="J225" s="164"/>
      <c r="K225" s="164"/>
      <c r="L225" s="153"/>
      <c r="M225" s="354"/>
      <c r="N225" s="354"/>
      <c r="O225" s="316"/>
    </row>
    <row r="226" spans="2:15">
      <c r="B226" s="1" t="s">
        <v>210</v>
      </c>
      <c r="F226" s="321"/>
      <c r="G226" s="321"/>
      <c r="H226" s="321"/>
      <c r="I226" s="321"/>
      <c r="J226" s="321"/>
      <c r="M226" s="354"/>
      <c r="N226" s="354"/>
      <c r="O226" s="144"/>
    </row>
    <row r="227" spans="2:15">
      <c r="B227" s="322" t="s">
        <v>213</v>
      </c>
      <c r="K227" s="321"/>
      <c r="M227" s="354"/>
      <c r="N227" s="354"/>
      <c r="O227" s="213"/>
    </row>
    <row r="228" spans="2:15">
      <c r="B228" s="322"/>
      <c r="G228" s="254"/>
      <c r="I228" s="439"/>
      <c r="N228" s="354"/>
    </row>
    <row r="229" spans="2:15">
      <c r="G229" s="254"/>
    </row>
    <row r="230" spans="2:15">
      <c r="B230" s="439" t="s">
        <v>203</v>
      </c>
      <c r="E230" s="158"/>
      <c r="F230" s="213">
        <f>'Rate Design Res'!F18+'Rate Design Res'!F30+'Rate Design Res'!F46+'Rate Design C&amp;I'!F18+'Rate Design C&amp;I'!F48+'Rate Design C&amp;I'!F112+'Rate Design C&amp;I'!F123+'Rate Design Int &amp; Trans'!F72+'Rate Design Int &amp; Trans'!F92+'Rate Design Int &amp; Trans'!F203+'Rate Design Int &amp; Trans'!F223</f>
        <v>1052525002.2920202</v>
      </c>
      <c r="I230" s="213"/>
      <c r="K230" s="213">
        <f>'Rate Design Res'!K18+'Rate Design Res'!K30+'Rate Design Res'!K46+'Rate Design C&amp;I'!K18+'Rate Design C&amp;I'!K48+'Rate Design C&amp;I'!K112+'Rate Design C&amp;I'!K123+'Rate Design Int &amp; Trans'!K72+'Rate Design Int &amp; Trans'!K92+'Rate Design Int &amp; Trans'!K203+'Rate Design Int &amp; Trans'!K223</f>
        <v>43136178.694322124</v>
      </c>
    </row>
    <row r="231" spans="2:15">
      <c r="B231" s="439" t="s">
        <v>204</v>
      </c>
      <c r="E231" s="158"/>
      <c r="F231" s="454">
        <f>1054114365-1589366</f>
        <v>1052524999</v>
      </c>
    </row>
    <row r="232" spans="2:15">
      <c r="B232" s="439" t="s">
        <v>171</v>
      </c>
      <c r="E232" s="158"/>
      <c r="F232" s="217">
        <f>F230-F231</f>
        <v>3.2920202016830444</v>
      </c>
    </row>
    <row r="233" spans="2:15">
      <c r="D233" s="441"/>
    </row>
    <row r="234" spans="2:15">
      <c r="D234" s="441"/>
    </row>
    <row r="235" spans="2:15">
      <c r="D235" s="441"/>
    </row>
    <row r="237" spans="2:15">
      <c r="D237" s="253"/>
    </row>
  </sheetData>
  <mergeCells count="1">
    <mergeCell ref="K7:L7"/>
  </mergeCells>
  <phoneticPr fontId="0" type="noConversion"/>
  <printOptions horizontalCentered="1"/>
  <pageMargins left="0.5" right="0.5" top="1" bottom="0.75" header="0.75" footer="0.5"/>
  <pageSetup scale="64" fitToHeight="2" orientation="landscape" blackAndWhite="1" r:id="rId1"/>
  <headerFooter alignWithMargins="0">
    <oddHeader>&amp;RExhibit No.___(JKP-10)
Page &amp;P of &amp;N</oddHeader>
    <oddFooter>&amp;L&amp;F&amp;A&amp;C&amp;P&amp;R&amp;D</oddFooter>
  </headerFooter>
  <rowBreaks count="4" manualBreakCount="4">
    <brk id="49" max="16383" man="1"/>
    <brk id="94" max="16383" man="1"/>
    <brk id="130" min="1" max="11" man="1"/>
    <brk id="1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U49"/>
  <sheetViews>
    <sheetView topLeftCell="B1" workbookViewId="0">
      <pane xSplit="1" ySplit="11" topLeftCell="F26" activePane="bottomRight" state="frozen"/>
      <selection activeCell="P20" sqref="P20"/>
      <selection pane="topRight" activeCell="P20" sqref="P20"/>
      <selection pane="bottomLeft" activeCell="P20" sqref="P20"/>
      <selection pane="bottomRight" activeCell="L33" sqref="L33"/>
    </sheetView>
  </sheetViews>
  <sheetFormatPr defaultRowHeight="12.75"/>
  <cols>
    <col min="1" max="1" width="4.42578125" style="199" customWidth="1"/>
    <col min="2" max="2" width="4.42578125" style="199" bestFit="1" customWidth="1"/>
    <col min="3" max="3" width="11" style="199" customWidth="1"/>
    <col min="4" max="4" width="8.7109375" style="199" bestFit="1" customWidth="1"/>
    <col min="5" max="5" width="42.42578125" style="199" bestFit="1" customWidth="1"/>
    <col min="6" max="6" width="8.7109375" style="199" bestFit="1" customWidth="1"/>
    <col min="7" max="7" width="7.7109375" style="199" bestFit="1" customWidth="1"/>
    <col min="8" max="8" width="13.28515625" style="199" bestFit="1" customWidth="1"/>
    <col min="9" max="9" width="8.85546875" style="199" bestFit="1" customWidth="1"/>
    <col min="10" max="10" width="14.42578125" style="199" bestFit="1" customWidth="1"/>
    <col min="11" max="11" width="13.5703125" style="199" customWidth="1"/>
    <col min="12" max="12" width="14.7109375" style="199" customWidth="1"/>
    <col min="13" max="13" width="14" style="199" customWidth="1"/>
    <col min="14" max="14" width="10.28515625" style="168" bestFit="1" customWidth="1"/>
    <col min="15" max="15" width="8.85546875" style="168" bestFit="1" customWidth="1"/>
    <col min="16" max="16" width="14.7109375" style="199" customWidth="1"/>
    <col min="17" max="17" width="15.28515625" style="199" customWidth="1"/>
    <col min="18" max="19" width="14" style="199" customWidth="1"/>
    <col min="20" max="20" width="9.140625" style="199"/>
    <col min="21" max="21" width="14" style="199" customWidth="1"/>
    <col min="22" max="16384" width="9.140625" style="199"/>
  </cols>
  <sheetData>
    <row r="1" spans="1:21">
      <c r="P1" s="168"/>
    </row>
    <row r="2" spans="1:21">
      <c r="B2" s="32" t="s">
        <v>83</v>
      </c>
      <c r="C2" s="124"/>
      <c r="D2" s="124"/>
      <c r="E2" s="124"/>
      <c r="F2" s="124"/>
      <c r="G2" s="124"/>
      <c r="H2" s="124"/>
      <c r="I2" s="124"/>
      <c r="J2" s="124"/>
      <c r="K2" s="124"/>
      <c r="P2" s="168"/>
    </row>
    <row r="3" spans="1:21">
      <c r="B3" s="32" t="s">
        <v>175</v>
      </c>
      <c r="C3" s="124"/>
      <c r="D3" s="124"/>
      <c r="E3" s="124"/>
      <c r="F3" s="124"/>
      <c r="G3" s="124"/>
      <c r="H3" s="124"/>
      <c r="I3" s="124"/>
      <c r="J3" s="124"/>
      <c r="K3" s="124"/>
      <c r="P3" s="168"/>
    </row>
    <row r="4" spans="1:21">
      <c r="B4" s="32" t="s">
        <v>174</v>
      </c>
      <c r="C4" s="124"/>
      <c r="D4" s="124"/>
      <c r="E4" s="124"/>
      <c r="F4" s="124"/>
      <c r="G4" s="124"/>
      <c r="H4" s="124"/>
      <c r="I4" s="124"/>
      <c r="J4" s="124"/>
      <c r="K4" s="124"/>
      <c r="P4" s="168"/>
    </row>
    <row r="5" spans="1:21">
      <c r="B5" s="219" t="s">
        <v>217</v>
      </c>
      <c r="C5" s="124"/>
      <c r="D5" s="124"/>
      <c r="E5" s="124"/>
      <c r="F5" s="124"/>
      <c r="G5" s="124"/>
      <c r="H5" s="124"/>
      <c r="I5" s="124"/>
      <c r="J5" s="124"/>
      <c r="K5" s="124"/>
      <c r="P5" s="168"/>
    </row>
    <row r="6" spans="1:21" s="286" customFormat="1">
      <c r="A6" s="290"/>
      <c r="B6" s="294" t="s">
        <v>138</v>
      </c>
      <c r="C6" s="294"/>
      <c r="D6" s="294"/>
      <c r="E6" s="294"/>
      <c r="F6" s="294"/>
      <c r="G6" s="294"/>
      <c r="H6" s="294"/>
      <c r="I6" s="294"/>
      <c r="J6" s="294"/>
      <c r="K6" s="32"/>
      <c r="M6" s="229"/>
      <c r="N6" s="134"/>
      <c r="O6" s="134"/>
      <c r="P6" s="134"/>
      <c r="Q6" s="229"/>
      <c r="R6" s="229"/>
      <c r="S6" s="229"/>
      <c r="T6" s="229"/>
      <c r="U6" s="229"/>
    </row>
    <row r="7" spans="1:21" s="286" customFormat="1">
      <c r="A7" s="290"/>
      <c r="B7" s="134"/>
      <c r="C7" s="134"/>
      <c r="D7" s="134"/>
      <c r="E7" s="134"/>
      <c r="F7" s="287"/>
      <c r="G7" s="134"/>
      <c r="H7" s="134"/>
      <c r="I7" s="299"/>
      <c r="J7" s="134"/>
      <c r="K7" s="78"/>
      <c r="M7" s="229"/>
      <c r="N7" s="134"/>
      <c r="P7" s="134"/>
      <c r="Q7" s="229"/>
      <c r="R7" s="229"/>
      <c r="S7" s="229"/>
      <c r="T7" s="229"/>
      <c r="U7" s="229"/>
    </row>
    <row r="8" spans="1:21" s="286" customFormat="1">
      <c r="A8" s="290"/>
      <c r="B8" s="134"/>
      <c r="C8" s="134"/>
      <c r="D8" s="134"/>
      <c r="E8" s="134"/>
      <c r="F8" s="287"/>
      <c r="G8" s="134"/>
      <c r="H8" s="134"/>
      <c r="I8" s="134"/>
      <c r="J8" s="134"/>
      <c r="K8" s="78"/>
      <c r="M8" s="229"/>
      <c r="N8" s="134"/>
      <c r="O8" s="134"/>
      <c r="P8" s="134"/>
      <c r="Q8" s="229"/>
      <c r="R8" s="229"/>
      <c r="S8" s="229"/>
      <c r="T8" s="229"/>
      <c r="U8" s="229"/>
    </row>
    <row r="9" spans="1:21" s="286" customFormat="1">
      <c r="B9" s="134"/>
      <c r="C9" s="134"/>
      <c r="D9" s="134"/>
      <c r="E9" s="134"/>
      <c r="F9" s="287"/>
      <c r="G9" s="134"/>
      <c r="H9" s="287" t="s">
        <v>117</v>
      </c>
      <c r="I9" s="134"/>
      <c r="J9" s="287" t="s">
        <v>117</v>
      </c>
      <c r="K9" s="78"/>
      <c r="M9" s="229"/>
      <c r="N9" s="287"/>
      <c r="O9" s="299"/>
      <c r="P9" s="134"/>
      <c r="Q9" s="229"/>
      <c r="R9" s="229"/>
      <c r="S9" s="229"/>
      <c r="T9" s="229"/>
      <c r="U9" s="229"/>
    </row>
    <row r="10" spans="1:21" s="286" customFormat="1">
      <c r="B10" s="134"/>
      <c r="C10" s="134"/>
      <c r="D10" s="287" t="s">
        <v>103</v>
      </c>
      <c r="E10" s="134"/>
      <c r="F10" s="287" t="s">
        <v>215</v>
      </c>
      <c r="G10" s="287" t="s">
        <v>33</v>
      </c>
      <c r="H10" s="287" t="s">
        <v>135</v>
      </c>
      <c r="I10" s="287" t="s">
        <v>2</v>
      </c>
      <c r="J10" s="287" t="s">
        <v>135</v>
      </c>
      <c r="K10" s="78" t="s">
        <v>2</v>
      </c>
      <c r="M10" s="229"/>
      <c r="N10" s="287"/>
      <c r="O10" s="299"/>
      <c r="P10" s="134"/>
      <c r="Q10" s="229"/>
      <c r="R10" s="229"/>
      <c r="S10" s="229"/>
      <c r="T10" s="229"/>
      <c r="U10" s="229"/>
    </row>
    <row r="11" spans="1:21" s="286" customFormat="1">
      <c r="B11" s="141" t="s">
        <v>123</v>
      </c>
      <c r="C11" s="141" t="s">
        <v>37</v>
      </c>
      <c r="D11" s="285" t="s">
        <v>37</v>
      </c>
      <c r="E11" s="285" t="s">
        <v>4</v>
      </c>
      <c r="F11" s="285" t="s">
        <v>216</v>
      </c>
      <c r="G11" s="285" t="s">
        <v>6</v>
      </c>
      <c r="H11" s="285" t="s">
        <v>136</v>
      </c>
      <c r="I11" s="285" t="s">
        <v>6</v>
      </c>
      <c r="J11" s="285" t="s">
        <v>137</v>
      </c>
      <c r="K11" s="285" t="s">
        <v>77</v>
      </c>
      <c r="M11" s="229"/>
      <c r="N11" s="285"/>
      <c r="O11" s="299"/>
      <c r="P11" s="134"/>
      <c r="Q11" s="229"/>
      <c r="R11" s="229"/>
      <c r="S11" s="229"/>
      <c r="T11" s="229"/>
      <c r="U11" s="229"/>
    </row>
    <row r="12" spans="1:21">
      <c r="B12" s="229"/>
      <c r="C12" s="295" t="s">
        <v>139</v>
      </c>
      <c r="D12" s="295" t="s">
        <v>140</v>
      </c>
      <c r="E12" s="295" t="s">
        <v>141</v>
      </c>
      <c r="F12" s="295" t="s">
        <v>142</v>
      </c>
      <c r="G12" s="295" t="s">
        <v>143</v>
      </c>
      <c r="H12" s="295" t="s">
        <v>144</v>
      </c>
      <c r="I12" s="295" t="s">
        <v>145</v>
      </c>
      <c r="J12" s="295" t="s">
        <v>146</v>
      </c>
      <c r="K12" s="295" t="s">
        <v>153</v>
      </c>
      <c r="N12" s="295"/>
      <c r="P12" s="168"/>
    </row>
    <row r="13" spans="1:21">
      <c r="B13" s="229"/>
      <c r="P13" s="168"/>
    </row>
    <row r="14" spans="1:21" ht="12.75" customHeight="1">
      <c r="B14" s="272">
        <v>1</v>
      </c>
      <c r="C14" s="229" t="s">
        <v>40</v>
      </c>
      <c r="D14" s="199" t="s">
        <v>41</v>
      </c>
      <c r="E14" s="199" t="s">
        <v>42</v>
      </c>
      <c r="F14" s="443">
        <v>25560</v>
      </c>
      <c r="G14" s="275">
        <v>6.37</v>
      </c>
      <c r="H14" s="291">
        <f>F14*G14</f>
        <v>162817.20000000001</v>
      </c>
      <c r="I14" s="347">
        <f t="shared" ref="I14:I30" si="0">ROUND(G14*(1+$L$33),2)</f>
        <v>6.63</v>
      </c>
      <c r="J14" s="291">
        <f>F14*I14</f>
        <v>169462.8</v>
      </c>
      <c r="K14" s="291">
        <f t="shared" ref="K14:K26" si="1">J14-H14</f>
        <v>6645.5999999999767</v>
      </c>
      <c r="L14" s="268"/>
      <c r="M14" s="268"/>
      <c r="N14" s="346"/>
      <c r="O14" s="347"/>
      <c r="P14" s="289"/>
      <c r="Q14" s="268"/>
      <c r="R14" s="268"/>
      <c r="S14" s="268"/>
      <c r="T14" s="268"/>
      <c r="U14" s="268"/>
    </row>
    <row r="15" spans="1:21">
      <c r="B15" s="272">
        <f>B14+1</f>
        <v>2</v>
      </c>
      <c r="C15" s="229" t="s">
        <v>40</v>
      </c>
      <c r="D15" s="199" t="s">
        <v>43</v>
      </c>
      <c r="E15" s="199" t="s">
        <v>44</v>
      </c>
      <c r="F15" s="443">
        <v>336020</v>
      </c>
      <c r="G15" s="275">
        <v>10.23</v>
      </c>
      <c r="H15" s="318">
        <f>F15*G15</f>
        <v>3437484.6</v>
      </c>
      <c r="I15" s="347">
        <f t="shared" si="0"/>
        <v>10.65</v>
      </c>
      <c r="J15" s="318">
        <f>F15*I15</f>
        <v>3578613</v>
      </c>
      <c r="K15" s="318">
        <f t="shared" si="1"/>
        <v>141128.39999999991</v>
      </c>
      <c r="L15" s="268"/>
      <c r="M15" s="268"/>
      <c r="N15" s="346"/>
      <c r="O15" s="347"/>
      <c r="P15" s="289"/>
      <c r="Q15" s="268"/>
      <c r="R15" s="268"/>
      <c r="S15" s="268"/>
      <c r="T15" s="268"/>
      <c r="U15" s="268"/>
    </row>
    <row r="16" spans="1:21">
      <c r="B16" s="272">
        <f t="shared" ref="B16:B31" si="2">B15+1</f>
        <v>3</v>
      </c>
      <c r="C16" s="229" t="s">
        <v>40</v>
      </c>
      <c r="D16" s="199" t="s">
        <v>45</v>
      </c>
      <c r="E16" s="199" t="s">
        <v>46</v>
      </c>
      <c r="F16" s="443">
        <v>61305</v>
      </c>
      <c r="G16" s="275">
        <v>14.35</v>
      </c>
      <c r="H16" s="318">
        <f t="shared" ref="H16:H30" si="3">F16*G16</f>
        <v>879726.75</v>
      </c>
      <c r="I16" s="347">
        <f t="shared" si="0"/>
        <v>14.94</v>
      </c>
      <c r="J16" s="318">
        <f t="shared" ref="J16:J30" si="4">F16*I16</f>
        <v>915896.7</v>
      </c>
      <c r="K16" s="318">
        <f t="shared" si="1"/>
        <v>36169.949999999953</v>
      </c>
      <c r="L16" s="268"/>
      <c r="M16" s="268"/>
      <c r="N16" s="346"/>
      <c r="O16" s="347"/>
      <c r="P16" s="289"/>
      <c r="Q16" s="268"/>
      <c r="R16" s="268"/>
      <c r="S16" s="268"/>
      <c r="T16" s="268"/>
      <c r="U16" s="268"/>
    </row>
    <row r="17" spans="2:21">
      <c r="B17" s="272">
        <f t="shared" si="2"/>
        <v>4</v>
      </c>
      <c r="C17" s="229" t="s">
        <v>40</v>
      </c>
      <c r="D17" s="199" t="s">
        <v>47</v>
      </c>
      <c r="E17" s="199" t="s">
        <v>48</v>
      </c>
      <c r="F17" s="443">
        <v>17584</v>
      </c>
      <c r="G17" s="275">
        <v>14.05</v>
      </c>
      <c r="H17" s="318">
        <f t="shared" si="3"/>
        <v>247055.2</v>
      </c>
      <c r="I17" s="347">
        <f t="shared" si="0"/>
        <v>14.63</v>
      </c>
      <c r="J17" s="318">
        <f t="shared" si="4"/>
        <v>257253.92</v>
      </c>
      <c r="K17" s="318">
        <f t="shared" si="1"/>
        <v>10198.720000000001</v>
      </c>
      <c r="L17" s="268"/>
      <c r="M17" s="268"/>
      <c r="N17" s="346"/>
      <c r="O17" s="347"/>
      <c r="P17" s="289"/>
      <c r="Q17" s="268"/>
      <c r="R17" s="268"/>
      <c r="S17" s="268"/>
      <c r="T17" s="268"/>
      <c r="U17" s="268"/>
    </row>
    <row r="18" spans="2:21">
      <c r="B18" s="272">
        <f t="shared" si="2"/>
        <v>5</v>
      </c>
      <c r="C18" s="229" t="s">
        <v>40</v>
      </c>
      <c r="D18" s="199" t="s">
        <v>49</v>
      </c>
      <c r="E18" s="199" t="s">
        <v>50</v>
      </c>
      <c r="F18" s="443">
        <v>59691</v>
      </c>
      <c r="G18" s="275">
        <v>5.12</v>
      </c>
      <c r="H18" s="318">
        <f t="shared" si="3"/>
        <v>305617.91999999998</v>
      </c>
      <c r="I18" s="347">
        <f t="shared" si="0"/>
        <v>5.33</v>
      </c>
      <c r="J18" s="318">
        <f t="shared" si="4"/>
        <v>318153.03000000003</v>
      </c>
      <c r="K18" s="318">
        <f t="shared" si="1"/>
        <v>12535.110000000044</v>
      </c>
      <c r="L18" s="268"/>
      <c r="M18" s="268"/>
      <c r="N18" s="346"/>
      <c r="O18" s="347"/>
      <c r="P18" s="289"/>
      <c r="Q18" s="268"/>
      <c r="R18" s="268"/>
      <c r="S18" s="268"/>
      <c r="T18" s="268"/>
      <c r="U18" s="268"/>
    </row>
    <row r="19" spans="2:21">
      <c r="B19" s="272">
        <f t="shared" si="2"/>
        <v>6</v>
      </c>
      <c r="C19" s="229" t="s">
        <v>40</v>
      </c>
      <c r="D19" s="199" t="s">
        <v>51</v>
      </c>
      <c r="E19" s="199" t="s">
        <v>52</v>
      </c>
      <c r="F19" s="443">
        <v>3592</v>
      </c>
      <c r="G19" s="275">
        <v>8.98</v>
      </c>
      <c r="H19" s="318">
        <f t="shared" si="3"/>
        <v>32256.16</v>
      </c>
      <c r="I19" s="347">
        <f t="shared" si="0"/>
        <v>9.35</v>
      </c>
      <c r="J19" s="318">
        <f t="shared" si="4"/>
        <v>33585.199999999997</v>
      </c>
      <c r="K19" s="318">
        <f t="shared" si="1"/>
        <v>1329.0399999999972</v>
      </c>
      <c r="L19" s="268"/>
      <c r="M19" s="268"/>
      <c r="N19" s="346"/>
      <c r="O19" s="347"/>
      <c r="P19" s="289"/>
      <c r="Q19" s="268"/>
      <c r="R19" s="268"/>
      <c r="S19" s="268"/>
      <c r="T19" s="268"/>
      <c r="U19" s="268"/>
    </row>
    <row r="20" spans="2:21">
      <c r="B20" s="272">
        <f t="shared" si="2"/>
        <v>7</v>
      </c>
      <c r="C20" s="229" t="s">
        <v>53</v>
      </c>
      <c r="D20" s="199" t="s">
        <v>54</v>
      </c>
      <c r="E20" s="199" t="s">
        <v>55</v>
      </c>
      <c r="F20" s="443">
        <v>3057</v>
      </c>
      <c r="G20" s="275">
        <v>12.5</v>
      </c>
      <c r="H20" s="318">
        <f t="shared" si="3"/>
        <v>38212.5</v>
      </c>
      <c r="I20" s="347">
        <f t="shared" si="0"/>
        <v>13.02</v>
      </c>
      <c r="J20" s="318">
        <f t="shared" si="4"/>
        <v>39802.14</v>
      </c>
      <c r="K20" s="318">
        <f t="shared" si="1"/>
        <v>1589.6399999999994</v>
      </c>
      <c r="L20" s="268"/>
      <c r="M20" s="268"/>
      <c r="N20" s="346"/>
      <c r="O20" s="300"/>
      <c r="P20" s="289"/>
      <c r="Q20" s="268"/>
      <c r="R20" s="268"/>
      <c r="S20" s="268"/>
      <c r="T20" s="268"/>
      <c r="U20" s="268"/>
    </row>
    <row r="21" spans="2:21">
      <c r="B21" s="272">
        <f t="shared" si="2"/>
        <v>8</v>
      </c>
      <c r="C21" s="229" t="s">
        <v>53</v>
      </c>
      <c r="D21" s="199" t="s">
        <v>56</v>
      </c>
      <c r="E21" s="199" t="s">
        <v>57</v>
      </c>
      <c r="F21" s="443">
        <v>2633</v>
      </c>
      <c r="G21" s="275">
        <v>16.350000000000001</v>
      </c>
      <c r="H21" s="318">
        <f t="shared" si="3"/>
        <v>43049.55</v>
      </c>
      <c r="I21" s="347">
        <f t="shared" si="0"/>
        <v>17.03</v>
      </c>
      <c r="J21" s="318">
        <f t="shared" si="4"/>
        <v>44839.990000000005</v>
      </c>
      <c r="K21" s="318">
        <f t="shared" si="1"/>
        <v>1790.4400000000023</v>
      </c>
      <c r="L21" s="268"/>
      <c r="M21" s="268"/>
      <c r="N21" s="346"/>
      <c r="O21" s="301"/>
      <c r="P21" s="289"/>
      <c r="Q21" s="268"/>
      <c r="R21" s="268"/>
      <c r="S21" s="268"/>
      <c r="T21" s="268"/>
      <c r="U21" s="268"/>
    </row>
    <row r="22" spans="2:21">
      <c r="B22" s="272">
        <f t="shared" si="2"/>
        <v>9</v>
      </c>
      <c r="C22" s="229" t="s">
        <v>53</v>
      </c>
      <c r="D22" s="199" t="s">
        <v>58</v>
      </c>
      <c r="E22" s="199" t="s">
        <v>59</v>
      </c>
      <c r="F22" s="443">
        <v>4005</v>
      </c>
      <c r="G22" s="275">
        <v>16.350000000000001</v>
      </c>
      <c r="H22" s="318">
        <f t="shared" si="3"/>
        <v>65481.750000000007</v>
      </c>
      <c r="I22" s="347">
        <f t="shared" si="0"/>
        <v>17.03</v>
      </c>
      <c r="J22" s="318">
        <f t="shared" si="4"/>
        <v>68205.150000000009</v>
      </c>
      <c r="K22" s="318">
        <f t="shared" si="1"/>
        <v>2723.4000000000015</v>
      </c>
      <c r="L22" s="268"/>
      <c r="M22" s="268"/>
      <c r="N22" s="346"/>
      <c r="O22" s="301"/>
      <c r="P22" s="289"/>
      <c r="Q22" s="268"/>
      <c r="R22" s="268"/>
      <c r="S22" s="268"/>
      <c r="T22" s="268"/>
      <c r="U22" s="268"/>
    </row>
    <row r="23" spans="2:21">
      <c r="B23" s="272">
        <f t="shared" si="2"/>
        <v>10</v>
      </c>
      <c r="C23" s="229" t="s">
        <v>53</v>
      </c>
      <c r="D23" s="199" t="s">
        <v>60</v>
      </c>
      <c r="E23" s="199" t="s">
        <v>61</v>
      </c>
      <c r="F23" s="443">
        <v>341</v>
      </c>
      <c r="G23" s="275">
        <v>25.6</v>
      </c>
      <c r="H23" s="318">
        <f t="shared" si="3"/>
        <v>8729.6</v>
      </c>
      <c r="I23" s="347">
        <f t="shared" si="0"/>
        <v>26.66</v>
      </c>
      <c r="J23" s="318">
        <f t="shared" si="4"/>
        <v>9091.06</v>
      </c>
      <c r="K23" s="318">
        <f t="shared" si="1"/>
        <v>361.45999999999913</v>
      </c>
      <c r="L23" s="268"/>
      <c r="M23" s="268"/>
      <c r="N23" s="346"/>
      <c r="O23" s="301"/>
      <c r="P23" s="289"/>
      <c r="Q23" s="268"/>
      <c r="R23" s="268"/>
      <c r="S23" s="268"/>
      <c r="T23" s="268"/>
      <c r="U23" s="268"/>
    </row>
    <row r="24" spans="2:21">
      <c r="B24" s="272">
        <f t="shared" si="2"/>
        <v>11</v>
      </c>
      <c r="C24" s="229" t="s">
        <v>53</v>
      </c>
      <c r="D24" s="199" t="s">
        <v>62</v>
      </c>
      <c r="E24" s="199" t="s">
        <v>63</v>
      </c>
      <c r="F24" s="443">
        <v>11243</v>
      </c>
      <c r="G24" s="275">
        <v>33.4</v>
      </c>
      <c r="H24" s="318">
        <f t="shared" si="3"/>
        <v>375516.2</v>
      </c>
      <c r="I24" s="347">
        <f t="shared" si="0"/>
        <v>34.78</v>
      </c>
      <c r="J24" s="318">
        <f t="shared" si="4"/>
        <v>391031.54000000004</v>
      </c>
      <c r="K24" s="318">
        <f t="shared" si="1"/>
        <v>15515.340000000026</v>
      </c>
      <c r="L24" s="268"/>
      <c r="M24" s="268"/>
      <c r="N24" s="346"/>
      <c r="O24" s="301"/>
      <c r="P24" s="289"/>
      <c r="Q24" s="268"/>
      <c r="R24" s="268"/>
      <c r="S24" s="268"/>
      <c r="T24" s="268"/>
      <c r="U24" s="268"/>
    </row>
    <row r="25" spans="2:21">
      <c r="B25" s="272">
        <f t="shared" si="2"/>
        <v>12</v>
      </c>
      <c r="C25" s="229" t="s">
        <v>53</v>
      </c>
      <c r="D25" s="199" t="s">
        <v>64</v>
      </c>
      <c r="E25" s="199" t="s">
        <v>65</v>
      </c>
      <c r="F25" s="443">
        <v>7078</v>
      </c>
      <c r="G25" s="275">
        <v>44.6</v>
      </c>
      <c r="H25" s="318">
        <f t="shared" si="3"/>
        <v>315678.8</v>
      </c>
      <c r="I25" s="347">
        <f t="shared" si="0"/>
        <v>46.45</v>
      </c>
      <c r="J25" s="318">
        <f t="shared" si="4"/>
        <v>328773.10000000003</v>
      </c>
      <c r="K25" s="318">
        <f t="shared" si="1"/>
        <v>13094.300000000047</v>
      </c>
      <c r="L25" s="268"/>
      <c r="M25" s="268"/>
      <c r="N25" s="346"/>
      <c r="O25" s="301"/>
      <c r="P25" s="289"/>
      <c r="Q25" s="268"/>
      <c r="R25" s="268"/>
      <c r="S25" s="268"/>
      <c r="T25" s="268"/>
      <c r="U25" s="268"/>
    </row>
    <row r="26" spans="2:21">
      <c r="B26" s="272">
        <f t="shared" si="2"/>
        <v>13</v>
      </c>
      <c r="C26" s="229" t="s">
        <v>53</v>
      </c>
      <c r="D26" s="199" t="s">
        <v>66</v>
      </c>
      <c r="E26" s="199" t="s">
        <v>67</v>
      </c>
      <c r="F26" s="443">
        <v>18184</v>
      </c>
      <c r="G26" s="275">
        <v>51.8</v>
      </c>
      <c r="H26" s="318">
        <f t="shared" si="3"/>
        <v>941931.2</v>
      </c>
      <c r="I26" s="347">
        <f t="shared" si="0"/>
        <v>53.95</v>
      </c>
      <c r="J26" s="318">
        <f t="shared" si="4"/>
        <v>981026.8</v>
      </c>
      <c r="K26" s="318">
        <f t="shared" si="1"/>
        <v>39095.600000000093</v>
      </c>
      <c r="L26" s="268"/>
      <c r="M26" s="268"/>
      <c r="N26" s="346"/>
      <c r="O26" s="301"/>
      <c r="P26" s="289"/>
      <c r="Q26" s="268"/>
      <c r="R26" s="268"/>
      <c r="S26" s="268"/>
      <c r="T26" s="268"/>
      <c r="U26" s="268"/>
    </row>
    <row r="27" spans="2:21">
      <c r="B27" s="272">
        <f t="shared" si="2"/>
        <v>14</v>
      </c>
      <c r="C27" s="229" t="s">
        <v>68</v>
      </c>
      <c r="D27" s="199" t="s">
        <v>69</v>
      </c>
      <c r="E27" s="199" t="s">
        <v>70</v>
      </c>
      <c r="F27" s="443">
        <v>27045</v>
      </c>
      <c r="G27" s="275">
        <v>8.65</v>
      </c>
      <c r="H27" s="318">
        <f t="shared" si="3"/>
        <v>233939.25</v>
      </c>
      <c r="I27" s="347">
        <f t="shared" si="0"/>
        <v>9.01</v>
      </c>
      <c r="J27" s="318">
        <f t="shared" si="4"/>
        <v>243675.44999999998</v>
      </c>
      <c r="K27" s="318">
        <f>J27-H27</f>
        <v>9736.1999999999825</v>
      </c>
      <c r="L27" s="343" t="s">
        <v>9</v>
      </c>
      <c r="M27" s="268"/>
      <c r="N27" s="346"/>
      <c r="O27" s="347"/>
      <c r="P27" s="289"/>
      <c r="Q27" s="268"/>
      <c r="R27" s="268"/>
      <c r="S27" s="268"/>
      <c r="T27" s="268"/>
      <c r="U27" s="268"/>
    </row>
    <row r="28" spans="2:21">
      <c r="B28" s="272">
        <f t="shared" si="2"/>
        <v>15</v>
      </c>
      <c r="C28" s="229" t="s">
        <v>68</v>
      </c>
      <c r="D28" s="199" t="s">
        <v>71</v>
      </c>
      <c r="E28" s="199" t="s">
        <v>72</v>
      </c>
      <c r="F28" s="443">
        <v>1409</v>
      </c>
      <c r="G28" s="275">
        <v>22.95</v>
      </c>
      <c r="H28" s="318">
        <f t="shared" si="3"/>
        <v>32336.55</v>
      </c>
      <c r="I28" s="347">
        <f t="shared" si="0"/>
        <v>23.9</v>
      </c>
      <c r="J28" s="318">
        <f t="shared" si="4"/>
        <v>33675.1</v>
      </c>
      <c r="K28" s="318">
        <f>J28-H28</f>
        <v>1338.5499999999993</v>
      </c>
      <c r="L28" s="344">
        <f>'Rate Spread-Margin'!J23</f>
        <v>321109.71261980105</v>
      </c>
      <c r="M28" s="268"/>
      <c r="N28" s="346"/>
      <c r="O28" s="347"/>
      <c r="P28" s="289"/>
      <c r="Q28" s="268"/>
      <c r="R28" s="268"/>
      <c r="S28" s="268"/>
      <c r="T28" s="268"/>
      <c r="U28" s="268"/>
    </row>
    <row r="29" spans="2:21">
      <c r="B29" s="272">
        <f t="shared" si="2"/>
        <v>16</v>
      </c>
      <c r="C29" s="229" t="s">
        <v>68</v>
      </c>
      <c r="D29" s="199" t="s">
        <v>73</v>
      </c>
      <c r="E29" s="199" t="s">
        <v>74</v>
      </c>
      <c r="F29" s="443">
        <v>980</v>
      </c>
      <c r="G29" s="275">
        <v>31.01</v>
      </c>
      <c r="H29" s="318">
        <f t="shared" si="3"/>
        <v>30389.800000000003</v>
      </c>
      <c r="I29" s="347">
        <f t="shared" si="0"/>
        <v>32.299999999999997</v>
      </c>
      <c r="J29" s="318">
        <f t="shared" si="4"/>
        <v>31653.999999999996</v>
      </c>
      <c r="K29" s="318">
        <f>J29-H29</f>
        <v>1264.1999999999935</v>
      </c>
      <c r="L29" s="345" t="s">
        <v>158</v>
      </c>
      <c r="M29" s="268"/>
      <c r="N29" s="346"/>
      <c r="O29" s="347"/>
      <c r="P29" s="289"/>
      <c r="Q29" s="268"/>
      <c r="R29" s="268"/>
      <c r="S29" s="268"/>
      <c r="T29" s="268"/>
      <c r="U29" s="268"/>
    </row>
    <row r="30" spans="2:21">
      <c r="B30" s="272">
        <f t="shared" si="2"/>
        <v>17</v>
      </c>
      <c r="C30" s="229" t="s">
        <v>68</v>
      </c>
      <c r="D30" s="199" t="s">
        <v>75</v>
      </c>
      <c r="E30" s="199" t="s">
        <v>76</v>
      </c>
      <c r="F30" s="443">
        <v>49045</v>
      </c>
      <c r="G30" s="397">
        <v>13.02</v>
      </c>
      <c r="H30" s="318">
        <f t="shared" si="3"/>
        <v>638565.9</v>
      </c>
      <c r="I30" s="347">
        <f t="shared" si="0"/>
        <v>13.56</v>
      </c>
      <c r="J30" s="318">
        <f t="shared" si="4"/>
        <v>665050.20000000007</v>
      </c>
      <c r="K30" s="318">
        <f>J30-H30</f>
        <v>26484.300000000047</v>
      </c>
      <c r="L30" s="349">
        <f>K31-L28</f>
        <v>-109.4626198009355</v>
      </c>
      <c r="M30" s="268"/>
      <c r="N30" s="346"/>
      <c r="O30" s="347"/>
      <c r="P30" s="289"/>
      <c r="Q30" s="268"/>
      <c r="R30" s="268"/>
      <c r="S30" s="268"/>
      <c r="T30" s="268"/>
      <c r="U30" s="268"/>
    </row>
    <row r="31" spans="2:21">
      <c r="B31" s="272">
        <f t="shared" si="2"/>
        <v>18</v>
      </c>
      <c r="E31" s="274" t="s">
        <v>34</v>
      </c>
      <c r="F31" s="151">
        <f>SUM(F14:F30)</f>
        <v>628772</v>
      </c>
      <c r="H31" s="292">
        <f>SUM(H14:H30)</f>
        <v>7788788.9300000006</v>
      </c>
      <c r="I31" s="268"/>
      <c r="J31" s="292">
        <f>SUM(J14:J30)</f>
        <v>8109789.1799999997</v>
      </c>
      <c r="K31" s="292">
        <f>SUM(K14:K30)</f>
        <v>321000.25000000012</v>
      </c>
      <c r="L31" s="270"/>
      <c r="O31" s="302"/>
      <c r="P31" s="270"/>
    </row>
    <row r="32" spans="2:21" s="168" customFormat="1">
      <c r="B32" s="288"/>
      <c r="G32" s="270"/>
      <c r="H32" s="270"/>
      <c r="I32" s="270"/>
      <c r="J32" s="270"/>
      <c r="K32" s="270"/>
    </row>
    <row r="33" spans="2:21" s="168" customFormat="1">
      <c r="B33" s="288"/>
      <c r="C33" s="274"/>
      <c r="D33" s="199"/>
      <c r="E33" s="199"/>
      <c r="F33" s="199"/>
      <c r="G33" s="273"/>
      <c r="H33" s="317"/>
      <c r="I33" s="268"/>
      <c r="J33" s="268"/>
      <c r="K33" s="270"/>
      <c r="L33" s="476">
        <v>4.1463E-2</v>
      </c>
      <c r="M33" s="289"/>
      <c r="N33" s="350"/>
      <c r="O33" s="289"/>
      <c r="P33" s="289"/>
      <c r="Q33" s="289"/>
      <c r="R33" s="289"/>
      <c r="S33" s="289"/>
      <c r="U33" s="289"/>
    </row>
    <row r="34" spans="2:21" s="168" customFormat="1">
      <c r="B34" s="288"/>
      <c r="G34" s="273"/>
      <c r="J34" s="134"/>
      <c r="K34" s="293"/>
    </row>
    <row r="35" spans="2:21">
      <c r="B35" s="272"/>
      <c r="G35" s="273"/>
      <c r="O35" s="303"/>
      <c r="P35" s="289"/>
      <c r="Q35" s="268"/>
      <c r="R35" s="268"/>
      <c r="S35" s="268"/>
    </row>
    <row r="36" spans="2:21">
      <c r="B36" s="272"/>
      <c r="G36" s="273"/>
      <c r="P36" s="289"/>
      <c r="Q36" s="268"/>
      <c r="R36" s="268"/>
      <c r="S36" s="268"/>
    </row>
    <row r="37" spans="2:21">
      <c r="B37" s="272"/>
      <c r="G37" s="273"/>
      <c r="J37" s="268"/>
      <c r="K37" s="268"/>
      <c r="O37" s="288"/>
      <c r="P37" s="271"/>
      <c r="Q37" s="271"/>
      <c r="R37" s="269"/>
      <c r="S37" s="269"/>
    </row>
    <row r="38" spans="2:21">
      <c r="B38" s="272"/>
      <c r="G38" s="273"/>
      <c r="P38" s="168"/>
    </row>
    <row r="39" spans="2:21">
      <c r="B39" s="272"/>
    </row>
    <row r="40" spans="2:21">
      <c r="B40" s="272"/>
    </row>
    <row r="41" spans="2:21">
      <c r="B41" s="272"/>
    </row>
    <row r="42" spans="2:21">
      <c r="B42" s="272"/>
    </row>
    <row r="43" spans="2:21">
      <c r="B43" s="272"/>
    </row>
    <row r="44" spans="2:21">
      <c r="B44" s="272"/>
    </row>
    <row r="45" spans="2:21">
      <c r="B45" s="272"/>
    </row>
    <row r="46" spans="2:21">
      <c r="B46" s="272"/>
    </row>
    <row r="47" spans="2:21">
      <c r="B47" s="272"/>
    </row>
    <row r="48" spans="2:21">
      <c r="B48" s="272"/>
    </row>
    <row r="49" spans="2:2">
      <c r="B49" s="272"/>
    </row>
  </sheetData>
  <phoneticPr fontId="0" type="noConversion"/>
  <printOptions horizontalCentered="1"/>
  <pageMargins left="0.51" right="0.67" top="1" bottom="1" header="0.75" footer="0.5"/>
  <pageSetup scale="96" orientation="landscape" blackAndWhite="1" r:id="rId1"/>
  <headerFooter alignWithMargins="0">
    <oddHeader>&amp;RExhibit No.___(JKP-10)
Page &amp;P of &amp;N</oddHeader>
    <oddFooter>&amp;L&amp;F&amp;A&amp;C&amp;P&amp;R&amp;D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3"/>
  <sheetViews>
    <sheetView topLeftCell="A21" workbookViewId="0">
      <selection activeCell="F19" sqref="F19:F37"/>
    </sheetView>
  </sheetViews>
  <sheetFormatPr defaultRowHeight="12.75"/>
  <cols>
    <col min="1" max="1" width="2.85546875" customWidth="1"/>
    <col min="2" max="2" width="16" customWidth="1"/>
    <col min="3" max="3" width="15" customWidth="1"/>
    <col min="4" max="4" width="15.28515625" customWidth="1"/>
    <col min="5" max="5" width="15.140625" customWidth="1"/>
    <col min="6" max="6" width="11.5703125" customWidth="1"/>
    <col min="7" max="7" width="10.28515625" customWidth="1"/>
    <col min="8" max="8" width="10.140625" customWidth="1"/>
    <col min="9" max="9" width="10.140625" style="36" customWidth="1"/>
  </cols>
  <sheetData>
    <row r="1" spans="2:8">
      <c r="B1" s="566" t="s">
        <v>83</v>
      </c>
      <c r="C1" s="566"/>
      <c r="D1" s="566"/>
      <c r="E1" s="566"/>
      <c r="F1" s="566"/>
    </row>
    <row r="2" spans="2:8">
      <c r="B2" s="566" t="s">
        <v>154</v>
      </c>
      <c r="C2" s="566"/>
      <c r="D2" s="566"/>
      <c r="E2" s="566"/>
      <c r="F2" s="566"/>
    </row>
    <row r="3" spans="2:8">
      <c r="B3" s="566" t="s">
        <v>84</v>
      </c>
      <c r="C3" s="566"/>
      <c r="D3" s="566"/>
      <c r="E3" s="566"/>
      <c r="F3" s="566"/>
    </row>
    <row r="4" spans="2:8">
      <c r="B4" s="566" t="s">
        <v>176</v>
      </c>
      <c r="C4" s="566"/>
      <c r="D4" s="566"/>
      <c r="E4" s="566"/>
      <c r="F4" s="566"/>
    </row>
    <row r="5" spans="2:8">
      <c r="D5" s="78"/>
      <c r="E5" s="78"/>
    </row>
    <row r="6" spans="2:8">
      <c r="D6" s="33" t="s">
        <v>136</v>
      </c>
      <c r="E6" s="33" t="s">
        <v>137</v>
      </c>
    </row>
    <row r="7" spans="2:8">
      <c r="B7" t="s">
        <v>202</v>
      </c>
      <c r="D7" s="389">
        <f>'Rate Design Res'!E12</f>
        <v>8.25</v>
      </c>
      <c r="E7" s="389">
        <f>'Rate Design Res'!H12</f>
        <v>8.25</v>
      </c>
    </row>
    <row r="8" spans="2:8">
      <c r="B8" t="s">
        <v>102</v>
      </c>
      <c r="D8" s="390">
        <f>'Rate Design Res'!E13</f>
        <v>0.30038999999999999</v>
      </c>
      <c r="E8" s="390">
        <f>'Rate Design Res'!H13</f>
        <v>0.35565999999999998</v>
      </c>
    </row>
    <row r="9" spans="2:8">
      <c r="B9" t="s">
        <v>177</v>
      </c>
      <c r="D9" s="392">
        <v>0.84167999999999998</v>
      </c>
      <c r="E9" s="391">
        <f>'Rate Design Res'!H16</f>
        <v>0.84119999999999995</v>
      </c>
    </row>
    <row r="10" spans="2:8">
      <c r="B10" t="s">
        <v>178</v>
      </c>
      <c r="D10" s="401">
        <v>-6.8360000000000004E-2</v>
      </c>
      <c r="E10" s="401">
        <v>-6.8320000000000006E-2</v>
      </c>
    </row>
    <row r="11" spans="2:8">
      <c r="B11" t="s">
        <v>179</v>
      </c>
      <c r="D11" s="401">
        <v>7.92E-3</v>
      </c>
      <c r="E11" s="395">
        <f>D11</f>
        <v>7.92E-3</v>
      </c>
    </row>
    <row r="12" spans="2:8">
      <c r="B12" t="s">
        <v>180</v>
      </c>
      <c r="D12" s="402">
        <v>4.1700000000000001E-3</v>
      </c>
      <c r="E12" s="395">
        <f>D12</f>
        <v>4.1700000000000001E-3</v>
      </c>
    </row>
    <row r="13" spans="2:8">
      <c r="B13" t="s">
        <v>181</v>
      </c>
      <c r="D13" s="366">
        <f>SUM(D8:D12)</f>
        <v>1.0857999999999999</v>
      </c>
      <c r="E13" s="394">
        <f>SUM(E8:E12)</f>
        <v>1.14063</v>
      </c>
    </row>
    <row r="15" spans="2:8">
      <c r="B15" s="565" t="s">
        <v>182</v>
      </c>
      <c r="C15" s="565"/>
      <c r="D15" s="565"/>
      <c r="E15" s="565"/>
      <c r="F15" s="565"/>
      <c r="G15" s="368"/>
      <c r="H15" s="368"/>
    </row>
    <row r="16" spans="2:8">
      <c r="B16" s="78" t="s">
        <v>183</v>
      </c>
      <c r="C16" s="78" t="s">
        <v>117</v>
      </c>
      <c r="D16" s="78" t="s">
        <v>117</v>
      </c>
      <c r="G16" s="19"/>
    </row>
    <row r="17" spans="2:10">
      <c r="B17" s="78" t="s">
        <v>184</v>
      </c>
      <c r="C17" s="78" t="s">
        <v>185</v>
      </c>
      <c r="D17" s="78" t="s">
        <v>185</v>
      </c>
      <c r="E17" s="78" t="s">
        <v>117</v>
      </c>
      <c r="F17" s="78" t="s">
        <v>118</v>
      </c>
      <c r="G17" s="19"/>
      <c r="I17" s="83"/>
    </row>
    <row r="18" spans="2:10">
      <c r="B18" s="33" t="s">
        <v>112</v>
      </c>
      <c r="C18" s="33" t="s">
        <v>136</v>
      </c>
      <c r="D18" s="33" t="s">
        <v>137</v>
      </c>
      <c r="E18" s="77" t="s">
        <v>172</v>
      </c>
      <c r="F18" s="77" t="s">
        <v>172</v>
      </c>
      <c r="G18" s="26"/>
      <c r="I18" s="83"/>
    </row>
    <row r="19" spans="2:10">
      <c r="B19" s="369">
        <v>25</v>
      </c>
      <c r="C19" s="370">
        <f t="shared" ref="C19:D37" si="0">D$7+D$13*$B19</f>
        <v>35.394999999999996</v>
      </c>
      <c r="D19" s="370">
        <f t="shared" si="0"/>
        <v>36.765749999999997</v>
      </c>
      <c r="E19" s="370">
        <f t="shared" ref="E19:E37" si="1">D19-C19</f>
        <v>1.370750000000001</v>
      </c>
      <c r="F19" s="506">
        <f t="shared" ref="F19:F37" si="2">E19/C19</f>
        <v>3.8727221358949036E-2</v>
      </c>
      <c r="G19" s="18"/>
      <c r="J19" s="18"/>
    </row>
    <row r="20" spans="2:10">
      <c r="B20" s="369">
        <v>30</v>
      </c>
      <c r="C20" s="370">
        <f t="shared" si="0"/>
        <v>40.823999999999998</v>
      </c>
      <c r="D20" s="370">
        <f t="shared" si="0"/>
        <v>42.468899999999998</v>
      </c>
      <c r="E20" s="370">
        <f t="shared" si="1"/>
        <v>1.6448999999999998</v>
      </c>
      <c r="F20" s="506">
        <f t="shared" si="2"/>
        <v>4.0292475014697231E-2</v>
      </c>
      <c r="G20" s="18"/>
      <c r="J20" s="25"/>
    </row>
    <row r="21" spans="2:10">
      <c r="B21" s="369">
        <v>35</v>
      </c>
      <c r="C21" s="370">
        <f t="shared" si="0"/>
        <v>46.252999999999993</v>
      </c>
      <c r="D21" s="370">
        <f t="shared" si="0"/>
        <v>48.172049999999999</v>
      </c>
      <c r="E21" s="370">
        <f t="shared" si="1"/>
        <v>1.9190500000000057</v>
      </c>
      <c r="F21" s="506">
        <f t="shared" si="2"/>
        <v>4.1490281711456682E-2</v>
      </c>
      <c r="G21" s="18"/>
      <c r="J21" s="25"/>
    </row>
    <row r="22" spans="2:10">
      <c r="B22" s="369">
        <v>40</v>
      </c>
      <c r="C22" s="370">
        <f t="shared" si="0"/>
        <v>51.681999999999995</v>
      </c>
      <c r="D22" s="370">
        <f t="shared" si="0"/>
        <v>53.8752</v>
      </c>
      <c r="E22" s="370">
        <f t="shared" si="1"/>
        <v>2.1932000000000045</v>
      </c>
      <c r="F22" s="506">
        <f t="shared" si="2"/>
        <v>4.2436438218335294E-2</v>
      </c>
      <c r="G22" s="18"/>
      <c r="J22" s="25"/>
    </row>
    <row r="23" spans="2:10">
      <c r="B23" s="369">
        <v>45</v>
      </c>
      <c r="C23" s="370">
        <f t="shared" si="0"/>
        <v>57.110999999999997</v>
      </c>
      <c r="D23" s="370">
        <f t="shared" si="0"/>
        <v>59.57835</v>
      </c>
      <c r="E23" s="370">
        <f t="shared" si="1"/>
        <v>2.4673500000000033</v>
      </c>
      <c r="F23" s="506">
        <f t="shared" si="2"/>
        <v>4.320271051111E-2</v>
      </c>
    </row>
    <row r="24" spans="2:10">
      <c r="B24" s="369">
        <v>50</v>
      </c>
      <c r="C24" s="370">
        <f t="shared" si="0"/>
        <v>62.539999999999992</v>
      </c>
      <c r="D24" s="370">
        <f t="shared" si="0"/>
        <v>65.281499999999994</v>
      </c>
      <c r="E24" s="370">
        <f t="shared" si="1"/>
        <v>2.741500000000002</v>
      </c>
      <c r="F24" s="506">
        <f t="shared" si="2"/>
        <v>4.3835944995203109E-2</v>
      </c>
    </row>
    <row r="25" spans="2:10">
      <c r="B25" s="369">
        <v>60</v>
      </c>
      <c r="C25" s="370">
        <f t="shared" si="0"/>
        <v>73.397999999999996</v>
      </c>
      <c r="D25" s="370">
        <f t="shared" si="0"/>
        <v>76.687799999999996</v>
      </c>
      <c r="E25" s="370">
        <f t="shared" si="1"/>
        <v>3.2897999999999996</v>
      </c>
      <c r="F25" s="506">
        <f t="shared" si="2"/>
        <v>4.4821384778876809E-2</v>
      </c>
    </row>
    <row r="26" spans="2:10">
      <c r="B26" s="369">
        <v>70</v>
      </c>
      <c r="C26" s="370">
        <f t="shared" si="0"/>
        <v>84.255999999999986</v>
      </c>
      <c r="D26" s="370">
        <f t="shared" si="0"/>
        <v>88.094099999999997</v>
      </c>
      <c r="E26" s="370">
        <f t="shared" si="1"/>
        <v>3.8381000000000114</v>
      </c>
      <c r="F26" s="506">
        <f t="shared" si="2"/>
        <v>4.5552838966957984E-2</v>
      </c>
    </row>
    <row r="27" spans="2:10">
      <c r="B27" s="369">
        <v>80</v>
      </c>
      <c r="C27" s="370">
        <f t="shared" si="0"/>
        <v>95.11399999999999</v>
      </c>
      <c r="D27" s="370">
        <f t="shared" si="0"/>
        <v>99.500399999999999</v>
      </c>
      <c r="E27" s="370">
        <f t="shared" si="1"/>
        <v>4.386400000000009</v>
      </c>
      <c r="F27" s="506">
        <f t="shared" si="2"/>
        <v>4.6117290829951522E-2</v>
      </c>
    </row>
    <row r="28" spans="2:10">
      <c r="B28" s="369">
        <v>90</v>
      </c>
      <c r="C28" s="370">
        <f t="shared" si="0"/>
        <v>105.97199999999999</v>
      </c>
      <c r="D28" s="370">
        <f t="shared" si="0"/>
        <v>110.9067</v>
      </c>
      <c r="E28" s="370">
        <f t="shared" si="1"/>
        <v>4.9347000000000065</v>
      </c>
      <c r="F28" s="506">
        <f t="shared" si="2"/>
        <v>4.6566074057298221E-2</v>
      </c>
    </row>
    <row r="29" spans="2:10">
      <c r="B29" s="369">
        <v>100</v>
      </c>
      <c r="C29" s="370">
        <f t="shared" si="0"/>
        <v>116.82999999999998</v>
      </c>
      <c r="D29" s="370">
        <f t="shared" si="0"/>
        <v>122.313</v>
      </c>
      <c r="E29" s="370">
        <f t="shared" si="1"/>
        <v>5.4830000000000183</v>
      </c>
      <c r="F29" s="506">
        <f t="shared" si="2"/>
        <v>4.693143884276315E-2</v>
      </c>
    </row>
    <row r="30" spans="2:10">
      <c r="B30" s="369">
        <v>150</v>
      </c>
      <c r="C30" s="370">
        <f t="shared" si="0"/>
        <v>171.11999999999998</v>
      </c>
      <c r="D30" s="370">
        <f t="shared" si="0"/>
        <v>179.34450000000001</v>
      </c>
      <c r="E30" s="370">
        <f t="shared" si="1"/>
        <v>8.2245000000000346</v>
      </c>
      <c r="F30" s="506">
        <f t="shared" si="2"/>
        <v>4.8062762973352241E-2</v>
      </c>
    </row>
    <row r="31" spans="2:10">
      <c r="B31" s="369">
        <v>200</v>
      </c>
      <c r="C31" s="370">
        <f t="shared" si="0"/>
        <v>225.40999999999997</v>
      </c>
      <c r="D31" s="370">
        <f t="shared" si="0"/>
        <v>236.376</v>
      </c>
      <c r="E31" s="370">
        <f t="shared" si="1"/>
        <v>10.966000000000037</v>
      </c>
      <c r="F31" s="506">
        <f t="shared" si="2"/>
        <v>4.864912825517962E-2</v>
      </c>
    </row>
    <row r="32" spans="2:10">
      <c r="B32" s="369">
        <v>250</v>
      </c>
      <c r="C32" s="370">
        <f t="shared" si="0"/>
        <v>279.7</v>
      </c>
      <c r="D32" s="370">
        <f t="shared" si="0"/>
        <v>293.40750000000003</v>
      </c>
      <c r="E32" s="370">
        <f t="shared" si="1"/>
        <v>13.707500000000039</v>
      </c>
      <c r="F32" s="506">
        <f t="shared" si="2"/>
        <v>4.9007865570253981E-2</v>
      </c>
    </row>
    <row r="33" spans="2:6">
      <c r="B33" s="369">
        <v>300</v>
      </c>
      <c r="C33" s="370">
        <f t="shared" si="0"/>
        <v>333.98999999999995</v>
      </c>
      <c r="D33" s="370">
        <f t="shared" si="0"/>
        <v>350.43900000000002</v>
      </c>
      <c r="E33" s="370">
        <f t="shared" si="1"/>
        <v>16.449000000000069</v>
      </c>
      <c r="F33" s="506">
        <f t="shared" si="2"/>
        <v>4.9249977544238065E-2</v>
      </c>
    </row>
    <row r="34" spans="2:6">
      <c r="B34" s="369">
        <v>350</v>
      </c>
      <c r="C34" s="370">
        <f t="shared" si="0"/>
        <v>388.28</v>
      </c>
      <c r="D34" s="370">
        <f t="shared" si="0"/>
        <v>407.47050000000002</v>
      </c>
      <c r="E34" s="370">
        <f t="shared" si="1"/>
        <v>19.190500000000043</v>
      </c>
      <c r="F34" s="506">
        <f t="shared" si="2"/>
        <v>4.9424384464819317E-2</v>
      </c>
    </row>
    <row r="35" spans="2:6">
      <c r="B35" s="369">
        <v>400</v>
      </c>
      <c r="C35" s="370">
        <f t="shared" si="0"/>
        <v>442.56999999999994</v>
      </c>
      <c r="D35" s="370">
        <f t="shared" si="0"/>
        <v>464.50200000000001</v>
      </c>
      <c r="E35" s="370">
        <f t="shared" si="1"/>
        <v>21.932000000000073</v>
      </c>
      <c r="F35" s="506">
        <f t="shared" si="2"/>
        <v>4.9556002440292103E-2</v>
      </c>
    </row>
    <row r="36" spans="2:6">
      <c r="B36" s="369">
        <v>450</v>
      </c>
      <c r="C36" s="370">
        <f t="shared" si="0"/>
        <v>496.85999999999996</v>
      </c>
      <c r="D36" s="370">
        <f t="shared" si="0"/>
        <v>521.5335</v>
      </c>
      <c r="E36" s="370">
        <f t="shared" si="1"/>
        <v>24.673500000000047</v>
      </c>
      <c r="F36" s="506">
        <f t="shared" si="2"/>
        <v>4.9658857625890694E-2</v>
      </c>
    </row>
    <row r="37" spans="2:6">
      <c r="B37" s="369">
        <v>500</v>
      </c>
      <c r="C37" s="370">
        <f t="shared" si="0"/>
        <v>551.15</v>
      </c>
      <c r="D37" s="370">
        <f t="shared" si="0"/>
        <v>578.56500000000005</v>
      </c>
      <c r="E37" s="370">
        <f t="shared" si="1"/>
        <v>27.415000000000077</v>
      </c>
      <c r="F37" s="506">
        <f t="shared" si="2"/>
        <v>4.9741449696090137E-2</v>
      </c>
    </row>
    <row r="38" spans="2:6">
      <c r="B38" s="369"/>
      <c r="C38" s="370"/>
      <c r="D38" s="370"/>
    </row>
    <row r="39" spans="2:6">
      <c r="B39" s="369"/>
      <c r="C39" s="370"/>
      <c r="D39" s="370"/>
    </row>
    <row r="40" spans="2:6">
      <c r="B40" s="372"/>
      <c r="C40" s="372"/>
      <c r="D40" s="372"/>
      <c r="E40" s="372"/>
      <c r="F40" s="372"/>
    </row>
    <row r="41" spans="2:6">
      <c r="B41" s="373"/>
      <c r="C41" s="18"/>
      <c r="D41" s="374"/>
      <c r="E41" s="18"/>
      <c r="F41" s="18"/>
    </row>
    <row r="42" spans="2:6">
      <c r="B42" s="373"/>
      <c r="C42" s="18"/>
      <c r="D42" s="374"/>
      <c r="E42" s="18"/>
      <c r="F42" s="18"/>
    </row>
    <row r="43" spans="2:6">
      <c r="B43" s="369"/>
      <c r="C43" s="370"/>
      <c r="D43" s="370"/>
    </row>
  </sheetData>
  <mergeCells count="5">
    <mergeCell ref="B15:F15"/>
    <mergeCell ref="B1:F1"/>
    <mergeCell ref="B2:F2"/>
    <mergeCell ref="B3:F3"/>
    <mergeCell ref="B4:F4"/>
  </mergeCells>
  <phoneticPr fontId="17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&amp;L&amp;F &amp;A&amp;C&amp;D&amp;R&amp;P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1"/>
  <sheetViews>
    <sheetView topLeftCell="A12" workbookViewId="0">
      <selection activeCell="K10" sqref="K10"/>
    </sheetView>
  </sheetViews>
  <sheetFormatPr defaultRowHeight="12.75"/>
  <cols>
    <col min="1" max="1" width="3.5703125" customWidth="1"/>
    <col min="2" max="2" width="14.28515625" customWidth="1"/>
    <col min="3" max="3" width="14.5703125" customWidth="1"/>
    <col min="4" max="4" width="14.28515625" customWidth="1"/>
    <col min="5" max="5" width="14.140625" customWidth="1"/>
    <col min="6" max="6" width="9.85546875" customWidth="1"/>
    <col min="7" max="7" width="10.140625" customWidth="1"/>
  </cols>
  <sheetData>
    <row r="1" spans="2:7">
      <c r="B1" s="566" t="s">
        <v>83</v>
      </c>
      <c r="C1" s="566"/>
      <c r="D1" s="566"/>
      <c r="E1" s="566"/>
      <c r="F1" s="566"/>
      <c r="G1" s="566"/>
    </row>
    <row r="2" spans="2:7">
      <c r="B2" s="566" t="s">
        <v>221</v>
      </c>
      <c r="C2" s="566"/>
      <c r="D2" s="566"/>
      <c r="E2" s="566"/>
      <c r="F2" s="566"/>
      <c r="G2" s="566"/>
    </row>
    <row r="3" spans="2:7">
      <c r="B3" s="566" t="s">
        <v>84</v>
      </c>
      <c r="C3" s="566"/>
      <c r="D3" s="566"/>
      <c r="E3" s="566"/>
      <c r="F3" s="566"/>
      <c r="G3" s="566"/>
    </row>
    <row r="4" spans="2:7">
      <c r="B4" s="566" t="s">
        <v>176</v>
      </c>
      <c r="C4" s="566"/>
      <c r="D4" s="566"/>
      <c r="E4" s="566"/>
      <c r="F4" s="566"/>
      <c r="G4" s="566"/>
    </row>
    <row r="5" spans="2:7">
      <c r="D5" s="78"/>
      <c r="E5" s="78"/>
    </row>
    <row r="6" spans="2:7">
      <c r="D6" s="33" t="s">
        <v>136</v>
      </c>
      <c r="E6" s="33" t="s">
        <v>137</v>
      </c>
    </row>
    <row r="7" spans="2:7">
      <c r="B7" t="s">
        <v>202</v>
      </c>
      <c r="D7" s="389">
        <f>'Rate Design Res'!E12</f>
        <v>8.25</v>
      </c>
      <c r="E7" s="389">
        <f>'Rate Design Res'!H12</f>
        <v>8.25</v>
      </c>
    </row>
    <row r="8" spans="2:7">
      <c r="B8" t="s">
        <v>102</v>
      </c>
      <c r="D8" s="390">
        <f>'Rate Design Res'!E13</f>
        <v>0.30038999999999999</v>
      </c>
      <c r="E8" s="390">
        <f>'Rate Design Res'!H13</f>
        <v>0.35565999999999998</v>
      </c>
    </row>
    <row r="9" spans="2:7">
      <c r="B9" t="s">
        <v>177</v>
      </c>
      <c r="D9" s="392">
        <v>0.84167999999999998</v>
      </c>
      <c r="E9" s="391">
        <f>'Rate Design Res'!H16</f>
        <v>0.84119999999999995</v>
      </c>
    </row>
    <row r="10" spans="2:7">
      <c r="B10" t="s">
        <v>178</v>
      </c>
      <c r="D10" s="401">
        <v>-6.8360000000000004E-2</v>
      </c>
      <c r="E10" s="401">
        <v>-6.8320000000000006E-2</v>
      </c>
    </row>
    <row r="11" spans="2:7">
      <c r="B11" t="s">
        <v>179</v>
      </c>
      <c r="D11" s="401">
        <v>7.92E-3</v>
      </c>
      <c r="E11" s="367">
        <f>D11</f>
        <v>7.92E-3</v>
      </c>
    </row>
    <row r="12" spans="2:7">
      <c r="B12" t="s">
        <v>180</v>
      </c>
      <c r="D12" s="401">
        <v>4.1700000000000001E-3</v>
      </c>
      <c r="E12" s="367">
        <f>D12</f>
        <v>4.1700000000000001E-3</v>
      </c>
    </row>
    <row r="13" spans="2:7">
      <c r="B13" t="s">
        <v>181</v>
      </c>
      <c r="D13" s="394">
        <f>SUM(D8:D12)</f>
        <v>1.0857999999999999</v>
      </c>
      <c r="E13" s="394">
        <f>SUM(E8:E12)</f>
        <v>1.14063</v>
      </c>
    </row>
    <row r="15" spans="2:7">
      <c r="B15" s="567" t="s">
        <v>155</v>
      </c>
      <c r="C15" s="567"/>
      <c r="D15" s="567"/>
      <c r="E15" s="567"/>
      <c r="F15" s="567"/>
      <c r="G15" s="567"/>
    </row>
    <row r="16" spans="2:7">
      <c r="C16" s="375" t="s">
        <v>186</v>
      </c>
      <c r="D16" s="375" t="s">
        <v>187</v>
      </c>
      <c r="E16" s="78" t="s">
        <v>98</v>
      </c>
      <c r="F16" s="78" t="s">
        <v>117</v>
      </c>
      <c r="G16" s="78" t="s">
        <v>118</v>
      </c>
    </row>
    <row r="17" spans="2:7">
      <c r="B17" s="33" t="s">
        <v>188</v>
      </c>
      <c r="C17" s="376" t="s">
        <v>189</v>
      </c>
      <c r="D17" s="376" t="s">
        <v>136</v>
      </c>
      <c r="E17" s="33" t="s">
        <v>137</v>
      </c>
      <c r="F17" s="33" t="s">
        <v>172</v>
      </c>
      <c r="G17" s="33" t="s">
        <v>172</v>
      </c>
    </row>
    <row r="18" spans="2:7">
      <c r="B18" s="377">
        <v>38991</v>
      </c>
      <c r="C18" s="474">
        <v>56.27314861537991</v>
      </c>
      <c r="D18" s="370">
        <f t="shared" ref="D18:E29" si="0">D$7+$C18*D$13</f>
        <v>69.3513847665795</v>
      </c>
      <c r="E18" s="370">
        <f t="shared" si="0"/>
        <v>72.436841505160785</v>
      </c>
      <c r="F18" s="370">
        <f t="shared" ref="F18:F30" si="1">E18-D18</f>
        <v>3.0854567385812857</v>
      </c>
      <c r="G18" s="501">
        <f t="shared" ref="G18:G30" si="2">F18/D18</f>
        <v>4.4490196539927925E-2</v>
      </c>
    </row>
    <row r="19" spans="2:7">
      <c r="B19" s="377">
        <v>39022</v>
      </c>
      <c r="C19" s="474">
        <v>99.356430817969283</v>
      </c>
      <c r="D19" s="370">
        <f t="shared" si="0"/>
        <v>116.13121258215104</v>
      </c>
      <c r="E19" s="370">
        <f t="shared" si="0"/>
        <v>121.57892568390031</v>
      </c>
      <c r="F19" s="370">
        <f t="shared" si="1"/>
        <v>5.4477131017492724</v>
      </c>
      <c r="G19" s="501">
        <f t="shared" si="2"/>
        <v>4.6909982085096794E-2</v>
      </c>
    </row>
    <row r="20" spans="2:7">
      <c r="B20" s="377">
        <v>39052</v>
      </c>
      <c r="C20" s="474">
        <v>130.86673200528787</v>
      </c>
      <c r="D20" s="370">
        <f t="shared" si="0"/>
        <v>150.34509761134154</v>
      </c>
      <c r="E20" s="370">
        <f t="shared" si="0"/>
        <v>157.52052052719151</v>
      </c>
      <c r="F20" s="370">
        <f t="shared" si="1"/>
        <v>7.1754229158499641</v>
      </c>
      <c r="G20" s="501">
        <f t="shared" si="2"/>
        <v>4.7726351107232071E-2</v>
      </c>
    </row>
    <row r="21" spans="2:7">
      <c r="B21" s="377">
        <v>39083</v>
      </c>
      <c r="C21" s="474">
        <v>123.45548691887993</v>
      </c>
      <c r="D21" s="370">
        <f t="shared" si="0"/>
        <v>142.29796769651981</v>
      </c>
      <c r="E21" s="370">
        <f t="shared" si="0"/>
        <v>149.067032044282</v>
      </c>
      <c r="F21" s="370">
        <f t="shared" si="1"/>
        <v>6.7690643477621961</v>
      </c>
      <c r="G21" s="501">
        <f t="shared" si="2"/>
        <v>4.7569648796380863E-2</v>
      </c>
    </row>
    <row r="22" spans="2:7">
      <c r="B22" s="377">
        <v>39114</v>
      </c>
      <c r="C22" s="474">
        <v>102.58212119472088</v>
      </c>
      <c r="D22" s="370">
        <f t="shared" si="0"/>
        <v>119.63366719322792</v>
      </c>
      <c r="E22" s="370">
        <f t="shared" si="0"/>
        <v>125.25824489833448</v>
      </c>
      <c r="F22" s="370">
        <f t="shared" si="1"/>
        <v>5.6245777051065602</v>
      </c>
      <c r="G22" s="501">
        <f t="shared" si="2"/>
        <v>4.7015007038294226E-2</v>
      </c>
    </row>
    <row r="23" spans="2:7">
      <c r="B23" s="377">
        <v>39142</v>
      </c>
      <c r="C23" s="474">
        <v>92.544425875425347</v>
      </c>
      <c r="D23" s="370">
        <f t="shared" si="0"/>
        <v>108.73473761553683</v>
      </c>
      <c r="E23" s="370">
        <f t="shared" si="0"/>
        <v>113.80894848628641</v>
      </c>
      <c r="F23" s="370">
        <f t="shared" si="1"/>
        <v>5.0742108707495817</v>
      </c>
      <c r="G23" s="501">
        <f t="shared" si="2"/>
        <v>4.6665959582216719E-2</v>
      </c>
    </row>
    <row r="24" spans="2:7">
      <c r="B24" s="377">
        <v>39173</v>
      </c>
      <c r="C24" s="474">
        <v>63.180596327374879</v>
      </c>
      <c r="D24" s="370">
        <f t="shared" si="0"/>
        <v>76.851491492263634</v>
      </c>
      <c r="E24" s="370">
        <f t="shared" si="0"/>
        <v>80.315683588893606</v>
      </c>
      <c r="F24" s="370">
        <f t="shared" si="1"/>
        <v>3.4641920966299722</v>
      </c>
      <c r="G24" s="501">
        <f t="shared" si="2"/>
        <v>4.5076445874556642E-2</v>
      </c>
    </row>
    <row r="25" spans="2:7">
      <c r="B25" s="377">
        <v>39203</v>
      </c>
      <c r="C25" s="474">
        <v>42.773839134527762</v>
      </c>
      <c r="D25" s="370">
        <f t="shared" si="0"/>
        <v>54.693834532270238</v>
      </c>
      <c r="E25" s="370">
        <f t="shared" si="0"/>
        <v>57.039124132016404</v>
      </c>
      <c r="F25" s="370">
        <f t="shared" si="1"/>
        <v>2.3452895997461667</v>
      </c>
      <c r="G25" s="501">
        <f t="shared" si="2"/>
        <v>4.2880328647690778E-2</v>
      </c>
    </row>
    <row r="26" spans="2:7">
      <c r="B26" s="377">
        <v>39234</v>
      </c>
      <c r="C26" s="474">
        <v>25.989961708837001</v>
      </c>
      <c r="D26" s="370">
        <f t="shared" si="0"/>
        <v>36.469900423455215</v>
      </c>
      <c r="E26" s="370">
        <f t="shared" si="0"/>
        <v>37.894930023950749</v>
      </c>
      <c r="F26" s="370">
        <f t="shared" si="1"/>
        <v>1.4250296004955345</v>
      </c>
      <c r="G26" s="501">
        <f t="shared" si="2"/>
        <v>3.9074129184598551E-2</v>
      </c>
    </row>
    <row r="27" spans="2:7">
      <c r="B27" s="377">
        <v>39264</v>
      </c>
      <c r="C27" s="474">
        <v>19.687056649839981</v>
      </c>
      <c r="D27" s="370">
        <f t="shared" si="0"/>
        <v>29.62620611039625</v>
      </c>
      <c r="E27" s="370">
        <f t="shared" si="0"/>
        <v>30.705647426506978</v>
      </c>
      <c r="F27" s="370">
        <f t="shared" si="1"/>
        <v>1.0794413161107279</v>
      </c>
      <c r="G27" s="501">
        <f t="shared" si="2"/>
        <v>3.6435354297084194E-2</v>
      </c>
    </row>
    <row r="28" spans="2:7">
      <c r="B28" s="377">
        <v>39295</v>
      </c>
      <c r="C28" s="474">
        <v>19.819766588922853</v>
      </c>
      <c r="D28" s="370">
        <f t="shared" si="0"/>
        <v>29.770302562252432</v>
      </c>
      <c r="E28" s="370">
        <f t="shared" si="0"/>
        <v>30.857020364323073</v>
      </c>
      <c r="F28" s="370">
        <f t="shared" si="1"/>
        <v>1.0867178020706412</v>
      </c>
      <c r="G28" s="501">
        <f t="shared" si="2"/>
        <v>3.6503418122748821E-2</v>
      </c>
    </row>
    <row r="29" spans="2:7">
      <c r="B29" s="377">
        <v>39326</v>
      </c>
      <c r="C29" s="475">
        <v>29.550905809012068</v>
      </c>
      <c r="D29" s="379">
        <f t="shared" si="0"/>
        <v>40.336373527425302</v>
      </c>
      <c r="E29" s="379">
        <f t="shared" si="0"/>
        <v>41.956649692933439</v>
      </c>
      <c r="F29" s="379">
        <f t="shared" si="1"/>
        <v>1.6202761655081375</v>
      </c>
      <c r="G29" s="502">
        <f t="shared" si="2"/>
        <v>4.0169108519547192E-2</v>
      </c>
    </row>
    <row r="30" spans="2:7">
      <c r="B30" s="36" t="s">
        <v>190</v>
      </c>
      <c r="C30" s="378">
        <f>SUM(C18:C29)</f>
        <v>806.08047164617778</v>
      </c>
      <c r="D30" s="370">
        <f>SUM(D18:D29)</f>
        <v>974.24217611341965</v>
      </c>
      <c r="E30" s="370">
        <f>SUM(E18:E29)</f>
        <v>1018.4395683737797</v>
      </c>
      <c r="F30" s="370">
        <f t="shared" si="1"/>
        <v>44.197392260360061</v>
      </c>
      <c r="G30" s="501">
        <f t="shared" si="2"/>
        <v>4.5365919628606463E-2</v>
      </c>
    </row>
    <row r="31" spans="2:7">
      <c r="D31" s="18"/>
    </row>
  </sheetData>
  <mergeCells count="5">
    <mergeCell ref="B15:G15"/>
    <mergeCell ref="B1:G1"/>
    <mergeCell ref="B2:G2"/>
    <mergeCell ref="B3:G3"/>
    <mergeCell ref="B4:G4"/>
  </mergeCells>
  <phoneticPr fontId="17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&amp;L&amp;F 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8"/>
  <sheetViews>
    <sheetView topLeftCell="A16" workbookViewId="0">
      <selection activeCell="I11" sqref="I11"/>
    </sheetView>
  </sheetViews>
  <sheetFormatPr defaultRowHeight="12.75"/>
  <cols>
    <col min="1" max="1" width="3.5703125" customWidth="1"/>
    <col min="2" max="3" width="14.7109375" customWidth="1"/>
    <col min="4" max="4" width="15.28515625" customWidth="1"/>
    <col min="5" max="5" width="14.85546875" customWidth="1"/>
    <col min="6" max="6" width="10.7109375" customWidth="1"/>
    <col min="7" max="7" width="10.28515625" customWidth="1"/>
    <col min="8" max="8" width="16.42578125" customWidth="1"/>
    <col min="9" max="9" width="16.7109375" customWidth="1"/>
  </cols>
  <sheetData>
    <row r="1" spans="2:8">
      <c r="B1" s="566" t="s">
        <v>83</v>
      </c>
      <c r="C1" s="566"/>
      <c r="D1" s="566"/>
      <c r="E1" s="566"/>
      <c r="F1" s="566"/>
    </row>
    <row r="2" spans="2:8">
      <c r="B2" s="566" t="s">
        <v>154</v>
      </c>
      <c r="C2" s="566"/>
      <c r="D2" s="566"/>
      <c r="E2" s="566"/>
      <c r="F2" s="566"/>
    </row>
    <row r="3" spans="2:8">
      <c r="B3" s="566" t="s">
        <v>105</v>
      </c>
      <c r="C3" s="566"/>
      <c r="D3" s="566"/>
      <c r="E3" s="566"/>
      <c r="F3" s="566"/>
    </row>
    <row r="4" spans="2:8">
      <c r="B4" s="566" t="s">
        <v>176</v>
      </c>
      <c r="C4" s="566"/>
      <c r="D4" s="566"/>
      <c r="E4" s="566"/>
      <c r="F4" s="566"/>
    </row>
    <row r="5" spans="2:8">
      <c r="D5" s="78"/>
      <c r="E5" s="78"/>
    </row>
    <row r="6" spans="2:8">
      <c r="D6" s="33" t="s">
        <v>136</v>
      </c>
      <c r="E6" s="33" t="s">
        <v>137</v>
      </c>
    </row>
    <row r="7" spans="2:8">
      <c r="B7" t="s">
        <v>202</v>
      </c>
      <c r="D7" s="389">
        <f>'Rate Design C&amp;I'!E12</f>
        <v>17.5</v>
      </c>
      <c r="E7" s="389">
        <f>'Rate Design C&amp;I'!H12</f>
        <v>17.5</v>
      </c>
    </row>
    <row r="8" spans="2:8">
      <c r="B8" t="s">
        <v>102</v>
      </c>
      <c r="D8" s="390">
        <f>'Rate Design C&amp;I'!E13</f>
        <v>0.26461000000000001</v>
      </c>
      <c r="E8" s="390">
        <f>'Rate Design C&amp;I'!H13</f>
        <v>0.32499</v>
      </c>
    </row>
    <row r="9" spans="2:8">
      <c r="B9" t="s">
        <v>177</v>
      </c>
      <c r="D9" s="392">
        <v>0.8367</v>
      </c>
      <c r="E9" s="391">
        <f>'Rate Design C&amp;I'!H16</f>
        <v>0.83621000000000001</v>
      </c>
    </row>
    <row r="10" spans="2:8">
      <c r="B10" t="s">
        <v>178</v>
      </c>
      <c r="D10" s="392">
        <v>-0.69120000000000004</v>
      </c>
      <c r="E10" s="392">
        <v>-0.69079999999999997</v>
      </c>
    </row>
    <row r="11" spans="2:8">
      <c r="B11" t="s">
        <v>179</v>
      </c>
      <c r="D11" s="392">
        <v>7.92E-3</v>
      </c>
      <c r="E11" s="367">
        <f>D11</f>
        <v>7.92E-3</v>
      </c>
    </row>
    <row r="12" spans="2:8">
      <c r="B12" t="s">
        <v>180</v>
      </c>
      <c r="D12" s="393">
        <v>3.15E-3</v>
      </c>
      <c r="E12" s="367">
        <f>D12</f>
        <v>3.15E-3</v>
      </c>
    </row>
    <row r="13" spans="2:8">
      <c r="B13" t="s">
        <v>181</v>
      </c>
      <c r="D13" s="366">
        <f>SUM(D8:D12)</f>
        <v>0.42117999999999994</v>
      </c>
      <c r="E13" s="394">
        <f>SUM(E8:E12)</f>
        <v>0.48147000000000001</v>
      </c>
    </row>
    <row r="15" spans="2:8">
      <c r="B15" s="565" t="s">
        <v>182</v>
      </c>
      <c r="C15" s="565"/>
      <c r="D15" s="565"/>
      <c r="E15" s="565"/>
      <c r="F15" s="565"/>
      <c r="G15" s="368"/>
      <c r="H15" s="368"/>
    </row>
    <row r="16" spans="2:8">
      <c r="B16" s="78" t="s">
        <v>183</v>
      </c>
      <c r="C16" s="78" t="s">
        <v>117</v>
      </c>
      <c r="D16" s="78" t="s">
        <v>117</v>
      </c>
      <c r="H16" s="19"/>
    </row>
    <row r="17" spans="2:8">
      <c r="B17" s="78" t="s">
        <v>184</v>
      </c>
      <c r="C17" s="78" t="s">
        <v>185</v>
      </c>
      <c r="D17" s="78" t="s">
        <v>185</v>
      </c>
      <c r="E17" s="78" t="s">
        <v>117</v>
      </c>
      <c r="F17" s="78" t="s">
        <v>118</v>
      </c>
      <c r="H17" s="19"/>
    </row>
    <row r="18" spans="2:8">
      <c r="B18" s="33" t="s">
        <v>112</v>
      </c>
      <c r="C18" s="33" t="s">
        <v>136</v>
      </c>
      <c r="D18" s="33" t="s">
        <v>137</v>
      </c>
      <c r="E18" s="77" t="s">
        <v>172</v>
      </c>
      <c r="F18" s="77" t="s">
        <v>172</v>
      </c>
      <c r="H18" s="26"/>
    </row>
    <row r="19" spans="2:8">
      <c r="B19" s="369">
        <v>100</v>
      </c>
      <c r="C19" s="370">
        <f t="shared" ref="C19:D34" si="0">D$7+D$13*$B19</f>
        <v>59.617999999999995</v>
      </c>
      <c r="D19" s="370">
        <f t="shared" si="0"/>
        <v>65.646999999999991</v>
      </c>
      <c r="E19" s="370">
        <f t="shared" ref="E19:E34" si="1">D19-C19</f>
        <v>6.0289999999999964</v>
      </c>
      <c r="F19" s="371">
        <f t="shared" ref="F19:F34" si="2">E19/C19</f>
        <v>0.101127176356134</v>
      </c>
    </row>
    <row r="20" spans="2:8">
      <c r="B20" s="369">
        <v>150</v>
      </c>
      <c r="C20" s="370">
        <f t="shared" si="0"/>
        <v>80.676999999999992</v>
      </c>
      <c r="D20" s="370">
        <f t="shared" si="0"/>
        <v>89.720500000000001</v>
      </c>
      <c r="E20" s="370">
        <f t="shared" si="1"/>
        <v>9.0435000000000088</v>
      </c>
      <c r="F20" s="371">
        <f t="shared" si="2"/>
        <v>0.11209514483681854</v>
      </c>
    </row>
    <row r="21" spans="2:8">
      <c r="B21" s="369">
        <v>200</v>
      </c>
      <c r="C21" s="370">
        <f t="shared" si="0"/>
        <v>101.73599999999999</v>
      </c>
      <c r="D21" s="370">
        <f t="shared" si="0"/>
        <v>113.794</v>
      </c>
      <c r="E21" s="370">
        <f t="shared" si="1"/>
        <v>12.058000000000007</v>
      </c>
      <c r="F21" s="371">
        <f t="shared" si="2"/>
        <v>0.11852245026342699</v>
      </c>
    </row>
    <row r="22" spans="2:8">
      <c r="B22" s="369">
        <v>250</v>
      </c>
      <c r="C22" s="370">
        <f t="shared" si="0"/>
        <v>122.79499999999999</v>
      </c>
      <c r="D22" s="370">
        <f t="shared" si="0"/>
        <v>137.86750000000001</v>
      </c>
      <c r="E22" s="370">
        <f t="shared" si="1"/>
        <v>15.072500000000019</v>
      </c>
      <c r="F22" s="371">
        <f t="shared" si="2"/>
        <v>0.12274522578280891</v>
      </c>
    </row>
    <row r="23" spans="2:8">
      <c r="B23" s="369">
        <v>300</v>
      </c>
      <c r="C23" s="370">
        <f t="shared" si="0"/>
        <v>143.85399999999998</v>
      </c>
      <c r="D23" s="370">
        <f t="shared" si="0"/>
        <v>161.941</v>
      </c>
      <c r="E23" s="370">
        <f t="shared" si="1"/>
        <v>18.087000000000018</v>
      </c>
      <c r="F23" s="371">
        <f t="shared" si="2"/>
        <v>0.12573164458409233</v>
      </c>
    </row>
    <row r="24" spans="2:8">
      <c r="B24" s="369">
        <v>350</v>
      </c>
      <c r="C24" s="370">
        <f t="shared" si="0"/>
        <v>164.91299999999998</v>
      </c>
      <c r="D24" s="370">
        <f t="shared" si="0"/>
        <v>186.0145</v>
      </c>
      <c r="E24" s="370">
        <f t="shared" si="1"/>
        <v>21.101500000000016</v>
      </c>
      <c r="F24" s="371">
        <f t="shared" si="2"/>
        <v>0.12795534615221371</v>
      </c>
    </row>
    <row r="25" spans="2:8">
      <c r="B25" s="369">
        <v>400</v>
      </c>
      <c r="C25" s="370">
        <f t="shared" si="0"/>
        <v>185.97199999999998</v>
      </c>
      <c r="D25" s="370">
        <f t="shared" si="0"/>
        <v>210.08799999999999</v>
      </c>
      <c r="E25" s="370">
        <f t="shared" si="1"/>
        <v>24.116000000000014</v>
      </c>
      <c r="F25" s="371">
        <f t="shared" si="2"/>
        <v>0.1296754350117223</v>
      </c>
    </row>
    <row r="26" spans="2:8">
      <c r="B26" s="369">
        <v>450</v>
      </c>
      <c r="C26" s="370">
        <f t="shared" si="0"/>
        <v>207.03099999999998</v>
      </c>
      <c r="D26" s="370">
        <f t="shared" si="0"/>
        <v>234.16150000000002</v>
      </c>
      <c r="E26" s="370">
        <f t="shared" si="1"/>
        <v>27.13050000000004</v>
      </c>
      <c r="F26" s="371">
        <f t="shared" si="2"/>
        <v>0.13104559220599835</v>
      </c>
    </row>
    <row r="27" spans="2:8">
      <c r="B27" s="369">
        <v>500</v>
      </c>
      <c r="C27" s="370">
        <f t="shared" si="0"/>
        <v>228.08999999999997</v>
      </c>
      <c r="D27" s="370">
        <f t="shared" si="0"/>
        <v>258.23500000000001</v>
      </c>
      <c r="E27" s="370">
        <f t="shared" si="1"/>
        <v>30.145000000000039</v>
      </c>
      <c r="F27" s="371">
        <f t="shared" si="2"/>
        <v>0.13216274277697418</v>
      </c>
    </row>
    <row r="28" spans="2:8">
      <c r="B28" s="369">
        <v>600</v>
      </c>
      <c r="C28" s="370">
        <f t="shared" si="0"/>
        <v>270.20799999999997</v>
      </c>
      <c r="D28" s="370">
        <f t="shared" si="0"/>
        <v>306.38200000000001</v>
      </c>
      <c r="E28" s="370">
        <f t="shared" si="1"/>
        <v>36.174000000000035</v>
      </c>
      <c r="F28" s="371">
        <f t="shared" si="2"/>
        <v>0.1338746447181432</v>
      </c>
    </row>
    <row r="29" spans="2:8">
      <c r="B29" s="369">
        <v>700</v>
      </c>
      <c r="C29" s="370">
        <f t="shared" si="0"/>
        <v>312.32599999999996</v>
      </c>
      <c r="D29" s="370">
        <f t="shared" si="0"/>
        <v>354.529</v>
      </c>
      <c r="E29" s="370">
        <f t="shared" si="1"/>
        <v>42.203000000000031</v>
      </c>
      <c r="F29" s="371">
        <f t="shared" si="2"/>
        <v>0.13512483750952542</v>
      </c>
    </row>
    <row r="30" spans="2:8">
      <c r="B30" s="369">
        <v>800</v>
      </c>
      <c r="C30" s="370">
        <f t="shared" si="0"/>
        <v>354.44399999999996</v>
      </c>
      <c r="D30" s="370">
        <f t="shared" si="0"/>
        <v>402.67599999999999</v>
      </c>
      <c r="E30" s="370">
        <f t="shared" si="1"/>
        <v>48.232000000000028</v>
      </c>
      <c r="F30" s="371">
        <f t="shared" si="2"/>
        <v>0.13607791357732119</v>
      </c>
    </row>
    <row r="31" spans="2:8">
      <c r="B31" s="369">
        <v>900</v>
      </c>
      <c r="C31" s="370">
        <f t="shared" si="0"/>
        <v>396.56199999999995</v>
      </c>
      <c r="D31" s="370">
        <f t="shared" si="0"/>
        <v>450.82300000000004</v>
      </c>
      <c r="E31" s="370">
        <f t="shared" si="1"/>
        <v>54.261000000000081</v>
      </c>
      <c r="F31" s="371">
        <f t="shared" si="2"/>
        <v>0.13682854131258185</v>
      </c>
    </row>
    <row r="32" spans="2:8">
      <c r="B32" s="369">
        <v>1000</v>
      </c>
      <c r="C32" s="370">
        <f t="shared" si="0"/>
        <v>438.67999999999995</v>
      </c>
      <c r="D32" s="370">
        <f t="shared" si="0"/>
        <v>498.97</v>
      </c>
      <c r="E32" s="370">
        <f t="shared" si="1"/>
        <v>60.290000000000077</v>
      </c>
      <c r="F32" s="371">
        <f t="shared" si="2"/>
        <v>0.13743503236983698</v>
      </c>
    </row>
    <row r="33" spans="2:6">
      <c r="B33" s="369">
        <v>2000</v>
      </c>
      <c r="C33" s="370">
        <f t="shared" si="0"/>
        <v>859.8599999999999</v>
      </c>
      <c r="D33" s="370">
        <f t="shared" si="0"/>
        <v>980.44</v>
      </c>
      <c r="E33" s="370">
        <f t="shared" si="1"/>
        <v>120.58000000000015</v>
      </c>
      <c r="F33" s="371">
        <f t="shared" si="2"/>
        <v>0.14023213081199284</v>
      </c>
    </row>
    <row r="34" spans="2:6">
      <c r="B34" s="369">
        <v>3000</v>
      </c>
      <c r="C34" s="370">
        <f t="shared" si="0"/>
        <v>1281.0399999999997</v>
      </c>
      <c r="D34" s="370">
        <f t="shared" si="0"/>
        <v>1461.91</v>
      </c>
      <c r="E34" s="370">
        <f t="shared" si="1"/>
        <v>180.87000000000035</v>
      </c>
      <c r="F34" s="371">
        <f t="shared" si="2"/>
        <v>0.14118997064884811</v>
      </c>
    </row>
    <row r="35" spans="2:6">
      <c r="B35" s="369"/>
      <c r="C35" s="370"/>
      <c r="D35" s="370"/>
      <c r="E35" s="370"/>
      <c r="F35" s="371"/>
    </row>
    <row r="36" spans="2:6">
      <c r="B36" s="369"/>
      <c r="C36" s="370"/>
      <c r="D36" s="370"/>
      <c r="E36" s="370"/>
      <c r="F36" s="371"/>
    </row>
    <row r="37" spans="2:6">
      <c r="B37" s="369"/>
      <c r="C37" s="370"/>
      <c r="D37" s="370"/>
      <c r="E37" s="370"/>
      <c r="F37" s="371"/>
    </row>
    <row r="38" spans="2:6">
      <c r="B38" s="369"/>
      <c r="C38" s="370"/>
      <c r="D38" s="370"/>
      <c r="E38" s="370"/>
      <c r="F38" s="371"/>
    </row>
  </sheetData>
  <mergeCells count="5">
    <mergeCell ref="B15:F15"/>
    <mergeCell ref="B1:F1"/>
    <mergeCell ref="B2:F2"/>
    <mergeCell ref="B3:F3"/>
    <mergeCell ref="B4:F4"/>
  </mergeCells>
  <phoneticPr fontId="17" type="noConversion"/>
  <printOptions horizontalCentered="1"/>
  <pageMargins left="0.75" right="0.75" top="1" bottom="1" header="0.5" footer="0.5"/>
  <pageSetup orientation="portrait" blackAndWhite="1" horizontalDpi="300" verticalDpi="300" r:id="rId1"/>
  <headerFooter alignWithMargins="0">
    <oddFooter>&amp;L&amp;F 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6"/>
  <sheetViews>
    <sheetView topLeftCell="A15" workbookViewId="0">
      <selection activeCell="I7" sqref="I7"/>
    </sheetView>
  </sheetViews>
  <sheetFormatPr defaultRowHeight="12.75"/>
  <cols>
    <col min="1" max="1" width="2.85546875" style="22" customWidth="1"/>
    <col min="2" max="2" width="14.7109375" style="22" customWidth="1"/>
    <col min="3" max="3" width="14.5703125" style="22" customWidth="1"/>
    <col min="4" max="4" width="15.28515625" style="22" customWidth="1"/>
    <col min="5" max="5" width="15.140625" style="22" customWidth="1"/>
    <col min="6" max="6" width="13" style="22" customWidth="1"/>
    <col min="7" max="7" width="10.28515625" style="22" customWidth="1"/>
    <col min="8" max="8" width="16.42578125" style="22" customWidth="1"/>
    <col min="9" max="9" width="16.7109375" style="22" customWidth="1"/>
    <col min="10" max="16384" width="9.140625" style="22"/>
  </cols>
  <sheetData>
    <row r="1" spans="2:7">
      <c r="B1" s="569" t="s">
        <v>83</v>
      </c>
      <c r="C1" s="569"/>
      <c r="D1" s="569"/>
      <c r="E1" s="569"/>
      <c r="F1" s="569"/>
      <c r="G1" s="569"/>
    </row>
    <row r="2" spans="2:7">
      <c r="B2" s="569" t="s">
        <v>222</v>
      </c>
      <c r="C2" s="569"/>
      <c r="D2" s="569"/>
      <c r="E2" s="569"/>
      <c r="F2" s="569"/>
      <c r="G2" s="569"/>
    </row>
    <row r="3" spans="2:7">
      <c r="B3" s="569" t="s">
        <v>106</v>
      </c>
      <c r="C3" s="569"/>
      <c r="D3" s="569"/>
      <c r="E3" s="569"/>
      <c r="F3" s="569"/>
      <c r="G3" s="569"/>
    </row>
    <row r="4" spans="2:7">
      <c r="B4" s="569" t="s">
        <v>176</v>
      </c>
      <c r="C4" s="569"/>
      <c r="D4" s="569"/>
      <c r="E4" s="569"/>
      <c r="F4" s="569"/>
      <c r="G4" s="569"/>
    </row>
    <row r="5" spans="2:7">
      <c r="D5" s="24"/>
      <c r="E5" s="24"/>
    </row>
    <row r="6" spans="2:7">
      <c r="D6" s="77" t="s">
        <v>136</v>
      </c>
      <c r="E6" s="77" t="s">
        <v>137</v>
      </c>
    </row>
    <row r="7" spans="2:7">
      <c r="B7" s="22" t="s">
        <v>202</v>
      </c>
      <c r="D7" s="403">
        <f>'Rate Design C&amp;I'!E53</f>
        <v>80</v>
      </c>
      <c r="E7" s="403">
        <f>'Rate Design C&amp;I'!H53</f>
        <v>80</v>
      </c>
    </row>
    <row r="8" spans="2:7">
      <c r="B8" s="22" t="s">
        <v>36</v>
      </c>
      <c r="D8" s="406">
        <f>'Rate Design C&amp;I'!E55</f>
        <v>0.7</v>
      </c>
      <c r="E8" s="406">
        <f>'Rate Design C&amp;I'!H55</f>
        <v>1.5</v>
      </c>
    </row>
    <row r="9" spans="2:7">
      <c r="B9" s="22" t="s">
        <v>102</v>
      </c>
      <c r="D9" s="403"/>
      <c r="E9" s="380"/>
    </row>
    <row r="10" spans="2:7">
      <c r="B10" s="382" t="s">
        <v>191</v>
      </c>
      <c r="D10" s="404">
        <f>'Rate Design C&amp;I'!E58</f>
        <v>0.15967999999999999</v>
      </c>
      <c r="E10" s="404">
        <f>'Rate Design C&amp;I'!H58</f>
        <v>0.10748000000000001</v>
      </c>
    </row>
    <row r="11" spans="2:7">
      <c r="B11" s="382" t="s">
        <v>192</v>
      </c>
      <c r="D11" s="404">
        <f>'Rate Design C&amp;I'!E60</f>
        <v>0.1303</v>
      </c>
      <c r="E11" s="404">
        <f>'Rate Design C&amp;I'!H60</f>
        <v>8.7705547690622887E-2</v>
      </c>
    </row>
    <row r="12" spans="2:7">
      <c r="B12" s="340" t="s">
        <v>193</v>
      </c>
      <c r="D12" s="406">
        <f>'Rate Design C&amp;I'!E54</f>
        <v>79.84</v>
      </c>
      <c r="E12" s="406">
        <f>'Rate Design C&amp;I'!H54</f>
        <v>96.73</v>
      </c>
    </row>
    <row r="13" spans="2:7">
      <c r="B13" s="22" t="s">
        <v>177</v>
      </c>
      <c r="D13" s="405">
        <v>0.76334999999999997</v>
      </c>
      <c r="E13" s="405">
        <v>0.76290999999999998</v>
      </c>
    </row>
    <row r="14" spans="2:7">
      <c r="B14" s="22" t="s">
        <v>178</v>
      </c>
      <c r="D14" s="401">
        <v>-8.0350000000000005E-2</v>
      </c>
      <c r="E14" s="401">
        <v>8.0299999999999996E-2</v>
      </c>
    </row>
    <row r="15" spans="2:7">
      <c r="B15" s="22" t="s">
        <v>179</v>
      </c>
      <c r="D15" s="401">
        <v>7.92E-3</v>
      </c>
      <c r="E15" s="381">
        <f>D15</f>
        <v>7.92E-3</v>
      </c>
    </row>
    <row r="16" spans="2:7">
      <c r="B16" s="22" t="s">
        <v>180</v>
      </c>
      <c r="D16" s="401">
        <v>1.97E-3</v>
      </c>
      <c r="E16" s="381">
        <f>D16</f>
        <v>1.97E-3</v>
      </c>
    </row>
    <row r="17" spans="2:8">
      <c r="B17" s="22" t="s">
        <v>181</v>
      </c>
      <c r="D17" s="503"/>
      <c r="E17" s="503"/>
    </row>
    <row r="18" spans="2:8">
      <c r="B18" s="382" t="s">
        <v>191</v>
      </c>
      <c r="D18" s="383">
        <f>SUM($D$13:$D$16)+D10</f>
        <v>0.85257000000000005</v>
      </c>
      <c r="E18" s="383">
        <f>SUM($D$13:$D$16)+E10</f>
        <v>0.80037000000000003</v>
      </c>
    </row>
    <row r="19" spans="2:8">
      <c r="B19" s="382" t="s">
        <v>192</v>
      </c>
      <c r="D19" s="383">
        <f>SUM($D$13:$D$16)+D11</f>
        <v>0.82318999999999998</v>
      </c>
      <c r="E19" s="383">
        <f>SUM($D$13:$D$16)+E11</f>
        <v>0.78059554769062289</v>
      </c>
    </row>
    <row r="21" spans="2:8">
      <c r="B21" s="568" t="s">
        <v>182</v>
      </c>
      <c r="C21" s="568"/>
      <c r="D21" s="568"/>
      <c r="E21" s="568"/>
      <c r="F21" s="568"/>
      <c r="G21" s="568"/>
      <c r="H21" s="384"/>
    </row>
    <row r="22" spans="2:8">
      <c r="B22" s="24" t="s">
        <v>183</v>
      </c>
      <c r="C22" s="24" t="s">
        <v>183</v>
      </c>
      <c r="D22" s="24" t="s">
        <v>117</v>
      </c>
      <c r="E22" s="24" t="s">
        <v>117</v>
      </c>
      <c r="H22" s="26"/>
    </row>
    <row r="23" spans="2:8">
      <c r="B23" s="24" t="s">
        <v>184</v>
      </c>
      <c r="C23" s="24" t="s">
        <v>90</v>
      </c>
      <c r="D23" s="24" t="s">
        <v>185</v>
      </c>
      <c r="E23" s="24" t="s">
        <v>185</v>
      </c>
      <c r="F23" s="24" t="s">
        <v>117</v>
      </c>
      <c r="G23" s="24" t="s">
        <v>118</v>
      </c>
      <c r="H23" s="26"/>
    </row>
    <row r="24" spans="2:8">
      <c r="B24" s="77" t="s">
        <v>112</v>
      </c>
      <c r="C24" s="77" t="s">
        <v>112</v>
      </c>
      <c r="D24" s="77" t="s">
        <v>136</v>
      </c>
      <c r="E24" s="77" t="s">
        <v>137</v>
      </c>
      <c r="F24" s="77" t="s">
        <v>172</v>
      </c>
      <c r="G24" s="77" t="s">
        <v>172</v>
      </c>
      <c r="H24" s="26"/>
    </row>
    <row r="25" spans="2:8">
      <c r="B25" s="385">
        <v>500</v>
      </c>
      <c r="C25" s="386">
        <f>ROUND(B25/(0.65*30),0)</f>
        <v>26</v>
      </c>
      <c r="D25" s="380">
        <f t="shared" ref="D25:E37" si="0">ROUND(IF($B25&lt;500,D$12+$B25*D$18+D$7+D$8*$C25,IF($B25&lt;5000,D$7+D$8*$C25+D$18*$B25,($B25-5000)*D$19+5000*D$18+D$7+D$8*$C25)),2)</f>
        <v>524.49</v>
      </c>
      <c r="E25" s="380">
        <f t="shared" si="0"/>
        <v>519.19000000000005</v>
      </c>
      <c r="F25" s="387">
        <f t="shared" ref="F25:F37" si="1">E25-D25</f>
        <v>-5.2999999999999545</v>
      </c>
      <c r="G25" s="504">
        <f t="shared" ref="G25:G37" si="2">F25/D25</f>
        <v>-1.0105054433830873E-2</v>
      </c>
      <c r="H25" s="25"/>
    </row>
    <row r="26" spans="2:8">
      <c r="B26" s="385">
        <v>1000</v>
      </c>
      <c r="C26" s="386">
        <f t="shared" ref="C26:C37" si="3">ROUND(B26/(0.65*30),0)</f>
        <v>51</v>
      </c>
      <c r="D26" s="380">
        <f t="shared" si="0"/>
        <v>968.27</v>
      </c>
      <c r="E26" s="380">
        <f t="shared" si="0"/>
        <v>956.87</v>
      </c>
      <c r="F26" s="387">
        <f t="shared" si="1"/>
        <v>-11.399999999999977</v>
      </c>
      <c r="G26" s="504">
        <f t="shared" si="2"/>
        <v>-1.1773575552273619E-2</v>
      </c>
      <c r="H26" s="25"/>
    </row>
    <row r="27" spans="2:8">
      <c r="B27" s="385">
        <v>2000</v>
      </c>
      <c r="C27" s="386">
        <f t="shared" si="3"/>
        <v>103</v>
      </c>
      <c r="D27" s="380">
        <f t="shared" si="0"/>
        <v>1857.24</v>
      </c>
      <c r="E27" s="380">
        <f t="shared" si="0"/>
        <v>1835.24</v>
      </c>
      <c r="F27" s="387">
        <f t="shared" si="1"/>
        <v>-22</v>
      </c>
      <c r="G27" s="504">
        <f t="shared" si="2"/>
        <v>-1.1845534233593935E-2</v>
      </c>
      <c r="H27" s="25"/>
    </row>
    <row r="28" spans="2:8">
      <c r="B28" s="385">
        <v>3000</v>
      </c>
      <c r="C28" s="386">
        <f t="shared" si="3"/>
        <v>154</v>
      </c>
      <c r="D28" s="380">
        <f t="shared" si="0"/>
        <v>2745.51</v>
      </c>
      <c r="E28" s="380">
        <f t="shared" si="0"/>
        <v>2712.11</v>
      </c>
      <c r="F28" s="387">
        <f t="shared" si="1"/>
        <v>-33.400000000000091</v>
      </c>
      <c r="G28" s="504">
        <f t="shared" si="2"/>
        <v>-1.2165317190613069E-2</v>
      </c>
      <c r="H28" s="25"/>
    </row>
    <row r="29" spans="2:8">
      <c r="B29" s="385">
        <v>4000</v>
      </c>
      <c r="C29" s="386">
        <f t="shared" si="3"/>
        <v>205</v>
      </c>
      <c r="D29" s="380">
        <f t="shared" si="0"/>
        <v>3633.78</v>
      </c>
      <c r="E29" s="380">
        <f t="shared" si="0"/>
        <v>3588.98</v>
      </c>
      <c r="F29" s="387">
        <f t="shared" si="1"/>
        <v>-44.800000000000182</v>
      </c>
      <c r="G29" s="504">
        <f t="shared" si="2"/>
        <v>-1.2328759583684257E-2</v>
      </c>
    </row>
    <row r="30" spans="2:8">
      <c r="B30" s="385">
        <v>5000</v>
      </c>
      <c r="C30" s="386">
        <f t="shared" si="3"/>
        <v>256</v>
      </c>
      <c r="D30" s="380">
        <f t="shared" si="0"/>
        <v>4522.05</v>
      </c>
      <c r="E30" s="380">
        <f t="shared" si="0"/>
        <v>4465.8500000000004</v>
      </c>
      <c r="F30" s="387">
        <f t="shared" si="1"/>
        <v>-56.199999999999818</v>
      </c>
      <c r="G30" s="504">
        <f t="shared" si="2"/>
        <v>-1.2427991729414715E-2</v>
      </c>
    </row>
    <row r="31" spans="2:8">
      <c r="B31" s="385">
        <v>10000</v>
      </c>
      <c r="C31" s="386">
        <f t="shared" si="3"/>
        <v>513</v>
      </c>
      <c r="D31" s="380">
        <f t="shared" si="0"/>
        <v>8817.9</v>
      </c>
      <c r="E31" s="380">
        <f t="shared" si="0"/>
        <v>8754.33</v>
      </c>
      <c r="F31" s="387">
        <f t="shared" si="1"/>
        <v>-63.569999999999709</v>
      </c>
      <c r="G31" s="504">
        <f t="shared" si="2"/>
        <v>-7.2091994692613558E-3</v>
      </c>
    </row>
    <row r="32" spans="2:8">
      <c r="B32" s="385">
        <v>20000</v>
      </c>
      <c r="C32" s="386">
        <f t="shared" si="3"/>
        <v>1026</v>
      </c>
      <c r="D32" s="380">
        <f t="shared" si="0"/>
        <v>17408.900000000001</v>
      </c>
      <c r="E32" s="380">
        <f t="shared" si="0"/>
        <v>17329.78</v>
      </c>
      <c r="F32" s="387">
        <f t="shared" si="1"/>
        <v>-79.120000000002619</v>
      </c>
      <c r="G32" s="504">
        <f t="shared" si="2"/>
        <v>-4.5448017967822558E-3</v>
      </c>
    </row>
    <row r="33" spans="2:11">
      <c r="B33" s="385">
        <v>25000</v>
      </c>
      <c r="C33" s="386">
        <f t="shared" si="3"/>
        <v>1282</v>
      </c>
      <c r="D33" s="380">
        <f t="shared" si="0"/>
        <v>21704.05</v>
      </c>
      <c r="E33" s="380">
        <f t="shared" si="0"/>
        <v>21616.76</v>
      </c>
      <c r="F33" s="387">
        <f t="shared" si="1"/>
        <v>-87.290000000000873</v>
      </c>
      <c r="G33" s="504">
        <f t="shared" si="2"/>
        <v>-4.0218300271147953E-3</v>
      </c>
    </row>
    <row r="34" spans="2:11">
      <c r="B34" s="385">
        <v>50000</v>
      </c>
      <c r="C34" s="386">
        <f t="shared" si="3"/>
        <v>2564</v>
      </c>
      <c r="D34" s="380">
        <f t="shared" si="0"/>
        <v>43181.2</v>
      </c>
      <c r="E34" s="380">
        <f t="shared" si="0"/>
        <v>43054.65</v>
      </c>
      <c r="F34" s="387">
        <f t="shared" si="1"/>
        <v>-126.54999999999563</v>
      </c>
      <c r="G34" s="504">
        <f t="shared" si="2"/>
        <v>-2.9306735338525945E-3</v>
      </c>
    </row>
    <row r="35" spans="2:11">
      <c r="B35" s="385">
        <v>100000</v>
      </c>
      <c r="C35" s="386">
        <f t="shared" si="3"/>
        <v>5128</v>
      </c>
      <c r="D35" s="380">
        <f t="shared" si="0"/>
        <v>86135.5</v>
      </c>
      <c r="E35" s="380">
        <f t="shared" si="0"/>
        <v>85930.43</v>
      </c>
      <c r="F35" s="387">
        <f t="shared" si="1"/>
        <v>-205.07000000000698</v>
      </c>
      <c r="G35" s="504">
        <f t="shared" si="2"/>
        <v>-2.3807837651143486E-3</v>
      </c>
      <c r="K35" s="407"/>
    </row>
    <row r="36" spans="2:11">
      <c r="B36" s="385">
        <v>200000</v>
      </c>
      <c r="C36" s="386">
        <f t="shared" si="3"/>
        <v>10256</v>
      </c>
      <c r="D36" s="380">
        <f t="shared" si="0"/>
        <v>172044.1</v>
      </c>
      <c r="E36" s="380">
        <f t="shared" si="0"/>
        <v>171681.98</v>
      </c>
      <c r="F36" s="387">
        <f t="shared" si="1"/>
        <v>-362.11999999999534</v>
      </c>
      <c r="G36" s="504">
        <f t="shared" si="2"/>
        <v>-2.1048091739268903E-3</v>
      </c>
    </row>
    <row r="37" spans="2:11">
      <c r="B37" s="385">
        <v>500000</v>
      </c>
      <c r="C37" s="386">
        <f t="shared" si="3"/>
        <v>25641</v>
      </c>
      <c r="D37" s="380">
        <f t="shared" si="0"/>
        <v>429770.6</v>
      </c>
      <c r="E37" s="380">
        <f t="shared" si="0"/>
        <v>428938.15</v>
      </c>
      <c r="F37" s="387">
        <f t="shared" si="1"/>
        <v>-832.44999999995343</v>
      </c>
      <c r="G37" s="504">
        <f t="shared" si="2"/>
        <v>-1.9369635801051851E-3</v>
      </c>
    </row>
    <row r="38" spans="2:11">
      <c r="B38" s="385"/>
      <c r="D38" s="380"/>
      <c r="E38" s="380"/>
    </row>
    <row r="39" spans="2:11">
      <c r="B39" s="385"/>
      <c r="D39" s="380"/>
      <c r="E39" s="380"/>
    </row>
    <row r="40" spans="2:11">
      <c r="B40" s="385"/>
      <c r="D40" s="380"/>
      <c r="E40" s="380"/>
    </row>
    <row r="41" spans="2:11">
      <c r="B41" s="385"/>
      <c r="D41" s="380"/>
      <c r="E41" s="380"/>
    </row>
    <row r="42" spans="2:11">
      <c r="B42" s="385"/>
      <c r="D42" s="380"/>
      <c r="E42" s="380"/>
    </row>
    <row r="43" spans="2:11">
      <c r="B43" s="385"/>
      <c r="D43" s="380"/>
      <c r="E43" s="380"/>
    </row>
    <row r="44" spans="2:11">
      <c r="B44" s="385"/>
      <c r="D44" s="380"/>
      <c r="E44" s="380"/>
    </row>
    <row r="45" spans="2:11">
      <c r="B45" s="385"/>
      <c r="D45" s="380"/>
      <c r="E45" s="380"/>
    </row>
    <row r="46" spans="2:11">
      <c r="B46" s="385"/>
      <c r="D46" s="380"/>
      <c r="E46" s="380"/>
    </row>
    <row r="47" spans="2:11">
      <c r="B47" s="385"/>
      <c r="D47" s="380"/>
      <c r="E47" s="380"/>
    </row>
    <row r="48" spans="2:11">
      <c r="B48" s="385"/>
      <c r="D48" s="380"/>
      <c r="E48" s="380"/>
    </row>
    <row r="49" spans="2:5">
      <c r="B49" s="385"/>
      <c r="D49" s="380"/>
      <c r="E49" s="380"/>
    </row>
    <row r="50" spans="2:5">
      <c r="B50" s="385"/>
      <c r="D50" s="380"/>
      <c r="E50" s="380"/>
    </row>
    <row r="51" spans="2:5">
      <c r="B51" s="385"/>
      <c r="D51" s="380"/>
      <c r="E51" s="380"/>
    </row>
    <row r="52" spans="2:5">
      <c r="B52" s="385"/>
      <c r="D52" s="380"/>
      <c r="E52" s="380"/>
    </row>
    <row r="53" spans="2:5">
      <c r="B53" s="385"/>
      <c r="D53" s="380"/>
      <c r="E53" s="380"/>
    </row>
    <row r="54" spans="2:5">
      <c r="B54" s="388"/>
      <c r="D54" s="380"/>
      <c r="E54" s="380"/>
    </row>
    <row r="55" spans="2:5">
      <c r="B55" s="388"/>
      <c r="D55" s="380"/>
      <c r="E55" s="380"/>
    </row>
    <row r="56" spans="2:5">
      <c r="B56" s="388"/>
      <c r="D56" s="380"/>
      <c r="E56" s="380"/>
    </row>
  </sheetData>
  <mergeCells count="5">
    <mergeCell ref="B21:G21"/>
    <mergeCell ref="B1:G1"/>
    <mergeCell ref="B2:G2"/>
    <mergeCell ref="B3:G3"/>
    <mergeCell ref="B4:G4"/>
  </mergeCells>
  <phoneticPr fontId="17" type="noConversion"/>
  <pageMargins left="0.75" right="0.75" top="1" bottom="1" header="0.5" footer="0.5"/>
  <pageSetup orientation="portrait" blackAndWhite="1" horizontalDpi="300" verticalDpi="300" r:id="rId1"/>
  <headerFooter alignWithMargins="0">
    <oddFooter>&amp;L&amp;F &amp;A&amp;C&amp;P&amp;R&amp;D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Rate Spread-Margin</vt:lpstr>
      <vt:lpstr>Rate Design Res</vt:lpstr>
      <vt:lpstr>Rate Design C&amp;I</vt:lpstr>
      <vt:lpstr>Rate Design Int &amp; Trans</vt:lpstr>
      <vt:lpstr>Rate Design Rental</vt:lpstr>
      <vt:lpstr>23</vt:lpstr>
      <vt:lpstr>23 by month</vt:lpstr>
      <vt:lpstr>31</vt:lpstr>
      <vt:lpstr>41</vt:lpstr>
      <vt:lpstr>'23'!Print_Area</vt:lpstr>
      <vt:lpstr>'23 by month'!Print_Area</vt:lpstr>
      <vt:lpstr>'31'!Print_Area</vt:lpstr>
      <vt:lpstr>'41'!Print_Area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'Rate Spread-Margin'!Print_Area</vt:lpstr>
      <vt:lpstr>'Rate Design C&amp;I'!Print_Titles</vt:lpstr>
      <vt:lpstr>'Rate Design Int &amp; Trans'!Print_Titles</vt:lpstr>
      <vt:lpstr>'Rate Design Res'!Print_Titles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mcass</dc:creator>
  <cp:lastModifiedBy>Mike Parvinen</cp:lastModifiedBy>
  <cp:lastPrinted>2008-05-23T17:41:51Z</cp:lastPrinted>
  <dcterms:created xsi:type="dcterms:W3CDTF">2004-03-21T19:15:57Z</dcterms:created>
  <dcterms:modified xsi:type="dcterms:W3CDTF">2008-05-30T15:49:21Z</dcterms:modified>
</cp:coreProperties>
</file>