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65521" windowWidth="7245" windowHeight="6930" activeTab="0"/>
  </bookViews>
  <sheets>
    <sheet name="ROR" sheetId="1" r:id="rId1"/>
    <sheet name="S Restate" sheetId="2" r:id="rId2"/>
    <sheet name="S Pro forma" sheetId="3" r:id="rId3"/>
    <sheet name="S Ratebase" sheetId="4" r:id="rId4"/>
    <sheet name="NtG" sheetId="5" r:id="rId5"/>
    <sheet name="Rev Req" sheetId="6" r:id="rId6"/>
    <sheet name="PF Debt" sheetId="7" r:id="rId7"/>
    <sheet name="Capital" sheetId="8" r:id="rId8"/>
    <sheet name="Rate Base" sheetId="9" r:id="rId9"/>
    <sheet name="ESA" sheetId="10" r:id="rId10"/>
    <sheet name="Payroll New" sheetId="11" r:id="rId11"/>
    <sheet name="Wtr Use" sheetId="12" r:id="rId12"/>
    <sheet name="Rates" sheetId="13" r:id="rId13"/>
    <sheet name="Payroll (2)" sheetId="14" r:id="rId14"/>
  </sheets>
  <definedNames>
    <definedName name="_xlnm.Print_Area" localSheetId="7">'Capital'!$A$4:$H$41</definedName>
    <definedName name="_xlnm.Print_Area" localSheetId="9">'ESA'!$B$5:$F$36</definedName>
    <definedName name="_xlnm.Print_Area" localSheetId="4">'NtG'!$A$1:$E$25</definedName>
    <definedName name="_xlnm.Print_Area" localSheetId="13">'Payroll (2)'!$A$1:$K$60</definedName>
    <definedName name="_xlnm.Print_Area" localSheetId="10">'Payroll New'!$A$1:$K$37</definedName>
    <definedName name="_xlnm.Print_Area" localSheetId="6">'PF Debt'!$A$1:$D$19</definedName>
    <definedName name="_xlnm.Print_Area" localSheetId="8">'Rate Base'!$B$3:$G$22</definedName>
    <definedName name="_xlnm.Print_Area" localSheetId="12">'Rates'!$B$5:$M$61</definedName>
    <definedName name="_xlnm.Print_Area" localSheetId="0">'ROR'!$D$1:$T$62</definedName>
    <definedName name="_xlnm.Print_Area" localSheetId="2">'S Pro forma'!$A$1:$K$61</definedName>
    <definedName name="_xlnm.Print_Area" localSheetId="3">'S Ratebase'!$A$1:$J$61</definedName>
    <definedName name="_xlnm.Print_Area" localSheetId="1">'S Restate'!$D$2:$Q$61</definedName>
    <definedName name="_xlnm.Print_Titles" localSheetId="0">'ROR'!$A:$C</definedName>
    <definedName name="_xlnm.Print_Titles" localSheetId="1">'S Restate'!$A:$C,'S Restate'!$1:$1</definedName>
  </definedNames>
  <calcPr fullCalcOnLoad="1"/>
</workbook>
</file>

<file path=xl/sharedStrings.xml><?xml version="1.0" encoding="utf-8"?>
<sst xmlns="http://schemas.openxmlformats.org/spreadsheetml/2006/main" count="820" uniqueCount="442">
  <si>
    <t xml:space="preserve">RESULTS OF OPERATION STATEMENT </t>
  </si>
  <si>
    <t xml:space="preserve"> </t>
  </si>
  <si>
    <t>PER BOOK</t>
  </si>
  <si>
    <t>PROFORMA</t>
  </si>
  <si>
    <t>PROPOSED</t>
  </si>
  <si>
    <t>ADJ</t>
  </si>
  <si>
    <t>BEFORE</t>
  </si>
  <si>
    <t>PERIOD</t>
  </si>
  <si>
    <t>REVENUES</t>
  </si>
  <si>
    <t>-----</t>
  </si>
  <si>
    <t xml:space="preserve">   -----</t>
  </si>
  <si>
    <t>P1</t>
  </si>
  <si>
    <t>S1</t>
  </si>
  <si>
    <t xml:space="preserve"> OPERATING REVENUE</t>
  </si>
  <si>
    <t>EXPENSES</t>
  </si>
  <si>
    <t>Salary  Employees</t>
  </si>
  <si>
    <t>Salary  Officers</t>
  </si>
  <si>
    <t>Purchased Power</t>
  </si>
  <si>
    <t>Material &amp; Supplies</t>
  </si>
  <si>
    <t>Contractual  Legal</t>
  </si>
  <si>
    <t>Rents / Building, Property</t>
  </si>
  <si>
    <t>Repairs</t>
  </si>
  <si>
    <t>Property Tax</t>
  </si>
  <si>
    <t>Other Tax &amp; License</t>
  </si>
  <si>
    <t>OPERATING EXPENSES</t>
  </si>
  <si>
    <t xml:space="preserve"> UTIL PLANT IN SERV</t>
  </si>
  <si>
    <t xml:space="preserve">   ACCUM DEPRECIATION</t>
  </si>
  <si>
    <t>CIAC PLANT IN SERV</t>
  </si>
  <si>
    <t xml:space="preserve">   ACCUM  AMORTIZATION</t>
  </si>
  <si>
    <t xml:space="preserve"> NET RATE BASE</t>
  </si>
  <si>
    <t>RATE  OF  RETURN  %</t>
  </si>
  <si>
    <t>Customer Count</t>
  </si>
  <si>
    <t>Revenue and Rate Calculations</t>
  </si>
  <si>
    <t xml:space="preserve">  Revenue Requirement for Customers</t>
  </si>
  <si>
    <t xml:space="preserve">  Revenue Generation</t>
  </si>
  <si>
    <t>Diff</t>
  </si>
  <si>
    <t>Annual Revenue  per customer</t>
  </si>
  <si>
    <t xml:space="preserve">  Growth</t>
  </si>
  <si>
    <t>Months</t>
  </si>
  <si>
    <t>Average Monthly Revenue per customer</t>
  </si>
  <si>
    <t>Monthly</t>
  </si>
  <si>
    <t>Annual</t>
  </si>
  <si>
    <t>Average</t>
  </si>
  <si>
    <t>Allowance</t>
  </si>
  <si>
    <t>Count</t>
  </si>
  <si>
    <t>Cash Flow</t>
  </si>
  <si>
    <t>Overage</t>
  </si>
  <si>
    <t>Share</t>
  </si>
  <si>
    <t>Meter Base</t>
  </si>
  <si>
    <t>Usage</t>
  </si>
  <si>
    <t>Usage Rate</t>
  </si>
  <si>
    <t>Flat</t>
  </si>
  <si>
    <t>Last Case</t>
  </si>
  <si>
    <t>Base</t>
  </si>
  <si>
    <t>XF</t>
  </si>
  <si>
    <t>3/4 Inch Meter</t>
  </si>
  <si>
    <t xml:space="preserve"> Revenue</t>
  </si>
  <si>
    <t>1 inch meter</t>
  </si>
  <si>
    <t>1 1/2 inch meter</t>
  </si>
  <si>
    <t>2 inch meter</t>
  </si>
  <si>
    <t>4 inch meter</t>
  </si>
  <si>
    <t>XF = Factor for allowance size equal to 3/4 inch.</t>
  </si>
  <si>
    <t>Gross Revenue</t>
  </si>
  <si>
    <t>Current</t>
  </si>
  <si>
    <t>Proposed</t>
  </si>
  <si>
    <t>Revised</t>
  </si>
  <si>
    <t>This Case</t>
  </si>
  <si>
    <t>Ready To Serve</t>
  </si>
  <si>
    <t>Surcharge</t>
  </si>
  <si>
    <t>RTS</t>
  </si>
  <si>
    <t>TOTAL EXPENSE</t>
  </si>
  <si>
    <t xml:space="preserve"> INCOME  (LOSS)</t>
  </si>
  <si>
    <t>Interest Expense</t>
  </si>
  <si>
    <t>OPERATING  INCOME</t>
  </si>
  <si>
    <t>AVG</t>
  </si>
  <si>
    <t>BILL</t>
  </si>
  <si>
    <t>Contractual  Accounting</t>
  </si>
  <si>
    <t>Cubic Feet</t>
  </si>
  <si>
    <t>Per 100 Cubic feet</t>
  </si>
  <si>
    <t>Beginning/End of Year</t>
  </si>
  <si>
    <t>ACQUISITION ADJUSTMENT</t>
  </si>
  <si>
    <t>Office/ Postage / Phone</t>
  </si>
  <si>
    <t>Surcharge Cap Imp</t>
  </si>
  <si>
    <t>Water</t>
  </si>
  <si>
    <t>Base  Zero</t>
  </si>
  <si>
    <t>Generated</t>
  </si>
  <si>
    <t>Required</t>
  </si>
  <si>
    <t>Tax State</t>
  </si>
  <si>
    <t>Cap Structure ROR</t>
  </si>
  <si>
    <t xml:space="preserve">&gt; 500 </t>
  </si>
  <si>
    <t>Fed Income Tax  (15%)</t>
  </si>
  <si>
    <t>American Water Resources, Inc.</t>
  </si>
  <si>
    <t>UW-010961</t>
  </si>
  <si>
    <t>Contractual  Engineer</t>
  </si>
  <si>
    <t>Contractual  Management</t>
  </si>
  <si>
    <t xml:space="preserve">Insurance </t>
  </si>
  <si>
    <t xml:space="preserve">Regulatory, Rate Case </t>
  </si>
  <si>
    <t>Bad Debt Expense</t>
  </si>
  <si>
    <t>Misc/Travel/Bank/Education</t>
  </si>
  <si>
    <t>Utility Excise Tax</t>
  </si>
  <si>
    <t>Chemicals</t>
  </si>
  <si>
    <t>Contractual  Testing</t>
  </si>
  <si>
    <t xml:space="preserve"> INCOME  (LOSS) RATES</t>
  </si>
  <si>
    <t>0 - 500</t>
  </si>
  <si>
    <t>&gt; 500</t>
  </si>
  <si>
    <t>BEOY</t>
  </si>
  <si>
    <t>Total Monthly Flat/Avg</t>
  </si>
  <si>
    <t>Avg Bill</t>
  </si>
  <si>
    <t>Total Flat/Average</t>
  </si>
  <si>
    <t>Contingent Revenue</t>
  </si>
  <si>
    <t>Test Year</t>
  </si>
  <si>
    <t>2002 - 2003</t>
  </si>
  <si>
    <t>BOY</t>
  </si>
  <si>
    <t>EOY</t>
  </si>
  <si>
    <t>UW-031284</t>
  </si>
  <si>
    <t>RESTATING</t>
  </si>
  <si>
    <t>for 12 MONTHS ENDED JUNE 30, 2003</t>
  </si>
  <si>
    <t>R1</t>
  </si>
  <si>
    <t>P3</t>
  </si>
  <si>
    <t>P2</t>
  </si>
  <si>
    <t>Net UPIS</t>
  </si>
  <si>
    <t>Net ACQ</t>
  </si>
  <si>
    <t>Net CIAC</t>
  </si>
  <si>
    <t>RATE BASE</t>
  </si>
  <si>
    <t>GOS View Royal</t>
  </si>
  <si>
    <t>GOS Birchfield</t>
  </si>
  <si>
    <t>R2</t>
  </si>
  <si>
    <t>Surcharge Remaining</t>
  </si>
  <si>
    <t>Weighted</t>
  </si>
  <si>
    <t>Percent</t>
  </si>
  <si>
    <t>Cost</t>
  </si>
  <si>
    <t>Principal</t>
  </si>
  <si>
    <t>of Total</t>
  </si>
  <si>
    <t>Rate</t>
  </si>
  <si>
    <t>DEBT</t>
  </si>
  <si>
    <t>FCB-70</t>
  </si>
  <si>
    <t>FCB-71</t>
  </si>
  <si>
    <t>Loma Vista</t>
  </si>
  <si>
    <t>Horner</t>
  </si>
  <si>
    <t>Black</t>
  </si>
  <si>
    <t>Prime 2003</t>
  </si>
  <si>
    <t>Shambaugh</t>
  </si>
  <si>
    <t>Other Current Liabilities</t>
  </si>
  <si>
    <t>Accounts Payable</t>
  </si>
  <si>
    <t>EQUITY</t>
  </si>
  <si>
    <t>Common Stock</t>
  </si>
  <si>
    <t>Retained Earnings</t>
  </si>
  <si>
    <t>Paid In Capital</t>
  </si>
  <si>
    <t>Net Income</t>
  </si>
  <si>
    <t>Debt</t>
  </si>
  <si>
    <t>Equity</t>
  </si>
  <si>
    <t>Rate Change</t>
  </si>
  <si>
    <t>Return Generated</t>
  </si>
  <si>
    <t>Water Use from Monthly reports</t>
  </si>
  <si>
    <t>Meter</t>
  </si>
  <si>
    <t>Total</t>
  </si>
  <si>
    <t>Avg Use</t>
  </si>
  <si>
    <t>Summer</t>
  </si>
  <si>
    <t>Winter</t>
  </si>
  <si>
    <t>Summer Avg Use</t>
  </si>
  <si>
    <t>Winter Avg Use</t>
  </si>
  <si>
    <t>Annual Avg Use</t>
  </si>
  <si>
    <t>P4</t>
  </si>
  <si>
    <t>Field</t>
  </si>
  <si>
    <t>Benefit</t>
  </si>
  <si>
    <t>Payroll</t>
  </si>
  <si>
    <t>Test Period</t>
  </si>
  <si>
    <t>Payroll Allocation based on year 2003 field cost.</t>
  </si>
  <si>
    <t>P5</t>
  </si>
  <si>
    <t>Avg Bill with surcharge</t>
  </si>
  <si>
    <t>Trans. Fuel/Repair/Maint</t>
  </si>
  <si>
    <t>Depn/Amort  Net</t>
  </si>
  <si>
    <t xml:space="preserve">  ACCUM DEPRECIATION</t>
  </si>
  <si>
    <t xml:space="preserve">  ACCUM  AMORTIZATION</t>
  </si>
  <si>
    <t>NET RATE BASE</t>
  </si>
  <si>
    <t>UTIL PLANT IN SERV</t>
  </si>
  <si>
    <t>Average Bill</t>
  </si>
  <si>
    <t>FCB-72 Surcharge</t>
  </si>
  <si>
    <t>RB1</t>
  </si>
  <si>
    <t>RB4</t>
  </si>
  <si>
    <t>RB2</t>
  </si>
  <si>
    <t>R4</t>
  </si>
  <si>
    <t xml:space="preserve">   Other Income</t>
  </si>
  <si>
    <t>Other Revenue</t>
  </si>
  <si>
    <t>Fire Flow</t>
  </si>
  <si>
    <t>Metered Sales        1132</t>
  </si>
  <si>
    <t>Unmetered Sales    370</t>
  </si>
  <si>
    <t xml:space="preserve">   Other Expense</t>
  </si>
  <si>
    <t>R5</t>
  </si>
  <si>
    <t>ACQUISITION ADJUST NET</t>
  </si>
  <si>
    <t>Amounts Spend</t>
  </si>
  <si>
    <t>Balance Owing</t>
  </si>
  <si>
    <t>Amount Collected and Spent</t>
  </si>
  <si>
    <t>Pay down Debt</t>
  </si>
  <si>
    <t>Treat CIAC</t>
  </si>
  <si>
    <t>Cash in Account</t>
  </si>
  <si>
    <t xml:space="preserve">CIAC </t>
  </si>
  <si>
    <t xml:space="preserve">  Non funded Account</t>
  </si>
  <si>
    <t xml:space="preserve">  Collected and Spent</t>
  </si>
  <si>
    <t>Scenario 1</t>
  </si>
  <si>
    <t>July 02</t>
  </si>
  <si>
    <t>Aug 02</t>
  </si>
  <si>
    <t>Taxes</t>
  </si>
  <si>
    <t>Allocated</t>
  </si>
  <si>
    <t>Allocation</t>
  </si>
  <si>
    <t>Sept 02</t>
  </si>
  <si>
    <t>Oct 02</t>
  </si>
  <si>
    <t>Nov 02</t>
  </si>
  <si>
    <t>Dec 02</t>
  </si>
  <si>
    <t>Jan 03</t>
  </si>
  <si>
    <t>Feb 03</t>
  </si>
  <si>
    <t>Mar 03</t>
  </si>
  <si>
    <t>Apr 03</t>
  </si>
  <si>
    <t>May 03</t>
  </si>
  <si>
    <t>Jun 03</t>
  </si>
  <si>
    <t xml:space="preserve">Test Period </t>
  </si>
  <si>
    <t>Staff Annualized of Field</t>
  </si>
  <si>
    <t>Note 2: Field Benefits &amp; Taxes are calculated on percentage of actual Benefit &amp; Taxes to total actual Payroll.</t>
  </si>
  <si>
    <t>Six Month Average Allocation</t>
  </si>
  <si>
    <t>Adjustment</t>
  </si>
  <si>
    <t>Company Interest Expense</t>
  </si>
  <si>
    <t>Interest on Rate Base</t>
  </si>
  <si>
    <t>RB3</t>
  </si>
  <si>
    <t>Amort Reg Liab -010961</t>
  </si>
  <si>
    <t>REG LIABILITY - 010961</t>
  </si>
  <si>
    <t>RB5</t>
  </si>
  <si>
    <t>Fund  the Account</t>
  </si>
  <si>
    <t>Cash in the Account</t>
  </si>
  <si>
    <t>R6</t>
  </si>
  <si>
    <t>Docket UW-010961 Balance Sheet</t>
  </si>
  <si>
    <t>Note 1: Payroll, Benefit, Taxes &amp; Field expenses from Exhibit No. __ (JAW-3) at 4-9.</t>
  </si>
  <si>
    <t xml:space="preserve">Annual Average Allocation </t>
  </si>
  <si>
    <t>Adjustment to Staff Annualized field</t>
  </si>
  <si>
    <t>R7,8</t>
  </si>
  <si>
    <t>R8,9</t>
  </si>
  <si>
    <t>Manager</t>
  </si>
  <si>
    <t>Service Tech</t>
  </si>
  <si>
    <t>Meter Reader</t>
  </si>
  <si>
    <t>Office</t>
  </si>
  <si>
    <t>Benefits</t>
  </si>
  <si>
    <t>Payroll Tax</t>
  </si>
  <si>
    <t>Medical</t>
  </si>
  <si>
    <t>Wages</t>
  </si>
  <si>
    <t>P7</t>
  </si>
  <si>
    <t>Compensation</t>
  </si>
  <si>
    <t>Consultant</t>
  </si>
  <si>
    <t>R11</t>
  </si>
  <si>
    <t>Other Debt</t>
  </si>
  <si>
    <t>Total Debt/Liabilities</t>
  </si>
  <si>
    <t>Docket 010961</t>
  </si>
  <si>
    <t>Account</t>
  </si>
  <si>
    <t>R3, 3c</t>
  </si>
  <si>
    <t>Staff</t>
  </si>
  <si>
    <t>Field Assistant</t>
  </si>
  <si>
    <t>Tax</t>
  </si>
  <si>
    <t>Manager and Office Personnel</t>
  </si>
  <si>
    <t>A/P Payroll clerk</t>
  </si>
  <si>
    <t>Water Quality</t>
  </si>
  <si>
    <t>Staff Proposed</t>
  </si>
  <si>
    <t>Difference</t>
  </si>
  <si>
    <t>Alternative</t>
  </si>
  <si>
    <t>to Test Period</t>
  </si>
  <si>
    <t>Staff Alternative</t>
  </si>
  <si>
    <t>Regulatory Capital Structure</t>
  </si>
  <si>
    <t xml:space="preserve">Acct Balance </t>
  </si>
  <si>
    <t>For the Test Year ending June 30, 2003</t>
  </si>
  <si>
    <t xml:space="preserve">  BEOY 2000</t>
  </si>
  <si>
    <t>Difference in block</t>
  </si>
  <si>
    <t>R9,11</t>
  </si>
  <si>
    <t>Employee Costs</t>
  </si>
  <si>
    <t>Per month per customer</t>
  </si>
  <si>
    <t>Revenue Requirement Calculation</t>
  </si>
  <si>
    <t>Pro Forma</t>
  </si>
  <si>
    <t>DESCRIPTION</t>
  </si>
  <si>
    <t>Source</t>
  </si>
  <si>
    <t>Results</t>
  </si>
  <si>
    <t>Operating Income Requirement</t>
  </si>
  <si>
    <t>Pro Forma Net Operating Income (Loss)</t>
  </si>
  <si>
    <t>input</t>
  </si>
  <si>
    <t>Net-to-Gross Conversation Factor</t>
  </si>
  <si>
    <t>RATE</t>
  </si>
  <si>
    <t xml:space="preserve">  REVENUES:</t>
  </si>
  <si>
    <t xml:space="preserve">  EXPENSES:</t>
  </si>
  <si>
    <t xml:space="preserve">  LESS:</t>
  </si>
  <si>
    <t xml:space="preserve">            WUTC REGULATORY FEE - 2003</t>
  </si>
  <si>
    <t xml:space="preserve">            TOTAL REVENUE SENSITIVE EXPENSES</t>
  </si>
  <si>
    <t xml:space="preserve">  TAXABLE INCOME BEFORE FIT</t>
  </si>
  <si>
    <t xml:space="preserve">  LESS: FEDERAL INCOME TAX</t>
  </si>
  <si>
    <t>NET-TO-GROSS CONVERSION FACTOR</t>
  </si>
  <si>
    <t xml:space="preserve">  GROSS REVENUE CONVERSION FACTOR </t>
  </si>
  <si>
    <t xml:space="preserve">            UTILITY B&amp;O TAX</t>
  </si>
  <si>
    <t>Pro Forma Debt Adjustment</t>
  </si>
  <si>
    <t>Weighted Cost of Capital</t>
  </si>
  <si>
    <t>Operating Income Deficiency (Excess)</t>
  </si>
  <si>
    <t>Effective Tax Rate Adjustment (8.615%)</t>
  </si>
  <si>
    <t>Pro forma Net Inc</t>
  </si>
  <si>
    <t>less Interest *</t>
  </si>
  <si>
    <t>* Adjust Company effective tax rate to statutory rate.</t>
  </si>
  <si>
    <t>Schedule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</si>
  <si>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</si>
  <si>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</si>
  <si>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</si>
  <si>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</si>
  <si>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</si>
  <si>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</si>
  <si>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</si>
  <si>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</si>
  <si>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</si>
  <si>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</si>
  <si>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</si>
  <si>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</si>
  <si>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</si>
  <si>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</si>
  <si>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</si>
  <si>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</si>
  <si>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</si>
  <si>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</si>
  <si>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Ln 7 thru Ln 11</t>
  </si>
  <si>
    <t>Ln 15 thru Ln 41</t>
  </si>
  <si>
    <t>Ln 12 - Ln 42</t>
  </si>
  <si>
    <t>Ln 12 - Ln 47</t>
  </si>
  <si>
    <t>Ln 45 + Ln 48</t>
  </si>
  <si>
    <t>Ln 52 thru Ln 57</t>
  </si>
  <si>
    <t>Ln 49 / Ln 58</t>
  </si>
  <si>
    <t>Ln 7 * Ln 8</t>
  </si>
  <si>
    <t>Schedule 6</t>
  </si>
  <si>
    <t>Additional Revenue Requirement (Reduction)</t>
  </si>
  <si>
    <t>Gross Revenue Conversion Factor</t>
  </si>
  <si>
    <t>Ln 17 * Ln 19</t>
  </si>
  <si>
    <t>Ln 11 thru Ln 15</t>
  </si>
  <si>
    <t>Ln 9 - Ln 16</t>
  </si>
  <si>
    <t>Net Pro Forma Average Rate Base</t>
  </si>
  <si>
    <t xml:space="preserve">Weighted Cost of Capital  </t>
  </si>
  <si>
    <t xml:space="preserve">Effect of Net Operating Loss </t>
  </si>
  <si>
    <t>Docket 010961Account Revenue Removal</t>
  </si>
  <si>
    <t>Pro Forma Operating Income</t>
  </si>
  <si>
    <t>Description</t>
  </si>
  <si>
    <t>Schedule 8</t>
  </si>
  <si>
    <t>Weighted Cost of Debt</t>
  </si>
  <si>
    <t>Ln 8 * Ln 10</t>
  </si>
  <si>
    <t>Ln 15 - Ln 16</t>
  </si>
  <si>
    <t>Restating</t>
  </si>
  <si>
    <t>Adjustments</t>
  </si>
  <si>
    <t>Fed Income Tax  *</t>
  </si>
  <si>
    <t>* NOTE: Corporate tax rate for $0 - $50,000 gross revenues 15%</t>
  </si>
  <si>
    <t>R-1</t>
  </si>
  <si>
    <t>Ln 6 thru Ln 10</t>
  </si>
  <si>
    <t>Ln 14 thru Ln 40</t>
  </si>
  <si>
    <t>Ln 11 - Ln 41</t>
  </si>
  <si>
    <t>Testimony Reference Page:Line</t>
  </si>
  <si>
    <t>Ln 11 - Ln 46</t>
  </si>
  <si>
    <t>Ln 44 + Ln 47</t>
  </si>
  <si>
    <t>R-2</t>
  </si>
  <si>
    <t>R-3c</t>
  </si>
  <si>
    <t>R-4</t>
  </si>
  <si>
    <t>R-5</t>
  </si>
  <si>
    <t>R-6</t>
  </si>
  <si>
    <t>Regulatory &amp; IRS Fees</t>
  </si>
  <si>
    <t>R-3a</t>
  </si>
  <si>
    <t>R-3b</t>
  </si>
  <si>
    <t>P-1</t>
  </si>
  <si>
    <t>P-2</t>
  </si>
  <si>
    <t>P-3</t>
  </si>
  <si>
    <t>P-4</t>
  </si>
  <si>
    <t>P-5</t>
  </si>
  <si>
    <t>P-6</t>
  </si>
  <si>
    <t>P-7</t>
  </si>
  <si>
    <t>Not</t>
  </si>
  <si>
    <t>Used</t>
  </si>
  <si>
    <t>S-1</t>
  </si>
  <si>
    <t>Rate Base</t>
  </si>
  <si>
    <t>R-7</t>
  </si>
  <si>
    <t>R-8</t>
  </si>
  <si>
    <t>R-11</t>
  </si>
  <si>
    <t>R-9</t>
  </si>
  <si>
    <t>R-10</t>
  </si>
  <si>
    <t>Staff's</t>
  </si>
  <si>
    <t xml:space="preserve"> (C) + (F)</t>
  </si>
  <si>
    <t xml:space="preserve"> (F) + (H)</t>
  </si>
  <si>
    <t>(I) thru (Q)</t>
  </si>
  <si>
    <t>Capital Structure with Docket 010961 Account</t>
  </si>
  <si>
    <t>Restating Adjustments</t>
  </si>
  <si>
    <t>Pro Forma Adjustments</t>
  </si>
  <si>
    <t>Rate Base and Staff Adjustments</t>
  </si>
  <si>
    <t>Revenue</t>
  </si>
  <si>
    <t>Position</t>
  </si>
  <si>
    <t xml:space="preserve">Pension/Benefit </t>
  </si>
  <si>
    <t xml:space="preserve">Payroll Tax </t>
  </si>
  <si>
    <t xml:space="preserve">Pension/Benefit  </t>
  </si>
  <si>
    <t>8:17</t>
  </si>
  <si>
    <t>12:13</t>
  </si>
  <si>
    <t>JAW-24T</t>
  </si>
  <si>
    <t>13:14</t>
  </si>
  <si>
    <t>14:3</t>
  </si>
  <si>
    <t>4:14</t>
  </si>
  <si>
    <t>15:1</t>
  </si>
  <si>
    <t>15:9</t>
  </si>
  <si>
    <t>17:9</t>
  </si>
  <si>
    <t>17:15</t>
  </si>
  <si>
    <t>18:3</t>
  </si>
  <si>
    <t>18:16</t>
  </si>
  <si>
    <t>49:6</t>
  </si>
  <si>
    <t>3:13</t>
  </si>
  <si>
    <t>4:2</t>
  </si>
  <si>
    <t>10:1</t>
  </si>
  <si>
    <t>49:19</t>
  </si>
  <si>
    <t>13:7</t>
  </si>
  <si>
    <t>P-8</t>
  </si>
  <si>
    <t>P-9</t>
  </si>
  <si>
    <t>17:5</t>
  </si>
  <si>
    <t>19:5</t>
  </si>
  <si>
    <t>24:5</t>
  </si>
  <si>
    <t>35:18</t>
  </si>
  <si>
    <t>49:14</t>
  </si>
  <si>
    <t>Ln42 + Ln45 + Ln46</t>
  </si>
  <si>
    <t>Ln41 + Ln44,+ Ln45</t>
  </si>
  <si>
    <t>Ln 51 thru Ln 56</t>
  </si>
  <si>
    <t>NOTE: P-6,8,9 Company Proposal, Staff not accepted</t>
  </si>
  <si>
    <t>11:1</t>
  </si>
  <si>
    <t>Schedule 2</t>
  </si>
  <si>
    <t>Schedule 3</t>
  </si>
  <si>
    <t>Schedule 4</t>
  </si>
  <si>
    <t>Schedule 5</t>
  </si>
  <si>
    <t>input *</t>
  </si>
  <si>
    <t xml:space="preserve"> * NOTE: Corporate tax rate for $0 - $50,000 gross revenues</t>
  </si>
  <si>
    <t>Ln 11 thru Ln 12</t>
  </si>
  <si>
    <t>Ln 7 - Ln 14</t>
  </si>
  <si>
    <t>Ln 16 - Ln 18</t>
  </si>
  <si>
    <t>1/Ln 20</t>
  </si>
  <si>
    <t>Sch 1, R-58</t>
  </si>
  <si>
    <t>Sch 8, G- 39</t>
  </si>
  <si>
    <t>Sch 1, I-49</t>
  </si>
  <si>
    <t>Sch 1,Q-45</t>
  </si>
  <si>
    <t>Sch 1, K- 8</t>
  </si>
  <si>
    <t>Sch 5, D-22</t>
  </si>
  <si>
    <t>Schedule 7</t>
  </si>
  <si>
    <t>Sch 8, G-32</t>
  </si>
  <si>
    <t>Sch 1, I-45</t>
  </si>
  <si>
    <t>Fm C-11</t>
  </si>
  <si>
    <t>Exh 40T</t>
  </si>
  <si>
    <t>Exh 41T</t>
  </si>
  <si>
    <t>Company's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</si>
</sst>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#,##0.0"/>
    <numFmt numFmtId="168" formatCode="&quot;$&quot;#,##0.0_);[Red]\(&quot;$&quot;#,##0.0\)"/>
    <numFmt numFmtId="169" formatCode="0.0%"/>
    <numFmt numFmtId="170" formatCode="#,##0.0_);\(#,##0.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0_);\(&quot;$&quot;#,##0.000\)"/>
    <numFmt numFmtId="177" formatCode="&quot;$&quot;#,##0.0_);\(&quot;$&quot;#,##0.0\)"/>
    <numFmt numFmtId="178" formatCode="#,##0;[Red]\-#,##0"/>
    <numFmt numFmtId="179" formatCode="#,##0.00;[Red]\-#,##0.00"/>
    <numFmt numFmtId="180" formatCode="#,##0.0000000000_);\(#,##0.0000000000\)"/>
    <numFmt numFmtId="181" formatCode="dd\-mmm\-yy"/>
    <numFmt numFmtId="182" formatCode="m/d/yy"/>
    <numFmt numFmtId="183" formatCode="mmmm\ d\,\ yyyy"/>
    <numFmt numFmtId="184" formatCode="mm/dd/yy"/>
    <numFmt numFmtId="185" formatCode="mmmm\-yy"/>
    <numFmt numFmtId="186" formatCode="&quot;$&quot;#,##0.0000_);\(&quot;$&quot;#,##0.0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0000000_);\(#,##0.000000000\)"/>
    <numFmt numFmtId="191" formatCode="#,##0.0000"/>
    <numFmt numFmtId="192" formatCode="#,##0.00000"/>
    <numFmt numFmtId="193" formatCode="#,##0.000_);\(#,##0.000\)"/>
    <numFmt numFmtId="194" formatCode="#,##0.0000_);\(#,##0.0000\)"/>
    <numFmt numFmtId="195" formatCode="#,##0.00000_);\(#,##0.00000\)"/>
    <numFmt numFmtId="196" formatCode="&quot;Ln 43 * &quot;0%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sz val="12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4"/>
      <name val="Arial"/>
      <family val="2"/>
    </font>
    <font>
      <sz val="12"/>
      <name val="Palatino Linotype"/>
      <family val="1"/>
    </font>
    <font>
      <u val="single"/>
      <sz val="12"/>
      <name val="Palatino Linotype"/>
      <family val="1"/>
    </font>
    <font>
      <b/>
      <sz val="12"/>
      <name val="Palatino Linotype"/>
      <family val="1"/>
    </font>
    <font>
      <sz val="8"/>
      <name val="Palatino Linotype"/>
      <family val="1"/>
    </font>
    <font>
      <sz val="10"/>
      <name val="Palatino Linotype"/>
      <family val="1"/>
    </font>
    <font>
      <sz val="9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Palatino Linotype"/>
      <family val="1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25"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8" fontId="0" fillId="0" borderId="1" xfId="0" applyNumberFormat="1" applyFont="1" applyBorder="1" applyAlignment="1">
      <alignment/>
    </xf>
    <xf numFmtId="8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5" fontId="6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5" fontId="7" fillId="0" borderId="5" xfId="0" applyNumberFormat="1" applyFont="1" applyAlignment="1">
      <alignment/>
    </xf>
    <xf numFmtId="5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7" fontId="7" fillId="2" borderId="0" xfId="0" applyNumberFormat="1" applyFont="1" applyFill="1" applyAlignment="1">
      <alignment horizontal="right"/>
    </xf>
    <xf numFmtId="4" fontId="7" fillId="0" borderId="0" xfId="0" applyNumberFormat="1" applyFont="1" applyAlignment="1">
      <alignment horizontal="center"/>
    </xf>
    <xf numFmtId="164" fontId="7" fillId="0" borderId="5" xfId="0" applyNumberFormat="1" applyFont="1" applyAlignment="1">
      <alignment/>
    </xf>
    <xf numFmtId="3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10" fontId="7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3" borderId="6" xfId="0" applyNumberFormat="1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37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/>
    </xf>
    <xf numFmtId="37" fontId="7" fillId="0" borderId="9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7" fontId="7" fillId="0" borderId="0" xfId="0" applyNumberFormat="1" applyFont="1" applyFill="1" applyAlignment="1">
      <alignment horizontal="right"/>
    </xf>
    <xf numFmtId="4" fontId="7" fillId="0" borderId="0" xfId="0" applyNumberFormat="1" applyFont="1" applyAlignment="1" applyProtection="1">
      <alignment/>
      <protection/>
    </xf>
    <xf numFmtId="7" fontId="0" fillId="0" borderId="10" xfId="0" applyNumberFormat="1" applyFont="1" applyBorder="1" applyAlignment="1">
      <alignment/>
    </xf>
    <xf numFmtId="37" fontId="0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/>
    </xf>
    <xf numFmtId="8" fontId="0" fillId="0" borderId="9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6" fontId="4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/>
      <protection/>
    </xf>
    <xf numFmtId="37" fontId="4" fillId="0" borderId="9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5" fontId="7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5" fontId="8" fillId="0" borderId="0" xfId="0" applyNumberFormat="1" applyFont="1" applyBorder="1" applyAlignment="1">
      <alignment horizontal="center"/>
    </xf>
    <xf numFmtId="5" fontId="8" fillId="0" borderId="0" xfId="0" applyNumberFormat="1" applyFont="1" applyAlignment="1">
      <alignment/>
    </xf>
    <xf numFmtId="10" fontId="7" fillId="0" borderId="0" xfId="0" applyNumberFormat="1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3" fillId="0" borderId="0" xfId="0" applyNumberFormat="1" applyFont="1" applyAlignment="1">
      <alignment/>
    </xf>
    <xf numFmtId="0" fontId="0" fillId="0" borderId="0" xfId="0" applyAlignment="1">
      <alignment/>
    </xf>
    <xf numFmtId="183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37" fontId="0" fillId="0" borderId="9" xfId="0" applyNumberFormat="1" applyBorder="1" applyAlignment="1">
      <alignment/>
    </xf>
    <xf numFmtId="37" fontId="0" fillId="0" borderId="0" xfId="0" applyNumberFormat="1" applyBorder="1" applyAlignment="1">
      <alignment/>
    </xf>
    <xf numFmtId="10" fontId="14" fillId="0" borderId="9" xfId="15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/>
    </xf>
    <xf numFmtId="8" fontId="0" fillId="2" borderId="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8" fontId="0" fillId="0" borderId="0" xfId="0" applyNumberFormat="1" applyFont="1" applyBorder="1" applyAlignment="1">
      <alignment/>
    </xf>
    <xf numFmtId="165" fontId="0" fillId="4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37" fontId="0" fillId="5" borderId="0" xfId="0" applyNumberFormat="1" applyFont="1" applyFill="1" applyAlignment="1">
      <alignment/>
    </xf>
    <xf numFmtId="37" fontId="0" fillId="0" borderId="12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37" fontId="8" fillId="0" borderId="0" xfId="0" applyNumberFormat="1" applyFont="1" applyAlignment="1">
      <alignment/>
    </xf>
    <xf numFmtId="5" fontId="8" fillId="0" borderId="5" xfId="0" applyNumberFormat="1" applyFont="1" applyAlignment="1">
      <alignment/>
    </xf>
    <xf numFmtId="10" fontId="8" fillId="0" borderId="0" xfId="0" applyNumberFormat="1" applyFont="1" applyAlignment="1">
      <alignment/>
    </xf>
    <xf numFmtId="5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10" fontId="0" fillId="0" borderId="0" xfId="15" applyNumberFormat="1" applyAlignment="1">
      <alignment/>
    </xf>
    <xf numFmtId="184" fontId="0" fillId="0" borderId="0" xfId="15" applyNumberFormat="1" applyAlignment="1">
      <alignment/>
    </xf>
    <xf numFmtId="10" fontId="0" fillId="0" borderId="0" xfId="15" applyNumberFormat="1" applyAlignment="1">
      <alignment horizontal="center"/>
    </xf>
    <xf numFmtId="10" fontId="0" fillId="0" borderId="4" xfId="15" applyNumberFormat="1" applyBorder="1" applyAlignment="1">
      <alignment horizontal="center"/>
    </xf>
    <xf numFmtId="10" fontId="0" fillId="0" borderId="0" xfId="15" applyNumberFormat="1" applyBorder="1" applyAlignment="1">
      <alignment horizontal="center"/>
    </xf>
    <xf numFmtId="182" fontId="0" fillId="0" borderId="0" xfId="15" applyNumberFormat="1" applyFont="1" applyAlignment="1">
      <alignment/>
    </xf>
    <xf numFmtId="9" fontId="0" fillId="0" borderId="9" xfId="15" applyBorder="1" applyAlignment="1">
      <alignment/>
    </xf>
    <xf numFmtId="10" fontId="0" fillId="0" borderId="9" xfId="15" applyNumberFormat="1" applyBorder="1" applyAlignment="1">
      <alignment/>
    </xf>
    <xf numFmtId="10" fontId="0" fillId="0" borderId="0" xfId="15" applyNumberFormat="1" applyBorder="1" applyAlignment="1">
      <alignment/>
    </xf>
    <xf numFmtId="9" fontId="0" fillId="0" borderId="0" xfId="15" applyBorder="1" applyAlignment="1">
      <alignment/>
    </xf>
    <xf numFmtId="9" fontId="0" fillId="0" borderId="0" xfId="15" applyNumberFormat="1" applyFont="1" applyAlignment="1">
      <alignment/>
    </xf>
    <xf numFmtId="10" fontId="0" fillId="0" borderId="0" xfId="15" applyNumberFormat="1" applyFont="1" applyAlignment="1">
      <alignment horizontal="right"/>
    </xf>
    <xf numFmtId="10" fontId="7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5" fontId="0" fillId="0" borderId="1" xfId="0" applyNumberFormat="1" applyFont="1" applyBorder="1" applyAlignment="1">
      <alignment/>
    </xf>
    <xf numFmtId="37" fontId="0" fillId="0" borderId="9" xfId="0" applyNumberFormat="1" applyFont="1" applyBorder="1" applyAlignment="1">
      <alignment horizontal="right"/>
    </xf>
    <xf numFmtId="37" fontId="4" fillId="0" borderId="12" xfId="0" applyNumberFormat="1" applyFont="1" applyBorder="1" applyAlignment="1">
      <alignment/>
    </xf>
    <xf numFmtId="16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5" fontId="7" fillId="0" borderId="5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7" fontId="7" fillId="0" borderId="9" xfId="0" applyNumberFormat="1" applyFont="1" applyBorder="1" applyAlignment="1">
      <alignment horizontal="right"/>
    </xf>
    <xf numFmtId="5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10" fontId="0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 horizontal="left"/>
    </xf>
    <xf numFmtId="10" fontId="16" fillId="0" borderId="0" xfId="0" applyNumberFormat="1" applyFont="1" applyFill="1" applyBorder="1" applyAlignment="1">
      <alignment/>
    </xf>
    <xf numFmtId="37" fontId="7" fillId="0" borderId="0" xfId="0" applyNumberFormat="1" applyFont="1" applyAlignment="1">
      <alignment horizontal="left"/>
    </xf>
    <xf numFmtId="37" fontId="0" fillId="0" borderId="4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37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3" fontId="7" fillId="0" borderId="11" xfId="0" applyNumberFormat="1" applyFont="1" applyBorder="1" applyAlignment="1">
      <alignment/>
    </xf>
    <xf numFmtId="10" fontId="14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37" fontId="8" fillId="2" borderId="0" xfId="0" applyNumberFormat="1" applyFont="1" applyFill="1" applyAlignment="1">
      <alignment horizontal="right"/>
    </xf>
    <xf numFmtId="37" fontId="8" fillId="2" borderId="0" xfId="0" applyNumberFormat="1" applyFont="1" applyFill="1" applyAlignment="1">
      <alignment/>
    </xf>
    <xf numFmtId="37" fontId="8" fillId="2" borderId="0" xfId="0" applyNumberFormat="1" applyFont="1" applyFill="1" applyAlignment="1">
      <alignment horizontal="right"/>
    </xf>
    <xf numFmtId="0" fontId="17" fillId="0" borderId="0" xfId="0" applyNumberFormat="1" applyFont="1" applyAlignment="1">
      <alignment/>
    </xf>
    <xf numFmtId="10" fontId="0" fillId="0" borderId="0" xfId="0" applyNumberFormat="1" applyAlignment="1">
      <alignment/>
    </xf>
    <xf numFmtId="39" fontId="0" fillId="0" borderId="0" xfId="0" applyNumberFormat="1" applyAlignment="1">
      <alignment horizontal="center"/>
    </xf>
    <xf numFmtId="39" fontId="0" fillId="0" borderId="0" xfId="0" applyNumberFormat="1" applyAlignment="1">
      <alignment/>
    </xf>
    <xf numFmtId="39" fontId="17" fillId="0" borderId="12" xfId="0" applyNumberFormat="1" applyFont="1" applyBorder="1" applyAlignment="1">
      <alignment/>
    </xf>
    <xf numFmtId="39" fontId="0" fillId="0" borderId="12" xfId="0" applyNumberFormat="1" applyBorder="1" applyAlignment="1">
      <alignment/>
    </xf>
    <xf numFmtId="39" fontId="19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39" fontId="0" fillId="0" borderId="4" xfId="0" applyNumberFormat="1" applyBorder="1" applyAlignment="1">
      <alignment horizontal="center"/>
    </xf>
    <xf numFmtId="39" fontId="0" fillId="0" borderId="9" xfId="0" applyNumberFormat="1" applyFont="1" applyBorder="1" applyAlignment="1">
      <alignment/>
    </xf>
    <xf numFmtId="0" fontId="18" fillId="0" borderId="0" xfId="0" applyFont="1" applyAlignment="1">
      <alignment horizontal="right"/>
    </xf>
    <xf numFmtId="37" fontId="5" fillId="0" borderId="0" xfId="0" applyNumberFormat="1" applyFont="1" applyAlignment="1">
      <alignment/>
    </xf>
    <xf numFmtId="39" fontId="4" fillId="0" borderId="0" xfId="0" applyNumberFormat="1" applyFont="1" applyAlignment="1">
      <alignment horizontal="center"/>
    </xf>
    <xf numFmtId="39" fontId="4" fillId="0" borderId="4" xfId="0" applyNumberFormat="1" applyFont="1" applyBorder="1" applyAlignment="1">
      <alignment horizontal="center"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2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8" fillId="2" borderId="0" xfId="0" applyNumberFormat="1" applyFont="1" applyFill="1" applyAlignment="1">
      <alignment horizontal="center"/>
    </xf>
    <xf numFmtId="39" fontId="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191" fontId="17" fillId="0" borderId="14" xfId="0" applyNumberFormat="1" applyFont="1" applyBorder="1" applyAlignment="1">
      <alignment horizontal="center"/>
    </xf>
    <xf numFmtId="192" fontId="17" fillId="0" borderId="14" xfId="0" applyNumberFormat="1" applyFont="1" applyBorder="1" applyAlignment="1">
      <alignment horizontal="center"/>
    </xf>
    <xf numFmtId="37" fontId="17" fillId="0" borderId="0" xfId="0" applyNumberFormat="1" applyFont="1" applyAlignment="1">
      <alignment/>
    </xf>
    <xf numFmtId="0" fontId="0" fillId="0" borderId="1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3" fontId="22" fillId="0" borderId="0" xfId="0" applyNumberFormat="1" applyFont="1" applyFill="1" applyAlignment="1">
      <alignment horizontal="center"/>
    </xf>
    <xf numFmtId="37" fontId="24" fillId="0" borderId="0" xfId="0" applyNumberFormat="1" applyFont="1" applyAlignment="1">
      <alignment horizontal="center"/>
    </xf>
    <xf numFmtId="5" fontId="24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4" xfId="0" applyFont="1" applyBorder="1" applyAlignment="1">
      <alignment horizontal="center"/>
    </xf>
    <xf numFmtId="9" fontId="17" fillId="0" borderId="14" xfId="15" applyFont="1" applyBorder="1" applyAlignment="1">
      <alignment/>
    </xf>
    <xf numFmtId="191" fontId="17" fillId="0" borderId="14" xfId="0" applyNumberFormat="1" applyFont="1" applyBorder="1" applyAlignment="1">
      <alignment/>
    </xf>
    <xf numFmtId="192" fontId="17" fillId="0" borderId="14" xfId="0" applyNumberFormat="1" applyFont="1" applyBorder="1" applyAlignment="1">
      <alignment/>
    </xf>
    <xf numFmtId="192" fontId="17" fillId="0" borderId="19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92" fontId="17" fillId="0" borderId="6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37" fontId="17" fillId="0" borderId="0" xfId="15" applyNumberFormat="1" applyFont="1" applyBorder="1" applyAlignment="1">
      <alignment/>
    </xf>
    <xf numFmtId="10" fontId="17" fillId="0" borderId="0" xfId="15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5" fontId="17" fillId="0" borderId="0" xfId="15" applyNumberFormat="1" applyFont="1" applyBorder="1" applyAlignment="1">
      <alignment/>
    </xf>
    <xf numFmtId="37" fontId="17" fillId="0" borderId="12" xfId="15" applyNumberFormat="1" applyFont="1" applyBorder="1" applyAlignment="1">
      <alignment/>
    </xf>
    <xf numFmtId="37" fontId="17" fillId="0" borderId="7" xfId="15" applyNumberFormat="1" applyFont="1" applyBorder="1" applyAlignment="1">
      <alignment/>
    </xf>
    <xf numFmtId="37" fontId="17" fillId="0" borderId="20" xfId="15" applyNumberFormat="1" applyFont="1" applyBorder="1" applyAlignment="1">
      <alignment/>
    </xf>
    <xf numFmtId="0" fontId="0" fillId="0" borderId="0" xfId="0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5" fontId="4" fillId="0" borderId="9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5" fontId="7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37" fontId="0" fillId="0" borderId="4" xfId="0" applyNumberFormat="1" applyFont="1" applyBorder="1" applyAlignment="1">
      <alignment/>
    </xf>
    <xf numFmtId="0" fontId="26" fillId="0" borderId="0" xfId="0" applyNumberFormat="1" applyFont="1" applyAlignment="1">
      <alignment horizontal="center"/>
    </xf>
    <xf numFmtId="0" fontId="22" fillId="0" borderId="4" xfId="0" applyNumberFormat="1" applyFont="1" applyBorder="1" applyAlignment="1">
      <alignment horizontal="center"/>
    </xf>
    <xf numFmtId="196" fontId="24" fillId="0" borderId="0" xfId="15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8"/>
  <sheetViews>
    <sheetView showGridLines="0" showRowColHeaders="0" tabSelected="1" showOutlineSymbols="0" view="pageBreakPreview" zoomScale="60" zoomScaleNormal="7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7" sqref="B7"/>
    </sheetView>
  </sheetViews>
  <sheetFormatPr defaultColWidth="10.6640625" defaultRowHeight="15"/>
  <cols>
    <col min="1" max="1" width="3.10546875" style="0" bestFit="1" customWidth="1"/>
    <col min="2" max="2" width="23.3359375" style="0" customWidth="1"/>
    <col min="3" max="3" width="12.3359375" style="321" bestFit="1" customWidth="1"/>
    <col min="4" max="5" width="11.77734375" style="0" customWidth="1"/>
    <col min="6" max="6" width="7.88671875" style="70" customWidth="1"/>
    <col min="7" max="7" width="11.10546875" style="77" bestFit="1" customWidth="1"/>
    <col min="8" max="8" width="12.77734375" style="0" customWidth="1"/>
    <col min="9" max="9" width="5.6640625" style="67" bestFit="1" customWidth="1"/>
    <col min="10" max="11" width="13.77734375" style="0" customWidth="1"/>
    <col min="12" max="12" width="4.77734375" style="1" customWidth="1"/>
    <col min="13" max="13" width="12.77734375" style="0" customWidth="1"/>
    <col min="14" max="14" width="5.10546875" style="262" customWidth="1"/>
    <col min="15" max="15" width="12.77734375" style="0" customWidth="1"/>
    <col min="16" max="16" width="4.5546875" style="0" customWidth="1"/>
    <col min="17" max="17" width="13.77734375" style="0" customWidth="1"/>
    <col min="18" max="18" width="5.77734375" style="70" customWidth="1"/>
    <col min="19" max="19" width="13.77734375" style="4" customWidth="1"/>
    <col min="20" max="20" width="14.77734375" style="0" customWidth="1"/>
    <col min="21" max="21" width="5.88671875" style="117" customWidth="1"/>
  </cols>
  <sheetData>
    <row r="1" spans="2:21" s="12" customFormat="1" ht="15">
      <c r="B1" s="22" t="s">
        <v>299</v>
      </c>
      <c r="C1" s="322"/>
      <c r="D1" s="22" t="s">
        <v>300</v>
      </c>
      <c r="E1" s="22" t="s">
        <v>301</v>
      </c>
      <c r="F1" s="22" t="s">
        <v>302</v>
      </c>
      <c r="G1" s="22" t="s">
        <v>303</v>
      </c>
      <c r="H1" s="22" t="s">
        <v>304</v>
      </c>
      <c r="I1" s="22" t="s">
        <v>305</v>
      </c>
      <c r="J1" s="22" t="s">
        <v>306</v>
      </c>
      <c r="K1" s="22" t="s">
        <v>307</v>
      </c>
      <c r="L1" s="22" t="s">
        <v>308</v>
      </c>
      <c r="M1" s="22" t="s">
        <v>309</v>
      </c>
      <c r="N1" s="22" t="s">
        <v>310</v>
      </c>
      <c r="O1" s="22" t="s">
        <v>311</v>
      </c>
      <c r="P1" s="22" t="s">
        <v>312</v>
      </c>
      <c r="Q1" s="22" t="s">
        <v>313</v>
      </c>
      <c r="R1" s="22" t="s">
        <v>314</v>
      </c>
      <c r="S1" s="22" t="s">
        <v>315</v>
      </c>
      <c r="T1" s="22" t="s">
        <v>316</v>
      </c>
      <c r="U1" s="262"/>
    </row>
    <row r="2" spans="1:21" ht="15.75">
      <c r="A2" s="280">
        <v>1</v>
      </c>
      <c r="B2" s="222" t="s">
        <v>91</v>
      </c>
      <c r="C2" s="284"/>
      <c r="D2" s="36"/>
      <c r="E2" s="36"/>
      <c r="F2" s="66"/>
      <c r="G2" s="49"/>
      <c r="H2" s="34" t="s">
        <v>0</v>
      </c>
      <c r="I2" s="66"/>
      <c r="J2" s="35"/>
      <c r="K2" s="35"/>
      <c r="L2" s="32"/>
      <c r="M2" s="35"/>
      <c r="N2" s="113"/>
      <c r="O2" s="37"/>
      <c r="P2" s="37"/>
      <c r="Q2" s="37"/>
      <c r="R2" s="66"/>
      <c r="S2" s="180"/>
      <c r="T2" s="31"/>
      <c r="U2" s="111"/>
    </row>
    <row r="3" spans="1:21" ht="15.75">
      <c r="A3" s="280">
        <f>1+A2</f>
        <v>2</v>
      </c>
      <c r="B3" s="34" t="s">
        <v>114</v>
      </c>
      <c r="C3" s="282"/>
      <c r="D3" s="34"/>
      <c r="E3" s="34"/>
      <c r="F3" s="68"/>
      <c r="G3" s="50"/>
      <c r="H3" s="34" t="s">
        <v>116</v>
      </c>
      <c r="I3" s="66"/>
      <c r="J3" s="31"/>
      <c r="K3" s="31"/>
      <c r="L3" s="32"/>
      <c r="M3" s="31"/>
      <c r="N3" s="135"/>
      <c r="O3" s="38"/>
      <c r="P3" s="38"/>
      <c r="Q3" s="38"/>
      <c r="R3" s="66"/>
      <c r="S3" s="211"/>
      <c r="T3" s="31"/>
      <c r="U3" s="111"/>
    </row>
    <row r="4" spans="1:21" ht="15.75">
      <c r="A4" s="280">
        <f aca="true" t="shared" si="0" ref="A4:A62">1+A3</f>
        <v>3</v>
      </c>
      <c r="B4" s="31" t="s">
        <v>298</v>
      </c>
      <c r="C4" s="285"/>
      <c r="D4" s="31"/>
      <c r="E4" s="31"/>
      <c r="F4" s="68"/>
      <c r="G4" s="50"/>
      <c r="H4" s="31"/>
      <c r="I4" s="66"/>
      <c r="J4" s="31"/>
      <c r="K4" s="31"/>
      <c r="L4" s="32"/>
      <c r="M4" s="31"/>
      <c r="N4" s="135"/>
      <c r="O4" s="31"/>
      <c r="P4" s="31"/>
      <c r="Q4" s="31"/>
      <c r="R4" s="66"/>
      <c r="S4" s="180"/>
      <c r="T4" s="31"/>
      <c r="U4" s="111"/>
    </row>
    <row r="5" spans="1:21" ht="15.75">
      <c r="A5" s="280">
        <f t="shared" si="0"/>
        <v>4</v>
      </c>
      <c r="B5" s="34"/>
      <c r="C5" s="282"/>
      <c r="D5" s="39" t="s">
        <v>92</v>
      </c>
      <c r="E5" s="40" t="s">
        <v>111</v>
      </c>
      <c r="F5" s="68"/>
      <c r="G5" s="76" t="s">
        <v>115</v>
      </c>
      <c r="H5" s="39" t="s">
        <v>2</v>
      </c>
      <c r="I5" s="66"/>
      <c r="J5" s="39" t="s">
        <v>3</v>
      </c>
      <c r="K5" s="39" t="s">
        <v>3</v>
      </c>
      <c r="L5" s="32"/>
      <c r="M5" s="39" t="s">
        <v>249</v>
      </c>
      <c r="N5" s="113"/>
      <c r="O5" s="39" t="s">
        <v>123</v>
      </c>
      <c r="P5" s="39"/>
      <c r="Q5" s="39" t="s">
        <v>123</v>
      </c>
      <c r="R5" s="66"/>
      <c r="S5" s="40" t="s">
        <v>4</v>
      </c>
      <c r="T5" s="40" t="s">
        <v>4</v>
      </c>
      <c r="U5" s="112"/>
    </row>
    <row r="6" spans="1:21" ht="15.75">
      <c r="A6" s="280">
        <f t="shared" si="0"/>
        <v>5</v>
      </c>
      <c r="B6" s="34" t="s">
        <v>1</v>
      </c>
      <c r="C6" s="282"/>
      <c r="D6" s="41">
        <v>36892</v>
      </c>
      <c r="E6" s="39" t="s">
        <v>110</v>
      </c>
      <c r="F6" s="69"/>
      <c r="G6" s="76" t="s">
        <v>5</v>
      </c>
      <c r="H6" s="39" t="s">
        <v>5</v>
      </c>
      <c r="I6" s="66"/>
      <c r="J6" s="39" t="s">
        <v>5</v>
      </c>
      <c r="K6" s="39" t="s">
        <v>6</v>
      </c>
      <c r="L6" s="32"/>
      <c r="M6" s="39" t="s">
        <v>250</v>
      </c>
      <c r="N6" s="113"/>
      <c r="O6" s="39" t="s">
        <v>124</v>
      </c>
      <c r="P6" s="39"/>
      <c r="Q6" s="39" t="s">
        <v>125</v>
      </c>
      <c r="R6" s="66"/>
      <c r="S6" s="40"/>
      <c r="T6" s="39" t="s">
        <v>7</v>
      </c>
      <c r="U6" s="113"/>
    </row>
    <row r="7" spans="1:21" ht="15.75">
      <c r="A7" s="280">
        <f t="shared" si="0"/>
        <v>6</v>
      </c>
      <c r="B7" s="39" t="s">
        <v>8</v>
      </c>
      <c r="C7" s="282" t="s">
        <v>274</v>
      </c>
      <c r="D7" s="40" t="s">
        <v>9</v>
      </c>
      <c r="E7" s="40" t="s">
        <v>9</v>
      </c>
      <c r="F7" s="68"/>
      <c r="G7" s="40" t="s">
        <v>9</v>
      </c>
      <c r="H7" s="40" t="s">
        <v>377</v>
      </c>
      <c r="I7" s="52"/>
      <c r="J7" s="40" t="s">
        <v>10</v>
      </c>
      <c r="K7" s="40" t="s">
        <v>378</v>
      </c>
      <c r="L7" s="42"/>
      <c r="M7" s="40" t="s">
        <v>9</v>
      </c>
      <c r="N7" s="112"/>
      <c r="O7" s="40" t="s">
        <v>9</v>
      </c>
      <c r="P7" s="40"/>
      <c r="Q7" s="40" t="s">
        <v>9</v>
      </c>
      <c r="R7" s="52"/>
      <c r="S7" s="212" t="s">
        <v>9</v>
      </c>
      <c r="T7" s="40" t="s">
        <v>379</v>
      </c>
      <c r="U7" s="112"/>
    </row>
    <row r="8" spans="1:23" ht="15.75">
      <c r="A8" s="280">
        <f t="shared" si="0"/>
        <v>7</v>
      </c>
      <c r="B8" s="72" t="s">
        <v>186</v>
      </c>
      <c r="C8" s="286"/>
      <c r="D8" s="28">
        <v>213089.64</v>
      </c>
      <c r="E8" s="51"/>
      <c r="F8" s="265"/>
      <c r="G8" s="50"/>
      <c r="H8" s="78">
        <f>+G8+E8</f>
        <v>0</v>
      </c>
      <c r="I8" s="52"/>
      <c r="J8" s="78"/>
      <c r="K8" s="51">
        <f>+J8+H8</f>
        <v>0</v>
      </c>
      <c r="L8" s="57"/>
      <c r="M8" s="28"/>
      <c r="N8" s="112"/>
      <c r="O8" s="28"/>
      <c r="P8" s="28"/>
      <c r="Q8" s="28"/>
      <c r="R8" s="40"/>
      <c r="S8" s="213"/>
      <c r="T8" s="51">
        <f>SUM(K8:S8)</f>
        <v>0</v>
      </c>
      <c r="U8" s="51"/>
      <c r="V8" s="28">
        <f>+Rates!C10</f>
        <v>485009.35188800003</v>
      </c>
      <c r="W8" s="44" t="s">
        <v>85</v>
      </c>
    </row>
    <row r="9" spans="1:23" ht="15.75" customHeight="1">
      <c r="A9" s="280">
        <f t="shared" si="0"/>
        <v>8</v>
      </c>
      <c r="B9" s="72" t="s">
        <v>185</v>
      </c>
      <c r="C9" s="286"/>
      <c r="D9" s="28">
        <v>667409.9</v>
      </c>
      <c r="E9" s="51">
        <v>653491.16</v>
      </c>
      <c r="F9" s="265"/>
      <c r="G9" s="61"/>
      <c r="H9" s="78">
        <f>+G9+E9</f>
        <v>653491.16</v>
      </c>
      <c r="I9" s="52" t="s">
        <v>11</v>
      </c>
      <c r="J9" s="236">
        <v>-1104</v>
      </c>
      <c r="K9" s="51">
        <f>+J9+H9</f>
        <v>652387.16</v>
      </c>
      <c r="L9" s="52" t="s">
        <v>119</v>
      </c>
      <c r="M9" s="237">
        <v>-78976</v>
      </c>
      <c r="N9" s="67"/>
      <c r="O9" s="1"/>
      <c r="P9" s="1"/>
      <c r="Q9" s="1"/>
      <c r="R9" s="52" t="s">
        <v>12</v>
      </c>
      <c r="S9" s="238">
        <v>-88400</v>
      </c>
      <c r="T9" s="51">
        <f>SUM(K9:S9)</f>
        <v>485011.16000000003</v>
      </c>
      <c r="U9" s="51"/>
      <c r="V9" s="28">
        <f>+T9+T8</f>
        <v>485011.16000000003</v>
      </c>
      <c r="W9" s="44" t="s">
        <v>86</v>
      </c>
    </row>
    <row r="10" spans="1:23" ht="15.75" customHeight="1">
      <c r="A10" s="280">
        <f t="shared" si="0"/>
        <v>9</v>
      </c>
      <c r="B10" s="72" t="s">
        <v>184</v>
      </c>
      <c r="C10" s="286"/>
      <c r="D10" s="28">
        <v>13990.2</v>
      </c>
      <c r="E10" s="51">
        <v>14207.28</v>
      </c>
      <c r="F10" s="265"/>
      <c r="G10" s="61"/>
      <c r="H10" s="78">
        <f>+G10+E10</f>
        <v>14207.28</v>
      </c>
      <c r="I10" s="76"/>
      <c r="J10" s="78"/>
      <c r="K10" s="51">
        <f>H10+J10</f>
        <v>14207.28</v>
      </c>
      <c r="L10" s="61"/>
      <c r="M10" s="61"/>
      <c r="N10" s="67"/>
      <c r="O10" s="28"/>
      <c r="P10" s="28"/>
      <c r="Q10" s="28"/>
      <c r="R10" s="40"/>
      <c r="S10" s="239"/>
      <c r="T10" s="51">
        <f>SUM(K10:S10)</f>
        <v>14207.28</v>
      </c>
      <c r="U10" s="51"/>
      <c r="V10" s="270">
        <f>+V8-V9</f>
        <v>-1.8081119999988005</v>
      </c>
      <c r="W10" s="44" t="s">
        <v>259</v>
      </c>
    </row>
    <row r="11" spans="1:23" ht="15.75">
      <c r="A11" s="280">
        <f t="shared" si="0"/>
        <v>10</v>
      </c>
      <c r="B11" s="72" t="s">
        <v>183</v>
      </c>
      <c r="C11" s="286"/>
      <c r="D11" s="28">
        <v>22059.4</v>
      </c>
      <c r="E11" s="51">
        <v>19474</v>
      </c>
      <c r="F11" s="265"/>
      <c r="G11" s="61"/>
      <c r="H11" s="78">
        <f>+G11+E11</f>
        <v>19474</v>
      </c>
      <c r="I11" s="84"/>
      <c r="J11" s="78"/>
      <c r="K11" s="51">
        <f>H11+J11</f>
        <v>19474</v>
      </c>
      <c r="M11" s="61"/>
      <c r="N11" s="67"/>
      <c r="O11" s="28"/>
      <c r="P11" s="28"/>
      <c r="Q11" s="28"/>
      <c r="R11" s="40"/>
      <c r="S11" s="213"/>
      <c r="T11" s="51">
        <f>SUM(K11:S11)</f>
        <v>19474</v>
      </c>
      <c r="U11" s="116"/>
      <c r="V11" s="45">
        <v>4.54</v>
      </c>
      <c r="W11" s="46" t="s">
        <v>68</v>
      </c>
    </row>
    <row r="12" spans="1:23" ht="16.5" thickBot="1">
      <c r="A12" s="280">
        <f t="shared" si="0"/>
        <v>11</v>
      </c>
      <c r="B12" s="72" t="s">
        <v>182</v>
      </c>
      <c r="C12" s="286"/>
      <c r="D12" s="28"/>
      <c r="E12" s="51">
        <v>11108.17</v>
      </c>
      <c r="F12" s="265" t="s">
        <v>117</v>
      </c>
      <c r="G12" s="61">
        <v>-11108.17</v>
      </c>
      <c r="H12" s="78">
        <f>+G12+E12</f>
        <v>0</v>
      </c>
      <c r="I12" s="84"/>
      <c r="J12" s="78"/>
      <c r="K12" s="51"/>
      <c r="M12" s="61"/>
      <c r="N12" s="67"/>
      <c r="O12" s="28"/>
      <c r="P12" s="28"/>
      <c r="Q12" s="28"/>
      <c r="R12" s="40"/>
      <c r="S12" s="213"/>
      <c r="T12" s="51"/>
      <c r="U12" s="116"/>
      <c r="V12" s="45"/>
      <c r="W12" s="46"/>
    </row>
    <row r="13" spans="1:23" ht="17.25" thickBot="1" thickTop="1">
      <c r="A13" s="280">
        <f t="shared" si="0"/>
        <v>12</v>
      </c>
      <c r="B13" s="34" t="s">
        <v>13</v>
      </c>
      <c r="C13" s="282" t="s">
        <v>317</v>
      </c>
      <c r="D13" s="47">
        <v>916549.14</v>
      </c>
      <c r="E13" s="47">
        <f>SUM(E8:E12)</f>
        <v>698280.6100000001</v>
      </c>
      <c r="F13" s="265"/>
      <c r="G13" s="29">
        <f>SUM(G8:G12)</f>
        <v>-11108.17</v>
      </c>
      <c r="H13" s="47">
        <f>SUM(H8:H12)</f>
        <v>687172.4400000001</v>
      </c>
      <c r="I13" s="84"/>
      <c r="J13" s="29">
        <f>SUM(J8:J12)</f>
        <v>-1104</v>
      </c>
      <c r="K13" s="29">
        <f>SUM(K8:K11)</f>
        <v>686068.4400000001</v>
      </c>
      <c r="M13" s="29">
        <f>SUM(M8:M12)</f>
        <v>-78976</v>
      </c>
      <c r="N13" s="67"/>
      <c r="O13" s="29">
        <f>SUM(O8:O12)</f>
        <v>0</v>
      </c>
      <c r="P13" s="29"/>
      <c r="Q13" s="29">
        <f>SUM(Q8:Q12)</f>
        <v>0</v>
      </c>
      <c r="R13" s="40"/>
      <c r="S13" s="29">
        <f>SUM(S8:S12)</f>
        <v>-88400</v>
      </c>
      <c r="T13" s="29">
        <f>SUM(T8:T12)</f>
        <v>518692.44000000006</v>
      </c>
      <c r="U13" s="116"/>
      <c r="V13" s="10">
        <f>+T14</f>
        <v>26.90918553040391</v>
      </c>
      <c r="W13" s="95" t="s">
        <v>106</v>
      </c>
    </row>
    <row r="14" spans="1:23" ht="15.75">
      <c r="A14" s="280">
        <f t="shared" si="0"/>
        <v>13</v>
      </c>
      <c r="B14" s="180" t="s">
        <v>176</v>
      </c>
      <c r="C14" s="285"/>
      <c r="D14" s="83">
        <f>(+D8+D9)/12/D62</f>
        <v>37.47444416070821</v>
      </c>
      <c r="E14" s="83">
        <f>(+E8+E9)/12/E62</f>
        <v>36.25672214824679</v>
      </c>
      <c r="F14" s="68"/>
      <c r="G14" s="49"/>
      <c r="H14" s="83" t="s">
        <v>1</v>
      </c>
      <c r="I14" s="84"/>
      <c r="J14" s="43"/>
      <c r="K14" s="83">
        <f>(+K8+K9)/12/K62</f>
        <v>36.19547048379938</v>
      </c>
      <c r="L14" s="89"/>
      <c r="M14" s="109"/>
      <c r="N14" s="135"/>
      <c r="O14" s="83"/>
      <c r="P14" s="83"/>
      <c r="Q14" s="83"/>
      <c r="R14" s="107"/>
      <c r="S14" s="78"/>
      <c r="T14" s="83">
        <f>(+T8+T9)/12/T62</f>
        <v>26.90918553040391</v>
      </c>
      <c r="U14" s="116"/>
      <c r="V14" s="96">
        <f>+V13+V11</f>
        <v>31.44918553040391</v>
      </c>
      <c r="W14" s="95" t="s">
        <v>169</v>
      </c>
    </row>
    <row r="15" spans="1:23" ht="18.75">
      <c r="A15" s="280">
        <f t="shared" si="0"/>
        <v>14</v>
      </c>
      <c r="B15" s="73" t="s">
        <v>14</v>
      </c>
      <c r="C15" s="283"/>
      <c r="D15" s="109"/>
      <c r="E15" s="109"/>
      <c r="F15" s="140"/>
      <c r="G15" s="109"/>
      <c r="H15" s="109"/>
      <c r="I15" s="140"/>
      <c r="J15" s="109"/>
      <c r="K15" s="109"/>
      <c r="L15" s="109"/>
      <c r="M15" s="109"/>
      <c r="N15" s="258"/>
      <c r="O15" s="109"/>
      <c r="P15" s="109"/>
      <c r="Q15" s="109"/>
      <c r="R15" s="140"/>
      <c r="S15" s="78"/>
      <c r="T15" s="197"/>
      <c r="U15" s="51"/>
      <c r="V15" s="233">
        <f>+Capital!H41</f>
        <v>0.10112307444006217</v>
      </c>
      <c r="W15" s="31" t="s">
        <v>88</v>
      </c>
    </row>
    <row r="16" spans="1:23" ht="18">
      <c r="A16" s="280">
        <f t="shared" si="0"/>
        <v>15</v>
      </c>
      <c r="B16" s="75" t="s">
        <v>15</v>
      </c>
      <c r="C16" s="283"/>
      <c r="D16" s="48">
        <v>279364.25</v>
      </c>
      <c r="E16" s="48">
        <f>112195.04+56901.18</f>
        <v>169096.22</v>
      </c>
      <c r="F16" s="265"/>
      <c r="G16" s="78"/>
      <c r="H16" s="28">
        <f aca="true" t="shared" si="1" ref="H16:H42">+G16+E16</f>
        <v>169096.22</v>
      </c>
      <c r="I16" s="87" t="s">
        <v>118</v>
      </c>
      <c r="J16" s="236">
        <f>+'Payroll New'!F32+'Payroll New'!F33</f>
        <v>-23102</v>
      </c>
      <c r="K16" s="28">
        <f aca="true" t="shared" si="2" ref="K16:K42">+H16+J16</f>
        <v>145994.22</v>
      </c>
      <c r="L16" s="127"/>
      <c r="M16" s="128"/>
      <c r="N16" s="259"/>
      <c r="O16" s="130"/>
      <c r="P16" s="48"/>
      <c r="Q16" s="48"/>
      <c r="R16" s="79"/>
      <c r="S16" s="94"/>
      <c r="T16" s="28">
        <f>SUM(K16:S16)</f>
        <v>145994.22</v>
      </c>
      <c r="U16" s="51"/>
      <c r="V16" s="225">
        <f>+T61</f>
        <v>0.10144644381520532</v>
      </c>
      <c r="W16" s="133" t="s">
        <v>152</v>
      </c>
    </row>
    <row r="17" spans="1:23" ht="16.5" thickBot="1">
      <c r="A17" s="280">
        <f t="shared" si="0"/>
        <v>16</v>
      </c>
      <c r="B17" s="75" t="s">
        <v>16</v>
      </c>
      <c r="C17" s="283"/>
      <c r="D17" s="48">
        <v>24000</v>
      </c>
      <c r="E17" s="48">
        <v>23841.68</v>
      </c>
      <c r="F17" s="265"/>
      <c r="G17" s="78"/>
      <c r="H17" s="28">
        <f t="shared" si="1"/>
        <v>23841.68</v>
      </c>
      <c r="I17" s="87" t="s">
        <v>118</v>
      </c>
      <c r="J17" s="236">
        <f>+'Payroll New'!F31</f>
        <v>0</v>
      </c>
      <c r="K17" s="28">
        <f t="shared" si="2"/>
        <v>23841.68</v>
      </c>
      <c r="L17" s="126"/>
      <c r="M17" s="128"/>
      <c r="N17" s="259"/>
      <c r="O17" s="130"/>
      <c r="P17" s="48"/>
      <c r="Q17" s="48"/>
      <c r="R17" s="79"/>
      <c r="S17" s="94"/>
      <c r="T17" s="28">
        <f aca="true" t="shared" si="3" ref="T17:T42">SUM(K17:S17)</f>
        <v>23841.68</v>
      </c>
      <c r="U17" s="51"/>
      <c r="V17" s="53"/>
      <c r="W17" s="116"/>
    </row>
    <row r="18" spans="1:23" ht="15.75">
      <c r="A18" s="280">
        <f t="shared" si="0"/>
        <v>17</v>
      </c>
      <c r="B18" s="75" t="s">
        <v>386</v>
      </c>
      <c r="C18" s="283"/>
      <c r="D18" s="48">
        <v>30336.825000000004</v>
      </c>
      <c r="E18" s="48">
        <v>29070.57</v>
      </c>
      <c r="F18" s="265"/>
      <c r="G18" s="78"/>
      <c r="H18" s="28">
        <f t="shared" si="1"/>
        <v>29070.57</v>
      </c>
      <c r="I18" s="87" t="s">
        <v>118</v>
      </c>
      <c r="J18" s="236">
        <f>+'Payroll New'!F34</f>
        <v>-2211.5499999999993</v>
      </c>
      <c r="K18" s="28">
        <f t="shared" si="2"/>
        <v>26859.02</v>
      </c>
      <c r="L18" s="129"/>
      <c r="M18" s="128"/>
      <c r="N18" s="259"/>
      <c r="O18" s="130"/>
      <c r="P18" s="48"/>
      <c r="Q18" s="48"/>
      <c r="R18" s="79"/>
      <c r="S18" s="94"/>
      <c r="T18" s="28">
        <f t="shared" si="3"/>
        <v>26859.02</v>
      </c>
      <c r="U18" s="51"/>
      <c r="V18" s="96">
        <f>+S9/12/T62</f>
        <v>-4.904571682201509</v>
      </c>
      <c r="W18" s="131" t="s">
        <v>151</v>
      </c>
    </row>
    <row r="19" spans="1:23" ht="15.75">
      <c r="A19" s="280">
        <f t="shared" si="0"/>
        <v>18</v>
      </c>
      <c r="B19" s="75" t="s">
        <v>17</v>
      </c>
      <c r="C19" s="283"/>
      <c r="D19" s="48">
        <v>57488.99</v>
      </c>
      <c r="E19" s="48">
        <f>36499.82+232.09</f>
        <v>36731.909999999996</v>
      </c>
      <c r="F19" s="265"/>
      <c r="G19" s="78"/>
      <c r="H19" s="28">
        <f t="shared" si="1"/>
        <v>36731.909999999996</v>
      </c>
      <c r="I19" s="87"/>
      <c r="J19" s="78"/>
      <c r="K19" s="28">
        <f t="shared" si="2"/>
        <v>36731.909999999996</v>
      </c>
      <c r="L19" s="127"/>
      <c r="M19" s="130"/>
      <c r="N19" s="259"/>
      <c r="O19" s="130"/>
      <c r="P19" s="48"/>
      <c r="Q19" s="48"/>
      <c r="R19" s="79"/>
      <c r="S19" s="78"/>
      <c r="T19" s="28">
        <f t="shared" si="3"/>
        <v>36731.909999999996</v>
      </c>
      <c r="U19" s="51"/>
      <c r="V19" s="132"/>
      <c r="W19" s="131"/>
    </row>
    <row r="20" spans="1:23" ht="15.75">
      <c r="A20" s="280">
        <f t="shared" si="0"/>
        <v>19</v>
      </c>
      <c r="B20" s="75" t="s">
        <v>100</v>
      </c>
      <c r="C20" s="283"/>
      <c r="D20" s="48">
        <v>14941.4</v>
      </c>
      <c r="E20" s="48">
        <v>11178.41</v>
      </c>
      <c r="F20" s="265"/>
      <c r="G20" s="78"/>
      <c r="H20" s="28">
        <f t="shared" si="1"/>
        <v>11178.41</v>
      </c>
      <c r="I20" s="87"/>
      <c r="J20" s="78"/>
      <c r="K20" s="28">
        <f t="shared" si="2"/>
        <v>11178.41</v>
      </c>
      <c r="L20" s="57"/>
      <c r="M20" s="78"/>
      <c r="N20" s="260"/>
      <c r="O20" s="78"/>
      <c r="P20" s="48"/>
      <c r="Q20" s="48"/>
      <c r="R20" s="79"/>
      <c r="S20" s="78"/>
      <c r="T20" s="28">
        <f t="shared" si="3"/>
        <v>11178.41</v>
      </c>
      <c r="U20" s="51"/>
      <c r="W20" s="117"/>
    </row>
    <row r="21" spans="1:25" s="124" customFormat="1" ht="15.75">
      <c r="A21" s="280">
        <f t="shared" si="0"/>
        <v>20</v>
      </c>
      <c r="B21" s="119" t="s">
        <v>18</v>
      </c>
      <c r="C21" s="287"/>
      <c r="D21" s="120">
        <v>8766.94</v>
      </c>
      <c r="E21" s="120">
        <v>4663.8</v>
      </c>
      <c r="F21" s="266"/>
      <c r="G21" s="94"/>
      <c r="H21" s="28">
        <f t="shared" si="1"/>
        <v>4663.8</v>
      </c>
      <c r="I21" s="141"/>
      <c r="J21" s="94"/>
      <c r="K21" s="121">
        <f t="shared" si="2"/>
        <v>4663.8</v>
      </c>
      <c r="L21" s="122"/>
      <c r="M21" s="94"/>
      <c r="N21" s="260"/>
      <c r="O21" s="48"/>
      <c r="P21" s="48"/>
      <c r="Q21" s="48"/>
      <c r="R21" s="123"/>
      <c r="S21" s="94"/>
      <c r="T21" s="28">
        <f t="shared" si="3"/>
        <v>4663.8</v>
      </c>
      <c r="U21" s="51"/>
      <c r="V21" s="234">
        <f>+T16+T17</f>
        <v>169835.9</v>
      </c>
      <c r="W21" s="117" t="s">
        <v>244</v>
      </c>
      <c r="X21" s="235">
        <f>+V21/T62/12</f>
        <v>9.42276409232135</v>
      </c>
      <c r="Y21" s="124" t="s">
        <v>270</v>
      </c>
    </row>
    <row r="22" spans="1:24" ht="15.75">
      <c r="A22" s="280">
        <f t="shared" si="0"/>
        <v>21</v>
      </c>
      <c r="B22" s="75" t="s">
        <v>93</v>
      </c>
      <c r="C22" s="283"/>
      <c r="D22" s="48">
        <v>5219.72</v>
      </c>
      <c r="E22" s="48">
        <v>4305</v>
      </c>
      <c r="F22" s="265"/>
      <c r="G22" s="78"/>
      <c r="H22" s="28">
        <f t="shared" si="1"/>
        <v>4305</v>
      </c>
      <c r="I22" s="87"/>
      <c r="J22" s="78"/>
      <c r="K22" s="28">
        <f t="shared" si="2"/>
        <v>4305</v>
      </c>
      <c r="L22" s="57"/>
      <c r="M22" s="78"/>
      <c r="N22" s="260"/>
      <c r="O22" s="48"/>
      <c r="P22" s="48"/>
      <c r="Q22" s="48"/>
      <c r="R22" s="79"/>
      <c r="S22" s="78"/>
      <c r="T22" s="28">
        <f t="shared" si="3"/>
        <v>4305</v>
      </c>
      <c r="U22" s="51"/>
      <c r="V22" s="234">
        <f>+T18</f>
        <v>26859.02</v>
      </c>
      <c r="W22" s="117" t="s">
        <v>164</v>
      </c>
      <c r="X22" s="93">
        <f>+V22/V21</f>
        <v>0.15814689356019546</v>
      </c>
    </row>
    <row r="23" spans="1:24" ht="15.75">
      <c r="A23" s="280">
        <f t="shared" si="0"/>
        <v>22</v>
      </c>
      <c r="B23" s="75" t="s">
        <v>76</v>
      </c>
      <c r="C23" s="283"/>
      <c r="D23" s="48">
        <v>14847.4</v>
      </c>
      <c r="E23" s="48">
        <v>19032.35</v>
      </c>
      <c r="F23" s="267" t="s">
        <v>251</v>
      </c>
      <c r="G23" s="236">
        <v>-3826</v>
      </c>
      <c r="H23" s="28">
        <f t="shared" si="1"/>
        <v>15206.349999999999</v>
      </c>
      <c r="I23" s="87"/>
      <c r="J23" s="78"/>
      <c r="K23" s="28">
        <f t="shared" si="2"/>
        <v>15206.349999999999</v>
      </c>
      <c r="L23" s="57"/>
      <c r="M23" s="78"/>
      <c r="N23" s="260"/>
      <c r="O23" s="48"/>
      <c r="P23" s="48"/>
      <c r="Q23" s="48"/>
      <c r="R23" s="79"/>
      <c r="S23" s="78"/>
      <c r="T23" s="28">
        <f t="shared" si="3"/>
        <v>15206.349999999999</v>
      </c>
      <c r="U23" s="51"/>
      <c r="V23" s="234">
        <f>+T40</f>
        <v>22005.533300000003</v>
      </c>
      <c r="W23" s="117" t="s">
        <v>240</v>
      </c>
      <c r="X23" s="93">
        <f>+V23/V21</f>
        <v>0.12956938609563703</v>
      </c>
    </row>
    <row r="24" spans="1:25" ht="15.75">
      <c r="A24" s="280">
        <f t="shared" si="0"/>
        <v>23</v>
      </c>
      <c r="B24" s="75" t="s">
        <v>19</v>
      </c>
      <c r="C24" s="283"/>
      <c r="D24" s="48">
        <v>9087.05</v>
      </c>
      <c r="E24" s="48">
        <v>6279.18</v>
      </c>
      <c r="F24" s="265" t="s">
        <v>181</v>
      </c>
      <c r="G24" s="78">
        <v>-2901.5</v>
      </c>
      <c r="H24" s="28">
        <f t="shared" si="1"/>
        <v>3377.6800000000003</v>
      </c>
      <c r="I24" s="87"/>
      <c r="J24" s="78"/>
      <c r="K24" s="28">
        <f t="shared" si="2"/>
        <v>3377.6800000000003</v>
      </c>
      <c r="L24" s="57"/>
      <c r="M24" s="78"/>
      <c r="N24" s="260"/>
      <c r="O24" s="48"/>
      <c r="P24" s="48"/>
      <c r="Q24" s="48"/>
      <c r="R24" s="79"/>
      <c r="S24" s="78"/>
      <c r="T24" s="28">
        <f t="shared" si="3"/>
        <v>3377.6800000000003</v>
      </c>
      <c r="U24" s="51"/>
      <c r="V24" s="7">
        <f>+T22+T23+T24</f>
        <v>22889.03</v>
      </c>
      <c r="W24" s="117" t="s">
        <v>245</v>
      </c>
      <c r="X24" s="235">
        <f>(+V24+V22+V21)/12/T62</f>
        <v>12.18286451398136</v>
      </c>
      <c r="Y24" s="124" t="s">
        <v>270</v>
      </c>
    </row>
    <row r="25" spans="1:21" ht="15.75">
      <c r="A25" s="280">
        <f t="shared" si="0"/>
        <v>24</v>
      </c>
      <c r="B25" s="75" t="s">
        <v>94</v>
      </c>
      <c r="C25" s="283"/>
      <c r="D25" s="48">
        <v>0.14000000000032742</v>
      </c>
      <c r="E25" s="48"/>
      <c r="F25" s="265"/>
      <c r="G25" s="78"/>
      <c r="H25" s="28">
        <f t="shared" si="1"/>
        <v>0</v>
      </c>
      <c r="I25" s="87"/>
      <c r="J25" s="78"/>
      <c r="K25" s="62">
        <f t="shared" si="2"/>
        <v>0</v>
      </c>
      <c r="L25" s="57"/>
      <c r="M25" s="78"/>
      <c r="N25" s="260"/>
      <c r="O25" s="48"/>
      <c r="P25" s="48"/>
      <c r="Q25" s="48"/>
      <c r="R25" s="79"/>
      <c r="S25" s="78"/>
      <c r="T25" s="28">
        <f t="shared" si="3"/>
        <v>0</v>
      </c>
      <c r="U25" s="51"/>
    </row>
    <row r="26" spans="1:21" ht="15.75">
      <c r="A26" s="280">
        <f t="shared" si="0"/>
        <v>25</v>
      </c>
      <c r="B26" s="75" t="s">
        <v>101</v>
      </c>
      <c r="C26" s="283"/>
      <c r="D26" s="48">
        <v>37714.9</v>
      </c>
      <c r="E26" s="48">
        <v>19796.58</v>
      </c>
      <c r="F26" s="265"/>
      <c r="G26" s="78"/>
      <c r="H26" s="28">
        <f t="shared" si="1"/>
        <v>19796.58</v>
      </c>
      <c r="I26" s="87"/>
      <c r="J26" s="78"/>
      <c r="K26" s="28">
        <f t="shared" si="2"/>
        <v>19796.58</v>
      </c>
      <c r="L26" s="57"/>
      <c r="M26" s="78"/>
      <c r="N26" s="260"/>
      <c r="O26" s="48"/>
      <c r="P26" s="48"/>
      <c r="Q26" s="48"/>
      <c r="R26" s="79"/>
      <c r="S26" s="78"/>
      <c r="T26" s="28">
        <f t="shared" si="3"/>
        <v>19796.58</v>
      </c>
      <c r="U26" s="51"/>
    </row>
    <row r="27" spans="1:21" s="124" customFormat="1" ht="15.75">
      <c r="A27" s="280">
        <f t="shared" si="0"/>
        <v>26</v>
      </c>
      <c r="B27" s="119" t="s">
        <v>20</v>
      </c>
      <c r="C27" s="287"/>
      <c r="D27" s="120">
        <v>10799.89</v>
      </c>
      <c r="E27" s="120">
        <f>10800+59.47</f>
        <v>10859.47</v>
      </c>
      <c r="F27" s="266"/>
      <c r="G27" s="94"/>
      <c r="H27" s="28">
        <f t="shared" si="1"/>
        <v>10859.47</v>
      </c>
      <c r="I27" s="141"/>
      <c r="J27" s="94"/>
      <c r="K27" s="121">
        <f t="shared" si="2"/>
        <v>10859.47</v>
      </c>
      <c r="L27" s="122"/>
      <c r="M27" s="125"/>
      <c r="N27" s="260"/>
      <c r="O27" s="48"/>
      <c r="P27" s="48"/>
      <c r="Q27" s="48"/>
      <c r="R27" s="123"/>
      <c r="S27" s="215"/>
      <c r="T27" s="28">
        <f t="shared" si="3"/>
        <v>10859.47</v>
      </c>
      <c r="U27" s="51"/>
    </row>
    <row r="28" spans="1:21" ht="15.75">
      <c r="A28" s="280">
        <f t="shared" si="0"/>
        <v>27</v>
      </c>
      <c r="B28" s="75" t="s">
        <v>170</v>
      </c>
      <c r="C28" s="283"/>
      <c r="D28" s="48">
        <v>43115.89</v>
      </c>
      <c r="E28" s="48">
        <v>26600.89</v>
      </c>
      <c r="F28" s="265"/>
      <c r="G28" s="78"/>
      <c r="H28" s="28">
        <f t="shared" si="1"/>
        <v>26600.89</v>
      </c>
      <c r="I28" s="87"/>
      <c r="J28" s="78"/>
      <c r="K28" s="28">
        <f t="shared" si="2"/>
        <v>26600.89</v>
      </c>
      <c r="L28" s="57"/>
      <c r="M28" s="78"/>
      <c r="N28" s="260"/>
      <c r="O28" s="48"/>
      <c r="P28" s="48"/>
      <c r="Q28" s="48"/>
      <c r="R28" s="79"/>
      <c r="S28" s="78"/>
      <c r="T28" s="28">
        <f t="shared" si="3"/>
        <v>26600.89</v>
      </c>
      <c r="U28" s="51"/>
    </row>
    <row r="29" spans="1:21" ht="15.75">
      <c r="A29" s="280">
        <f t="shared" si="0"/>
        <v>28</v>
      </c>
      <c r="B29" s="75" t="s">
        <v>95</v>
      </c>
      <c r="C29" s="283"/>
      <c r="D29" s="48">
        <v>23185.88</v>
      </c>
      <c r="E29" s="48">
        <v>17517</v>
      </c>
      <c r="F29" s="265"/>
      <c r="G29" s="78"/>
      <c r="H29" s="28">
        <f t="shared" si="1"/>
        <v>17517</v>
      </c>
      <c r="I29" s="87"/>
      <c r="J29" s="78"/>
      <c r="K29" s="28">
        <f t="shared" si="2"/>
        <v>17517</v>
      </c>
      <c r="L29" s="57"/>
      <c r="M29" s="78"/>
      <c r="N29" s="260"/>
      <c r="O29" s="48"/>
      <c r="P29" s="48"/>
      <c r="Q29" s="48"/>
      <c r="R29" s="79"/>
      <c r="S29" s="216"/>
      <c r="T29" s="28">
        <f t="shared" si="3"/>
        <v>17517</v>
      </c>
      <c r="U29" s="51"/>
    </row>
    <row r="30" spans="1:21" ht="15.75">
      <c r="A30" s="280">
        <f t="shared" si="0"/>
        <v>29</v>
      </c>
      <c r="B30" s="75" t="s">
        <v>357</v>
      </c>
      <c r="C30" s="283"/>
      <c r="D30" s="48">
        <v>178.5</v>
      </c>
      <c r="E30" s="48">
        <v>2597.21</v>
      </c>
      <c r="F30" s="265" t="s">
        <v>126</v>
      </c>
      <c r="G30" s="78">
        <v>-2597</v>
      </c>
      <c r="H30" s="28">
        <f t="shared" si="1"/>
        <v>0.21000000000003638</v>
      </c>
      <c r="I30" s="87"/>
      <c r="J30" s="78"/>
      <c r="K30" s="28">
        <f t="shared" si="2"/>
        <v>0.21000000000003638</v>
      </c>
      <c r="L30" s="87"/>
      <c r="M30" s="78"/>
      <c r="N30" s="260"/>
      <c r="O30" s="48"/>
      <c r="P30" s="48"/>
      <c r="Q30" s="48"/>
      <c r="R30" s="52" t="str">
        <f>+R9</f>
        <v>S1</v>
      </c>
      <c r="S30" s="78">
        <f>0.002*S13</f>
        <v>-176.8</v>
      </c>
      <c r="T30" s="78">
        <f t="shared" si="3"/>
        <v>-176.58999999999997</v>
      </c>
      <c r="U30" s="51"/>
    </row>
    <row r="31" spans="1:21" ht="15.75">
      <c r="A31" s="280">
        <f t="shared" si="0"/>
        <v>30</v>
      </c>
      <c r="B31" s="75" t="s">
        <v>96</v>
      </c>
      <c r="C31" s="283"/>
      <c r="D31" s="48">
        <v>11000</v>
      </c>
      <c r="E31" s="48">
        <v>11000.04</v>
      </c>
      <c r="F31" s="265"/>
      <c r="G31" s="78"/>
      <c r="H31" s="28">
        <f t="shared" si="1"/>
        <v>11000.04</v>
      </c>
      <c r="I31" s="87"/>
      <c r="J31" s="78"/>
      <c r="K31" s="78">
        <f t="shared" si="2"/>
        <v>11000.04</v>
      </c>
      <c r="L31" s="42"/>
      <c r="M31" s="78"/>
      <c r="N31" s="260"/>
      <c r="O31" s="48"/>
      <c r="P31" s="48"/>
      <c r="Q31" s="48"/>
      <c r="R31" s="79"/>
      <c r="S31" s="78"/>
      <c r="T31" s="28">
        <f t="shared" si="3"/>
        <v>11000.04</v>
      </c>
      <c r="U31" s="51"/>
    </row>
    <row r="32" spans="1:21" ht="15.75">
      <c r="A32" s="280">
        <f t="shared" si="0"/>
        <v>31</v>
      </c>
      <c r="B32" s="75" t="s">
        <v>223</v>
      </c>
      <c r="C32" s="283"/>
      <c r="D32" s="48"/>
      <c r="E32" s="48"/>
      <c r="F32" s="265"/>
      <c r="G32" s="78"/>
      <c r="H32" s="28"/>
      <c r="I32" s="87" t="s">
        <v>168</v>
      </c>
      <c r="J32" s="78">
        <f>-ESA!F34</f>
        <v>-62556.55</v>
      </c>
      <c r="K32" s="78">
        <f>+J32+H32</f>
        <v>-62556.55</v>
      </c>
      <c r="L32" s="42"/>
      <c r="M32" s="78"/>
      <c r="N32" s="260"/>
      <c r="O32" s="48"/>
      <c r="P32" s="48"/>
      <c r="Q32" s="48"/>
      <c r="R32" s="79"/>
      <c r="S32" s="78"/>
      <c r="T32" s="78">
        <f t="shared" si="3"/>
        <v>-62556.55</v>
      </c>
      <c r="U32" s="51"/>
    </row>
    <row r="33" spans="1:21" ht="15.75">
      <c r="A33" s="280">
        <f t="shared" si="0"/>
        <v>32</v>
      </c>
      <c r="B33" s="75" t="s">
        <v>97</v>
      </c>
      <c r="C33" s="283"/>
      <c r="D33" s="48">
        <v>10761.74</v>
      </c>
      <c r="E33" s="48">
        <v>1917.57</v>
      </c>
      <c r="F33" s="265"/>
      <c r="G33" s="78"/>
      <c r="H33" s="28">
        <f t="shared" si="1"/>
        <v>1917.57</v>
      </c>
      <c r="I33" s="87"/>
      <c r="J33" s="78"/>
      <c r="K33" s="78">
        <f t="shared" si="2"/>
        <v>1917.57</v>
      </c>
      <c r="L33" s="87"/>
      <c r="M33" s="78"/>
      <c r="N33" s="260"/>
      <c r="O33" s="48"/>
      <c r="P33" s="48"/>
      <c r="Q33" s="48"/>
      <c r="R33" s="40"/>
      <c r="S33" s="212"/>
      <c r="T33" s="28">
        <f t="shared" si="3"/>
        <v>1917.57</v>
      </c>
      <c r="U33" s="51"/>
    </row>
    <row r="34" spans="1:21" s="124" customFormat="1" ht="15.75">
      <c r="A34" s="280">
        <f t="shared" si="0"/>
        <v>33</v>
      </c>
      <c r="B34" s="119" t="s">
        <v>98</v>
      </c>
      <c r="C34" s="287"/>
      <c r="D34" s="120">
        <v>3476.62</v>
      </c>
      <c r="E34" s="120">
        <v>2148.65</v>
      </c>
      <c r="F34" s="266"/>
      <c r="G34" s="94"/>
      <c r="H34" s="28">
        <f t="shared" si="1"/>
        <v>2148.65</v>
      </c>
      <c r="I34" s="141"/>
      <c r="J34" s="94"/>
      <c r="K34" s="121">
        <f t="shared" si="2"/>
        <v>2148.65</v>
      </c>
      <c r="L34" s="122"/>
      <c r="M34" s="94"/>
      <c r="N34" s="260"/>
      <c r="O34" s="48"/>
      <c r="P34" s="48"/>
      <c r="Q34" s="48"/>
      <c r="R34" s="123"/>
      <c r="S34" s="94"/>
      <c r="T34" s="28">
        <f t="shared" si="3"/>
        <v>2148.65</v>
      </c>
      <c r="U34" s="51"/>
    </row>
    <row r="35" spans="1:21" ht="15.75">
      <c r="A35" s="280">
        <f t="shared" si="0"/>
        <v>34</v>
      </c>
      <c r="B35" s="75" t="s">
        <v>81</v>
      </c>
      <c r="C35" s="283"/>
      <c r="D35" s="48">
        <v>37262.85</v>
      </c>
      <c r="E35" s="48">
        <f>14692.32+11315.7</f>
        <v>26008.02</v>
      </c>
      <c r="F35" s="265"/>
      <c r="G35" s="78"/>
      <c r="H35" s="28">
        <f t="shared" si="1"/>
        <v>26008.02</v>
      </c>
      <c r="I35" s="87"/>
      <c r="J35" s="78"/>
      <c r="K35" s="28">
        <f t="shared" si="2"/>
        <v>26008.02</v>
      </c>
      <c r="L35" s="57"/>
      <c r="M35" s="78"/>
      <c r="N35" s="260"/>
      <c r="O35" s="48"/>
      <c r="P35" s="48"/>
      <c r="Q35" s="48"/>
      <c r="R35" s="79"/>
      <c r="S35" s="78"/>
      <c r="T35" s="28">
        <f t="shared" si="3"/>
        <v>26008.02</v>
      </c>
      <c r="U35" s="51"/>
    </row>
    <row r="36" spans="1:21" ht="15.75">
      <c r="A36" s="280">
        <f t="shared" si="0"/>
        <v>35</v>
      </c>
      <c r="B36" s="75" t="s">
        <v>21</v>
      </c>
      <c r="C36" s="283"/>
      <c r="D36" s="48">
        <v>13852.85</v>
      </c>
      <c r="E36" s="48">
        <v>20769.18</v>
      </c>
      <c r="F36" s="265"/>
      <c r="G36" s="78"/>
      <c r="H36" s="28">
        <f t="shared" si="1"/>
        <v>20769.18</v>
      </c>
      <c r="I36" s="87"/>
      <c r="J36" s="78"/>
      <c r="K36" s="28">
        <f t="shared" si="2"/>
        <v>20769.18</v>
      </c>
      <c r="L36" s="57"/>
      <c r="M36" s="78"/>
      <c r="N36" s="260"/>
      <c r="O36" s="48"/>
      <c r="P36" s="48"/>
      <c r="Q36" s="48"/>
      <c r="R36" s="79"/>
      <c r="S36" s="78"/>
      <c r="T36" s="28">
        <f t="shared" si="3"/>
        <v>20769.18</v>
      </c>
      <c r="U36" s="51"/>
    </row>
    <row r="37" spans="1:21" ht="15.75">
      <c r="A37" s="280">
        <f t="shared" si="0"/>
        <v>36</v>
      </c>
      <c r="B37" s="75" t="s">
        <v>171</v>
      </c>
      <c r="C37" s="283"/>
      <c r="D37" s="48">
        <v>76860</v>
      </c>
      <c r="E37" s="110">
        <f>73900.61-24174.96</f>
        <v>49725.65</v>
      </c>
      <c r="F37" s="265"/>
      <c r="G37" s="78"/>
      <c r="H37" s="28">
        <f t="shared" si="1"/>
        <v>49725.65</v>
      </c>
      <c r="I37" s="87"/>
      <c r="J37" s="78"/>
      <c r="K37" s="28">
        <f t="shared" si="2"/>
        <v>49725.65</v>
      </c>
      <c r="L37" s="57"/>
      <c r="M37" s="78"/>
      <c r="N37" s="260"/>
      <c r="O37" s="48"/>
      <c r="P37" s="48"/>
      <c r="Q37" s="48"/>
      <c r="R37" s="79"/>
      <c r="S37" s="78"/>
      <c r="T37" s="28">
        <f t="shared" si="3"/>
        <v>49725.65</v>
      </c>
      <c r="U37" s="51"/>
    </row>
    <row r="38" spans="1:21" ht="15.75">
      <c r="A38" s="280">
        <f t="shared" si="0"/>
        <v>37</v>
      </c>
      <c r="B38" s="75" t="s">
        <v>99</v>
      </c>
      <c r="C38" s="283"/>
      <c r="D38" s="48">
        <v>44584.5525</v>
      </c>
      <c r="E38" s="48">
        <v>36666.75</v>
      </c>
      <c r="F38" s="265"/>
      <c r="G38" s="78"/>
      <c r="H38" s="28">
        <f t="shared" si="1"/>
        <v>36666.75</v>
      </c>
      <c r="I38" s="87"/>
      <c r="J38" s="78"/>
      <c r="K38" s="28">
        <f>+J38+H38</f>
        <v>36666.75</v>
      </c>
      <c r="L38" s="87"/>
      <c r="M38" s="78"/>
      <c r="N38" s="260"/>
      <c r="O38" s="48"/>
      <c r="P38" s="48"/>
      <c r="Q38" s="48"/>
      <c r="R38" s="52" t="s">
        <v>12</v>
      </c>
      <c r="S38" s="78">
        <f>+S9*0.05029</f>
        <v>-4445.636</v>
      </c>
      <c r="T38" s="28">
        <f t="shared" si="3"/>
        <v>32221.114</v>
      </c>
      <c r="U38" s="51"/>
    </row>
    <row r="39" spans="1:21" ht="15.75">
      <c r="A39" s="280">
        <f t="shared" si="0"/>
        <v>38</v>
      </c>
      <c r="B39" s="75" t="s">
        <v>22</v>
      </c>
      <c r="C39" s="283"/>
      <c r="D39" s="48">
        <v>7285.56</v>
      </c>
      <c r="E39" s="48">
        <v>3166.14</v>
      </c>
      <c r="F39" s="265"/>
      <c r="G39" s="78"/>
      <c r="H39" s="28">
        <f t="shared" si="1"/>
        <v>3166.14</v>
      </c>
      <c r="I39" s="87"/>
      <c r="J39" s="78"/>
      <c r="K39" s="28">
        <f t="shared" si="2"/>
        <v>3166.14</v>
      </c>
      <c r="L39" s="42"/>
      <c r="M39" s="78"/>
      <c r="N39" s="260"/>
      <c r="O39" s="48"/>
      <c r="P39" s="48"/>
      <c r="Q39" s="48"/>
      <c r="R39" s="79"/>
      <c r="S39" s="78"/>
      <c r="T39" s="28">
        <f t="shared" si="3"/>
        <v>3166.14</v>
      </c>
      <c r="U39" s="51"/>
    </row>
    <row r="40" spans="1:21" s="124" customFormat="1" ht="15.75">
      <c r="A40" s="280">
        <f t="shared" si="0"/>
        <v>39</v>
      </c>
      <c r="B40" s="119" t="s">
        <v>387</v>
      </c>
      <c r="C40" s="287"/>
      <c r="D40" s="120">
        <v>45504.237499999996</v>
      </c>
      <c r="E40" s="120">
        <v>25251.81</v>
      </c>
      <c r="F40" s="266"/>
      <c r="G40" s="94"/>
      <c r="H40" s="28">
        <f t="shared" si="1"/>
        <v>25251.81</v>
      </c>
      <c r="I40" s="87" t="s">
        <v>118</v>
      </c>
      <c r="J40" s="236">
        <f>+'Payroll New'!F35</f>
        <v>-3246.2766999999985</v>
      </c>
      <c r="K40" s="121">
        <f t="shared" si="2"/>
        <v>22005.533300000003</v>
      </c>
      <c r="L40" s="42"/>
      <c r="N40" s="261"/>
      <c r="O40" s="48"/>
      <c r="P40" s="48"/>
      <c r="Q40" s="48"/>
      <c r="R40" s="123"/>
      <c r="S40" s="94"/>
      <c r="T40" s="28">
        <f t="shared" si="3"/>
        <v>22005.533300000003</v>
      </c>
      <c r="U40" s="51"/>
    </row>
    <row r="41" spans="1:21" ht="15.75">
      <c r="A41" s="280">
        <f t="shared" si="0"/>
        <v>40</v>
      </c>
      <c r="B41" s="74" t="s">
        <v>23</v>
      </c>
      <c r="C41" s="286"/>
      <c r="D41" s="48">
        <v>9258.28</v>
      </c>
      <c r="E41" s="48">
        <v>1279.4</v>
      </c>
      <c r="F41" s="265"/>
      <c r="G41" s="78"/>
      <c r="H41" s="28">
        <f t="shared" si="1"/>
        <v>1279.4</v>
      </c>
      <c r="I41" s="87"/>
      <c r="J41" s="48"/>
      <c r="K41" s="28">
        <f t="shared" si="2"/>
        <v>1279.4</v>
      </c>
      <c r="L41" s="57"/>
      <c r="M41" s="78"/>
      <c r="N41" s="40"/>
      <c r="O41" s="48"/>
      <c r="P41" s="48"/>
      <c r="Q41" s="48"/>
      <c r="R41" s="123"/>
      <c r="S41" s="212"/>
      <c r="T41" s="28">
        <f t="shared" si="3"/>
        <v>1279.4</v>
      </c>
      <c r="U41" s="51"/>
    </row>
    <row r="42" spans="1:21" ht="16.5" thickBot="1">
      <c r="A42" s="280">
        <f t="shared" si="0"/>
        <v>41</v>
      </c>
      <c r="B42" s="119" t="s">
        <v>187</v>
      </c>
      <c r="C42" s="287"/>
      <c r="D42" s="48"/>
      <c r="E42" s="48">
        <v>37364</v>
      </c>
      <c r="F42" s="265" t="s">
        <v>188</v>
      </c>
      <c r="G42" s="78">
        <v>-37364</v>
      </c>
      <c r="H42" s="28">
        <f t="shared" si="1"/>
        <v>0</v>
      </c>
      <c r="I42" s="269" t="s">
        <v>243</v>
      </c>
      <c r="J42" s="231">
        <v>2090</v>
      </c>
      <c r="K42" s="28">
        <f t="shared" si="2"/>
        <v>2090</v>
      </c>
      <c r="L42" s="57"/>
      <c r="M42" s="78"/>
      <c r="N42" s="40"/>
      <c r="O42" s="48"/>
      <c r="P42" s="48"/>
      <c r="Q42" s="48"/>
      <c r="R42" s="123"/>
      <c r="S42" s="212"/>
      <c r="T42" s="28">
        <f t="shared" si="3"/>
        <v>2090</v>
      </c>
      <c r="U42" s="51"/>
    </row>
    <row r="43" spans="1:21" ht="15.75">
      <c r="A43" s="280">
        <f t="shared" si="0"/>
        <v>42</v>
      </c>
      <c r="B43" s="72" t="s">
        <v>24</v>
      </c>
      <c r="C43" s="282" t="s">
        <v>318</v>
      </c>
      <c r="D43" s="80">
        <v>818894.4650000001</v>
      </c>
      <c r="E43" s="80">
        <f>SUM(E16:E42)</f>
        <v>596867.4800000001</v>
      </c>
      <c r="F43" s="265"/>
      <c r="G43" s="81">
        <f>SUM(G16:G41)</f>
        <v>-9324.5</v>
      </c>
      <c r="H43" s="232">
        <f>SUM(H16:H42)</f>
        <v>550178.9800000001</v>
      </c>
      <c r="I43" s="40"/>
      <c r="J43" s="81">
        <f>SUM(J16:J41)</f>
        <v>-91116.37670000001</v>
      </c>
      <c r="K43" s="80">
        <f>SUM(K16:K42)</f>
        <v>461152.6033000001</v>
      </c>
      <c r="L43" s="57"/>
      <c r="M43" s="81">
        <f>SUM(M16:M41)</f>
        <v>0</v>
      </c>
      <c r="N43" s="259"/>
      <c r="O43" s="81">
        <f>SUM(O16:O41)</f>
        <v>0</v>
      </c>
      <c r="P43" s="82"/>
      <c r="Q43" s="81">
        <f>SUM(Q16:Q41)</f>
        <v>0</v>
      </c>
      <c r="R43" s="123"/>
      <c r="S43" s="217">
        <f>SUM(S16:S41)</f>
        <v>-4622.436000000001</v>
      </c>
      <c r="T43" s="80">
        <f>SUM(T16:T42)</f>
        <v>456530.16730000003</v>
      </c>
      <c r="U43" s="51"/>
    </row>
    <row r="44" spans="1:21" ht="15.75">
      <c r="A44" s="280">
        <f t="shared" si="0"/>
        <v>43</v>
      </c>
      <c r="B44" s="74"/>
      <c r="C44" s="286"/>
      <c r="D44" s="48"/>
      <c r="E44" s="48"/>
      <c r="F44" s="52"/>
      <c r="G44" s="78"/>
      <c r="H44" s="48"/>
      <c r="I44" s="87"/>
      <c r="J44" s="48"/>
      <c r="K44" s="48"/>
      <c r="L44" s="42"/>
      <c r="M44" s="48"/>
      <c r="N44" s="112"/>
      <c r="O44" s="48"/>
      <c r="P44" s="48"/>
      <c r="Q44" s="48"/>
      <c r="R44" s="123"/>
      <c r="S44" s="212"/>
      <c r="T44" s="48"/>
      <c r="U44" s="51"/>
    </row>
    <row r="45" spans="1:21" ht="15.75">
      <c r="A45" s="280">
        <f t="shared" si="0"/>
        <v>44</v>
      </c>
      <c r="B45" s="34" t="s">
        <v>73</v>
      </c>
      <c r="C45" s="282" t="s">
        <v>319</v>
      </c>
      <c r="D45" s="51">
        <v>97654.67499999993</v>
      </c>
      <c r="E45" s="51">
        <f>+E13-E43</f>
        <v>101413.13</v>
      </c>
      <c r="F45" s="265"/>
      <c r="G45" s="51">
        <f>+G13-G43</f>
        <v>-1783.67</v>
      </c>
      <c r="H45" s="28">
        <f>+G45+E45</f>
        <v>99629.46</v>
      </c>
      <c r="I45" s="87"/>
      <c r="J45" s="51">
        <f>+J13-J43</f>
        <v>90012.37670000001</v>
      </c>
      <c r="K45" s="51">
        <f>+K13-K43</f>
        <v>224915.83669999999</v>
      </c>
      <c r="L45" s="90"/>
      <c r="M45" s="78"/>
      <c r="N45" s="76"/>
      <c r="O45" s="78"/>
      <c r="P45" s="78"/>
      <c r="Q45" s="78"/>
      <c r="R45" s="79"/>
      <c r="S45" s="51">
        <f>+S13-S43</f>
        <v>-83777.564</v>
      </c>
      <c r="T45" s="176">
        <f>+T13-T43</f>
        <v>62162.27270000003</v>
      </c>
      <c r="U45" s="51"/>
    </row>
    <row r="46" spans="1:23" ht="15.75">
      <c r="A46" s="280">
        <f t="shared" si="0"/>
        <v>45</v>
      </c>
      <c r="B46" s="34" t="s">
        <v>72</v>
      </c>
      <c r="C46" s="282"/>
      <c r="D46" s="51">
        <v>79692.21</v>
      </c>
      <c r="E46" s="51">
        <v>31403.69</v>
      </c>
      <c r="F46" s="265"/>
      <c r="G46" s="78"/>
      <c r="H46" s="28">
        <f>+G46+E46</f>
        <v>31403.69</v>
      </c>
      <c r="I46" s="87"/>
      <c r="J46" s="51"/>
      <c r="K46" s="51">
        <f>+J46+H46</f>
        <v>31403.69</v>
      </c>
      <c r="N46" s="76"/>
      <c r="O46" s="78"/>
      <c r="P46" s="78"/>
      <c r="Q46" s="78"/>
      <c r="R46" s="52" t="s">
        <v>162</v>
      </c>
      <c r="S46" s="236">
        <f>+T46-K46</f>
        <v>-14044.042168178155</v>
      </c>
      <c r="T46" s="51">
        <f>+'PF Debt'!D16</f>
        <v>17359.647831821843</v>
      </c>
      <c r="U46" s="51"/>
      <c r="W46" s="4"/>
    </row>
    <row r="47" spans="1:23" ht="15.75">
      <c r="A47" s="280">
        <f t="shared" si="0"/>
        <v>46</v>
      </c>
      <c r="B47" s="34" t="s">
        <v>90</v>
      </c>
      <c r="C47" s="282"/>
      <c r="D47" s="51"/>
      <c r="E47" s="51">
        <v>16652</v>
      </c>
      <c r="F47" s="265"/>
      <c r="G47" s="78"/>
      <c r="H47" s="28">
        <f>+G47+E47</f>
        <v>16652</v>
      </c>
      <c r="I47" s="87"/>
      <c r="J47" s="51"/>
      <c r="K47" s="51">
        <f>+J47+H47</f>
        <v>16652</v>
      </c>
      <c r="L47" s="90"/>
      <c r="M47" s="78"/>
      <c r="N47" s="76"/>
      <c r="O47" s="78"/>
      <c r="P47" s="78"/>
      <c r="Q47" s="78"/>
      <c r="R47" s="87" t="s">
        <v>12</v>
      </c>
      <c r="S47" s="78">
        <f>+T47-K47</f>
        <v>-9931.606269773272</v>
      </c>
      <c r="T47" s="51">
        <f>(+T45-T46)*0.15</f>
        <v>6720.393730226728</v>
      </c>
      <c r="U47" s="51"/>
      <c r="W47" s="5"/>
    </row>
    <row r="48" spans="1:21" ht="16.5" thickBot="1">
      <c r="A48" s="280">
        <f t="shared" si="0"/>
        <v>47</v>
      </c>
      <c r="B48" s="34" t="s">
        <v>70</v>
      </c>
      <c r="C48" s="282" t="s">
        <v>414</v>
      </c>
      <c r="D48" s="28">
        <v>898586.675</v>
      </c>
      <c r="E48" s="28">
        <f>+E47+E46+E43</f>
        <v>644923.1700000002</v>
      </c>
      <c r="F48" s="265"/>
      <c r="G48" s="51">
        <f>+G47+G43</f>
        <v>-9324.5</v>
      </c>
      <c r="H48" s="28">
        <f>+G48+E48</f>
        <v>635598.6700000002</v>
      </c>
      <c r="I48" s="87"/>
      <c r="J48" s="51">
        <f>+J47+J43</f>
        <v>-91116.37670000001</v>
      </c>
      <c r="K48" s="28">
        <f>+K43+K46+K47</f>
        <v>509208.2933000001</v>
      </c>
      <c r="L48" s="42"/>
      <c r="M48" s="78"/>
      <c r="N48" s="76"/>
      <c r="O48" s="78"/>
      <c r="P48" s="78"/>
      <c r="Q48" s="78"/>
      <c r="R48" s="79"/>
      <c r="S48" s="78">
        <f>+S43+S46+S47</f>
        <v>-28598.08443795143</v>
      </c>
      <c r="T48" s="28">
        <f>+T43+T46+T47</f>
        <v>480610.20886204863</v>
      </c>
      <c r="U48" s="51"/>
    </row>
    <row r="49" spans="1:21" ht="16.5" thickTop="1">
      <c r="A49" s="280">
        <f t="shared" si="0"/>
        <v>48</v>
      </c>
      <c r="B49" s="34" t="s">
        <v>71</v>
      </c>
      <c r="C49" s="282" t="s">
        <v>320</v>
      </c>
      <c r="D49" s="29">
        <v>17962.464999999967</v>
      </c>
      <c r="E49" s="29">
        <f>+E13-E48</f>
        <v>53357.439999999944</v>
      </c>
      <c r="F49" s="265"/>
      <c r="G49" s="81">
        <f>G45-G47+G44</f>
        <v>-1783.67</v>
      </c>
      <c r="H49" s="29">
        <f>+H13-H48</f>
        <v>51573.7699999999</v>
      </c>
      <c r="I49" s="87"/>
      <c r="J49" s="81">
        <f>J45-J47+J44</f>
        <v>90012.37670000001</v>
      </c>
      <c r="K49" s="29">
        <f>+K13-K48</f>
        <v>176860.14669999998</v>
      </c>
      <c r="L49" s="42"/>
      <c r="M49" s="81">
        <f>M45-M47+M44</f>
        <v>0</v>
      </c>
      <c r="N49" s="260"/>
      <c r="O49" s="81">
        <f>O45-O47+O44</f>
        <v>0</v>
      </c>
      <c r="P49" s="82"/>
      <c r="Q49" s="81">
        <f>Q45-Q47+Q44</f>
        <v>0</v>
      </c>
      <c r="R49" s="79"/>
      <c r="S49" s="29">
        <f>+S13-S48</f>
        <v>-59801.91556204857</v>
      </c>
      <c r="T49" s="29">
        <f>+T13-T48</f>
        <v>38082.23113795143</v>
      </c>
      <c r="U49" s="51"/>
    </row>
    <row r="50" spans="1:21" ht="15.75">
      <c r="A50" s="280">
        <f t="shared" si="0"/>
        <v>49</v>
      </c>
      <c r="B50" s="34" t="s">
        <v>102</v>
      </c>
      <c r="C50" s="282" t="s">
        <v>321</v>
      </c>
      <c r="D50" s="30">
        <v>97654.67499999993</v>
      </c>
      <c r="E50" s="30">
        <f>+E49+E46</f>
        <v>84761.12999999995</v>
      </c>
      <c r="F50" s="265"/>
      <c r="G50" s="78"/>
      <c r="H50" s="30">
        <f>+H13-H43-H47</f>
        <v>120341.45999999996</v>
      </c>
      <c r="I50" s="87"/>
      <c r="J50" s="82"/>
      <c r="K50" s="30">
        <f>+K13-K43-K47</f>
        <v>208263.83669999999</v>
      </c>
      <c r="L50" s="42"/>
      <c r="M50" s="82"/>
      <c r="N50" s="260"/>
      <c r="O50" s="82"/>
      <c r="P50" s="82"/>
      <c r="Q50" s="82"/>
      <c r="R50" s="79"/>
      <c r="S50" s="130"/>
      <c r="T50" s="30">
        <f>+T13-T43-T47</f>
        <v>55441.8789697733</v>
      </c>
      <c r="U50" s="51"/>
    </row>
    <row r="51" spans="1:21" ht="15.75">
      <c r="A51" s="280">
        <f t="shared" si="0"/>
        <v>50</v>
      </c>
      <c r="B51" s="34"/>
      <c r="C51" s="282"/>
      <c r="D51" s="82"/>
      <c r="E51" s="82"/>
      <c r="F51" s="52"/>
      <c r="G51" s="78"/>
      <c r="H51" s="82"/>
      <c r="I51" s="87"/>
      <c r="J51" s="82"/>
      <c r="K51" s="82"/>
      <c r="L51" s="42"/>
      <c r="M51" s="39" t="s">
        <v>123</v>
      </c>
      <c r="O51" s="39" t="s">
        <v>123</v>
      </c>
      <c r="P51" s="39"/>
      <c r="Q51" s="39" t="s">
        <v>123</v>
      </c>
      <c r="T51" s="199"/>
      <c r="U51" s="115"/>
    </row>
    <row r="52" spans="1:21" ht="15.75">
      <c r="A52" s="280">
        <f t="shared" si="0"/>
        <v>51</v>
      </c>
      <c r="B52" s="39" t="s">
        <v>79</v>
      </c>
      <c r="C52" s="282"/>
      <c r="D52" s="28"/>
      <c r="E52" s="28"/>
      <c r="F52" s="68"/>
      <c r="G52" s="50"/>
      <c r="H52" s="28"/>
      <c r="I52" s="85"/>
      <c r="J52" s="49"/>
      <c r="K52" s="28"/>
      <c r="L52" s="91"/>
      <c r="M52" s="39" t="s">
        <v>127</v>
      </c>
      <c r="N52" s="181"/>
      <c r="O52" s="39" t="s">
        <v>124</v>
      </c>
      <c r="P52" s="39"/>
      <c r="Q52" s="39" t="s">
        <v>125</v>
      </c>
      <c r="R52" s="84"/>
      <c r="T52" s="28"/>
      <c r="U52" s="114"/>
    </row>
    <row r="53" spans="1:23" ht="15.75">
      <c r="A53" s="280">
        <f t="shared" si="0"/>
        <v>52</v>
      </c>
      <c r="B53" s="34" t="s">
        <v>175</v>
      </c>
      <c r="C53" s="282"/>
      <c r="D53" s="49">
        <v>2638476.4450000003</v>
      </c>
      <c r="E53" s="49">
        <f>+'Rate Base'!D9</f>
        <v>2244620.56</v>
      </c>
      <c r="F53" s="68"/>
      <c r="G53" s="49"/>
      <c r="H53" s="49">
        <f>+G53+E53</f>
        <v>2244620.56</v>
      </c>
      <c r="I53" s="183" t="s">
        <v>178</v>
      </c>
      <c r="J53" s="49">
        <f>+'Rate Base'!G9</f>
        <v>25100.67500000028</v>
      </c>
      <c r="K53" s="49">
        <f aca="true" t="shared" si="4" ref="K53:K58">+J53+H53</f>
        <v>2269721.2350000003</v>
      </c>
      <c r="L53" s="91"/>
      <c r="M53" s="49"/>
      <c r="N53" s="181" t="s">
        <v>222</v>
      </c>
      <c r="O53" s="236">
        <v>-216350</v>
      </c>
      <c r="P53" s="87" t="s">
        <v>179</v>
      </c>
      <c r="Q53" s="236">
        <v>-206075</v>
      </c>
      <c r="R53" s="229" t="s">
        <v>233</v>
      </c>
      <c r="S53" s="237">
        <f>6467+36366+681</f>
        <v>43514</v>
      </c>
      <c r="T53" s="49">
        <f aca="true" t="shared" si="5" ref="T53:T58">SUM(K53:S53)</f>
        <v>1890810.2350000003</v>
      </c>
      <c r="U53" s="116"/>
      <c r="W53" s="3"/>
    </row>
    <row r="54" spans="1:246" s="3" customFormat="1" ht="15.75">
      <c r="A54" s="280">
        <f t="shared" si="0"/>
        <v>53</v>
      </c>
      <c r="B54" s="51" t="s">
        <v>172</v>
      </c>
      <c r="C54" s="288"/>
      <c r="D54" s="49">
        <v>-503213.7</v>
      </c>
      <c r="E54" s="49">
        <f>+'Rate Base'!D10</f>
        <v>-522797.16</v>
      </c>
      <c r="F54" s="68"/>
      <c r="G54" s="49"/>
      <c r="H54" s="49">
        <f>+G54+E54</f>
        <v>-522797.16</v>
      </c>
      <c r="I54" s="183" t="s">
        <v>178</v>
      </c>
      <c r="J54" s="49">
        <f>+'Rate Base'!G10</f>
        <v>33044.399999999965</v>
      </c>
      <c r="K54" s="49">
        <f t="shared" si="4"/>
        <v>-489752.76</v>
      </c>
      <c r="M54" s="39"/>
      <c r="N54" s="263"/>
      <c r="O54" s="76"/>
      <c r="P54" s="76"/>
      <c r="Q54" s="76"/>
      <c r="R54" s="182"/>
      <c r="S54" s="51"/>
      <c r="T54" s="49">
        <f t="shared" si="5"/>
        <v>-489752.76</v>
      </c>
      <c r="U54" s="11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s="3" customFormat="1" ht="15.75">
      <c r="A55" s="280">
        <f t="shared" si="0"/>
        <v>54</v>
      </c>
      <c r="B55" s="75" t="s">
        <v>224</v>
      </c>
      <c r="C55" s="283"/>
      <c r="D55" s="49"/>
      <c r="E55" s="49"/>
      <c r="F55" s="68" t="s">
        <v>228</v>
      </c>
      <c r="G55" s="49">
        <f>-ESA!F29</f>
        <v>-125113.1</v>
      </c>
      <c r="H55" s="49">
        <f>+G55</f>
        <v>-125113.1</v>
      </c>
      <c r="I55" s="183" t="s">
        <v>225</v>
      </c>
      <c r="J55" s="78">
        <f>+ESA!F34</f>
        <v>62556.55</v>
      </c>
      <c r="K55" s="49">
        <f t="shared" si="4"/>
        <v>-62556.55</v>
      </c>
      <c r="M55" s="39"/>
      <c r="N55" s="263"/>
      <c r="O55" s="76"/>
      <c r="P55" s="76"/>
      <c r="Q55" s="76"/>
      <c r="R55" s="182"/>
      <c r="S55" s="51"/>
      <c r="T55" s="49">
        <f t="shared" si="5"/>
        <v>-62556.55</v>
      </c>
      <c r="U55" s="116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1" ht="15.75">
      <c r="A56" s="280">
        <f t="shared" si="0"/>
        <v>55</v>
      </c>
      <c r="B56" s="34" t="s">
        <v>189</v>
      </c>
      <c r="C56" s="282"/>
      <c r="D56" s="49">
        <v>-82214.845</v>
      </c>
      <c r="E56" s="49">
        <f>+'Rate Base'!D18</f>
        <v>-174426.80000000002</v>
      </c>
      <c r="F56" s="68"/>
      <c r="G56" s="49"/>
      <c r="H56" s="49">
        <f>+G56+E56</f>
        <v>-174426.80000000002</v>
      </c>
      <c r="I56" s="183" t="s">
        <v>178</v>
      </c>
      <c r="J56" s="49">
        <f>+'Rate Base'!G11+'Rate Base'!G12</f>
        <v>-2546.8600000000006</v>
      </c>
      <c r="K56" s="49">
        <f t="shared" si="4"/>
        <v>-176973.66000000003</v>
      </c>
      <c r="L56" s="88"/>
      <c r="M56" s="39"/>
      <c r="O56" s="39"/>
      <c r="P56" s="39"/>
      <c r="Q56" s="39"/>
      <c r="R56" s="230" t="s">
        <v>246</v>
      </c>
      <c r="S56" s="237">
        <f>-K56</f>
        <v>176973.66000000003</v>
      </c>
      <c r="T56" s="49">
        <f>+S56</f>
        <v>176973.66000000003</v>
      </c>
      <c r="U56" s="116"/>
    </row>
    <row r="57" spans="1:21" ht="15.75">
      <c r="A57" s="280">
        <f t="shared" si="0"/>
        <v>56</v>
      </c>
      <c r="B57" s="34" t="s">
        <v>27</v>
      </c>
      <c r="C57" s="282"/>
      <c r="D57" s="49">
        <v>-1123297.5</v>
      </c>
      <c r="E57" s="49">
        <f>+'Rate Base'!D13</f>
        <v>-794657.92</v>
      </c>
      <c r="F57" s="68"/>
      <c r="G57" s="49"/>
      <c r="H57" s="49">
        <f>+G57+E57</f>
        <v>-794657.92</v>
      </c>
      <c r="I57" s="183" t="s">
        <v>178</v>
      </c>
      <c r="J57" s="49">
        <f>+'Rate Base'!G13</f>
        <v>33644.71000000008</v>
      </c>
      <c r="K57" s="49">
        <f t="shared" si="4"/>
        <v>-761013.21</v>
      </c>
      <c r="L57" s="92" t="s">
        <v>180</v>
      </c>
      <c r="M57" s="49">
        <v>-267661.06</v>
      </c>
      <c r="N57" s="263"/>
      <c r="O57" s="49"/>
      <c r="P57" s="49"/>
      <c r="Q57" s="49"/>
      <c r="R57" s="230" t="s">
        <v>234</v>
      </c>
      <c r="S57" s="237">
        <f>-63297+36366</f>
        <v>-26931</v>
      </c>
      <c r="T57" s="49">
        <f t="shared" si="5"/>
        <v>-1055605.27</v>
      </c>
      <c r="U57" s="116"/>
    </row>
    <row r="58" spans="1:21" ht="16.5" thickBot="1">
      <c r="A58" s="280">
        <f t="shared" si="0"/>
        <v>57</v>
      </c>
      <c r="B58" s="34" t="s">
        <v>173</v>
      </c>
      <c r="C58" s="282"/>
      <c r="D58" s="28">
        <v>146141.76725892688</v>
      </c>
      <c r="E58" s="49">
        <f>+'Rate Base'!D14</f>
        <v>88709.26</v>
      </c>
      <c r="F58" s="68"/>
      <c r="G58" s="49"/>
      <c r="H58" s="49">
        <f>+G58+E58</f>
        <v>88709.26</v>
      </c>
      <c r="I58" s="183" t="s">
        <v>178</v>
      </c>
      <c r="J58" s="49">
        <f>+'Rate Base'!G14</f>
        <v>-10755.800000000003</v>
      </c>
      <c r="K58" s="49">
        <f t="shared" si="4"/>
        <v>77953.45999999999</v>
      </c>
      <c r="L58" s="91"/>
      <c r="M58" s="28"/>
      <c r="N58" s="112"/>
      <c r="O58" s="49"/>
      <c r="P58" s="183"/>
      <c r="Q58" s="49"/>
      <c r="R58" s="230" t="s">
        <v>268</v>
      </c>
      <c r="S58" s="237">
        <f>3600+5091</f>
        <v>8691</v>
      </c>
      <c r="T58" s="49">
        <f t="shared" si="5"/>
        <v>86644.45999999999</v>
      </c>
      <c r="U58" s="116"/>
    </row>
    <row r="59" spans="1:21" s="17" customFormat="1" ht="16.5" thickTop="1">
      <c r="A59" s="280">
        <f t="shared" si="0"/>
        <v>58</v>
      </c>
      <c r="B59" s="137" t="s">
        <v>174</v>
      </c>
      <c r="C59" s="282" t="s">
        <v>322</v>
      </c>
      <c r="D59" s="29">
        <v>1075892.1672589271</v>
      </c>
      <c r="E59" s="29">
        <f>SUM(E53:E58)</f>
        <v>841447.9400000001</v>
      </c>
      <c r="F59" s="268"/>
      <c r="G59" s="29">
        <f>SUM(G53:G58)</f>
        <v>-125113.1</v>
      </c>
      <c r="H59" s="29">
        <f>SUM(H53:H58)</f>
        <v>716334.84</v>
      </c>
      <c r="I59" s="138"/>
      <c r="J59" s="29">
        <f>SUM(J53:J58)</f>
        <v>141043.67500000034</v>
      </c>
      <c r="K59" s="29">
        <f>SUM(K53:K58)</f>
        <v>857378.5150000001</v>
      </c>
      <c r="L59" s="139"/>
      <c r="M59" s="29">
        <f>SUM(M53:M58)</f>
        <v>-267661.06</v>
      </c>
      <c r="N59" s="264"/>
      <c r="O59" s="29">
        <f>SUM(O53:O58)</f>
        <v>-216350</v>
      </c>
      <c r="P59" s="183"/>
      <c r="Q59" s="214">
        <f>SUM(Q53:Q58)</f>
        <v>-206075</v>
      </c>
      <c r="R59" s="183"/>
      <c r="S59" s="214">
        <f>SUM(S53:S58)</f>
        <v>202247.66000000003</v>
      </c>
      <c r="T59" s="177">
        <f>SUM(T53:T58)</f>
        <v>546513.7750000004</v>
      </c>
      <c r="U59" s="116"/>
    </row>
    <row r="60" spans="1:23" ht="15.75">
      <c r="A60" s="280">
        <f t="shared" si="0"/>
        <v>59</v>
      </c>
      <c r="B60" s="179"/>
      <c r="C60" s="289"/>
      <c r="D60" s="31"/>
      <c r="E60" s="31"/>
      <c r="F60" s="68"/>
      <c r="G60" s="49"/>
      <c r="H60" s="31"/>
      <c r="I60" s="84"/>
      <c r="J60" s="31"/>
      <c r="K60" s="31"/>
      <c r="M60" s="136"/>
      <c r="N60" s="135"/>
      <c r="O60" s="136"/>
      <c r="P60" s="136"/>
      <c r="Q60" s="218"/>
      <c r="R60" s="183"/>
      <c r="S60" s="218"/>
      <c r="T60" s="31"/>
      <c r="U60" s="111"/>
      <c r="W60" s="3"/>
    </row>
    <row r="61" spans="1:24" ht="15.75">
      <c r="A61" s="280">
        <f t="shared" si="0"/>
        <v>60</v>
      </c>
      <c r="B61" s="34" t="s">
        <v>30</v>
      </c>
      <c r="C61" s="282" t="s">
        <v>323</v>
      </c>
      <c r="D61" s="33">
        <v>0.09076622915547083</v>
      </c>
      <c r="E61" s="33">
        <f>+E50/E59</f>
        <v>0.10073247074560542</v>
      </c>
      <c r="F61" s="265"/>
      <c r="G61" s="76"/>
      <c r="H61" s="33">
        <f>+H50/H59</f>
        <v>0.16799610081788005</v>
      </c>
      <c r="I61" s="86"/>
      <c r="J61" s="33"/>
      <c r="K61" s="33">
        <f>+K50/K59</f>
        <v>0.24290769252597838</v>
      </c>
      <c r="L61" s="93"/>
      <c r="M61" s="33"/>
      <c r="N61" s="258"/>
      <c r="O61" s="33"/>
      <c r="P61" s="33"/>
      <c r="Q61" s="33"/>
      <c r="R61" s="108"/>
      <c r="S61" s="219"/>
      <c r="T61" s="178">
        <f>+T50/T59</f>
        <v>0.10144644381520532</v>
      </c>
      <c r="U61" s="178"/>
      <c r="W61" s="3"/>
      <c r="X61" s="17"/>
    </row>
    <row r="62" spans="1:23" ht="15.75">
      <c r="A62" s="280">
        <f t="shared" si="0"/>
        <v>61</v>
      </c>
      <c r="B62" s="34" t="s">
        <v>31</v>
      </c>
      <c r="C62" s="282"/>
      <c r="D62" s="28">
        <v>1958</v>
      </c>
      <c r="E62" s="28">
        <v>1502</v>
      </c>
      <c r="F62" s="265"/>
      <c r="G62" s="78"/>
      <c r="H62" s="28">
        <f>+G62+E62</f>
        <v>1502</v>
      </c>
      <c r="I62" s="52"/>
      <c r="J62" s="49"/>
      <c r="K62" s="28">
        <f>+J62+H62</f>
        <v>1502</v>
      </c>
      <c r="L62" s="42"/>
      <c r="M62" s="28"/>
      <c r="N62" s="112"/>
      <c r="O62" s="28"/>
      <c r="P62" s="28"/>
      <c r="Q62" s="28"/>
      <c r="R62" s="40"/>
      <c r="S62" s="212"/>
      <c r="T62" s="28">
        <f>+S62+K62</f>
        <v>1502</v>
      </c>
      <c r="U62" s="28"/>
      <c r="W62" s="3"/>
    </row>
    <row r="63" spans="3:20" ht="15.75">
      <c r="C63" s="290"/>
      <c r="M63" s="39"/>
      <c r="T63" t="s">
        <v>1</v>
      </c>
    </row>
    <row r="64" spans="13:20" ht="15.75">
      <c r="M64" s="39"/>
      <c r="T64" s="5"/>
    </row>
    <row r="65" spans="13:20" ht="15.75">
      <c r="M65" s="49"/>
      <c r="T65" s="49"/>
    </row>
    <row r="66" spans="13:20" ht="15.75">
      <c r="M66" s="76"/>
      <c r="T66" s="198"/>
    </row>
    <row r="67" spans="13:20" ht="15.75">
      <c r="M67" s="76"/>
      <c r="T67" s="198"/>
    </row>
    <row r="68" ht="15.75">
      <c r="M68" s="49"/>
    </row>
  </sheetData>
  <printOptions horizontalCentered="1" verticalCentered="1"/>
  <pageMargins left="0.75" right="0.5" top="1" bottom="0" header="0.25" footer="0"/>
  <pageSetup fitToWidth="2" fitToHeight="1" horizontalDpi="600" verticalDpi="600" orientation="portrait" scale="60" r:id="rId1"/>
  <headerFooter alignWithMargins="0">
    <oddHeader>&amp;RStaff's Response to Bench Request No. 1
Exhibit No. 64 
&amp;"Palatino Linotype,Regular"Docket No. UW-031284/UW-010961/UW-031596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5:F35"/>
  <sheetViews>
    <sheetView view="pageBreakPreview" zoomScale="60" workbookViewId="0" topLeftCell="A2">
      <selection activeCell="H12" sqref="H12"/>
    </sheetView>
  </sheetViews>
  <sheetFormatPr defaultColWidth="8.88671875" defaultRowHeight="15"/>
  <cols>
    <col min="3" max="3" width="16.6640625" style="0" customWidth="1"/>
    <col min="4" max="4" width="8.4453125" style="0" customWidth="1"/>
    <col min="5" max="5" width="17.10546875" style="0" customWidth="1"/>
    <col min="6" max="6" width="20.3359375" style="0" bestFit="1" customWidth="1"/>
  </cols>
  <sheetData>
    <row r="5" ht="15">
      <c r="B5" t="str">
        <f>+ROR!B2</f>
        <v>American Water Resources, Inc.</v>
      </c>
    </row>
    <row r="6" ht="15">
      <c r="B6" t="str">
        <f>+ROR!B3</f>
        <v>UW-031284</v>
      </c>
    </row>
    <row r="8" spans="2:5" ht="15">
      <c r="B8" t="s">
        <v>229</v>
      </c>
      <c r="E8" s="257">
        <v>38008</v>
      </c>
    </row>
    <row r="11" spans="3:6" s="12" customFormat="1" ht="15">
      <c r="C11" s="12" t="s">
        <v>191</v>
      </c>
      <c r="E11" s="12" t="s">
        <v>190</v>
      </c>
      <c r="F11" s="12" t="s">
        <v>264</v>
      </c>
    </row>
    <row r="12" spans="3:6" ht="15">
      <c r="C12" s="3">
        <v>5290</v>
      </c>
      <c r="D12" s="3"/>
      <c r="E12" s="3">
        <v>-66258</v>
      </c>
      <c r="F12" s="3">
        <v>51762.26</v>
      </c>
    </row>
    <row r="13" spans="3:6" ht="15">
      <c r="C13" s="3"/>
      <c r="D13" s="3"/>
      <c r="E13" s="3">
        <v>-1802.84</v>
      </c>
      <c r="F13" s="3"/>
    </row>
    <row r="14" spans="3:6" ht="15.75" thickBot="1">
      <c r="C14" s="3"/>
      <c r="D14" s="3"/>
      <c r="E14" s="3"/>
      <c r="F14" s="3"/>
    </row>
    <row r="15" spans="3:6" ht="15">
      <c r="C15" s="100">
        <f>SUM(C12:C14)</f>
        <v>5290</v>
      </c>
      <c r="D15" s="100"/>
      <c r="E15" s="100">
        <f>SUM(E12:E14)</f>
        <v>-68060.84</v>
      </c>
      <c r="F15" s="209">
        <f>SUM(F12:F14)</f>
        <v>51762.26</v>
      </c>
    </row>
    <row r="16" spans="2:6" ht="15.75" hidden="1">
      <c r="B16" t="s">
        <v>199</v>
      </c>
      <c r="C16" s="3"/>
      <c r="D16" s="3"/>
      <c r="E16" s="3"/>
      <c r="F16" s="98"/>
    </row>
    <row r="17" spans="2:6" ht="15.75" hidden="1">
      <c r="B17" t="s">
        <v>226</v>
      </c>
      <c r="C17" s="3"/>
      <c r="D17" s="3">
        <f>+C15</f>
        <v>5290</v>
      </c>
      <c r="E17" s="3"/>
      <c r="F17" s="98"/>
    </row>
    <row r="18" spans="2:6" ht="15.75" hidden="1">
      <c r="B18" t="s">
        <v>227</v>
      </c>
      <c r="C18" s="3"/>
      <c r="D18" s="3">
        <f>+F15</f>
        <v>51762.26</v>
      </c>
      <c r="E18" s="3"/>
      <c r="F18" s="98"/>
    </row>
    <row r="19" spans="2:6" ht="15.75" hidden="1">
      <c r="B19" t="s">
        <v>193</v>
      </c>
      <c r="C19" s="3"/>
      <c r="D19" s="3"/>
      <c r="E19" s="201">
        <f>+F15+C15</f>
        <v>57052.26</v>
      </c>
      <c r="F19" s="98"/>
    </row>
    <row r="20" spans="3:6" ht="15.75" hidden="1">
      <c r="C20" s="3"/>
      <c r="D20" s="3"/>
      <c r="E20" s="24"/>
      <c r="F20" s="98"/>
    </row>
    <row r="21" spans="3:6" ht="15.75" hidden="1">
      <c r="C21" s="3"/>
      <c r="D21" s="3"/>
      <c r="E21" s="98"/>
      <c r="F21" s="98">
        <f>+E19+E23</f>
        <v>125113.1</v>
      </c>
    </row>
    <row r="22" spans="2:6" ht="15.75" hidden="1">
      <c r="B22" t="s">
        <v>192</v>
      </c>
      <c r="C22" s="3"/>
      <c r="D22" s="3">
        <f>-E15</f>
        <v>68060.84</v>
      </c>
      <c r="E22" s="98"/>
      <c r="F22" s="98"/>
    </row>
    <row r="23" spans="2:6" ht="15.75" hidden="1">
      <c r="B23" t="s">
        <v>194</v>
      </c>
      <c r="C23" s="3"/>
      <c r="D23" s="3"/>
      <c r="E23" s="200">
        <f>+D22</f>
        <v>68060.84</v>
      </c>
      <c r="F23" s="98"/>
    </row>
    <row r="24" spans="3:6" ht="15.75">
      <c r="C24" s="3"/>
      <c r="D24" s="3"/>
      <c r="E24" s="98"/>
      <c r="F24" s="98"/>
    </row>
    <row r="25" spans="3:6" ht="15.75">
      <c r="C25" s="3"/>
      <c r="D25" s="3"/>
      <c r="E25" s="3"/>
      <c r="F25" s="98"/>
    </row>
    <row r="26" spans="2:6" ht="15.75">
      <c r="B26" t="s">
        <v>195</v>
      </c>
      <c r="C26" s="3"/>
      <c r="D26" s="3">
        <f>+F15</f>
        <v>51762.26</v>
      </c>
      <c r="F26" s="184"/>
    </row>
    <row r="27" spans="3:6" ht="15.75">
      <c r="C27" s="3"/>
      <c r="D27" s="3"/>
      <c r="E27" s="210">
        <f>+D26</f>
        <v>51762.26</v>
      </c>
      <c r="F27" s="184"/>
    </row>
    <row r="28" spans="2:6" ht="15">
      <c r="B28" t="s">
        <v>196</v>
      </c>
      <c r="D28" s="3"/>
      <c r="F28" s="75" t="s">
        <v>224</v>
      </c>
    </row>
    <row r="29" spans="2:6" ht="15.75">
      <c r="B29" t="s">
        <v>197</v>
      </c>
      <c r="D29" s="3">
        <f>+C15</f>
        <v>5290</v>
      </c>
      <c r="F29" s="98">
        <f>+E27+E31</f>
        <v>125113.1</v>
      </c>
    </row>
    <row r="30" spans="2:4" ht="15">
      <c r="B30" t="s">
        <v>198</v>
      </c>
      <c r="D30" s="3">
        <f>-E15</f>
        <v>68060.84</v>
      </c>
    </row>
    <row r="31" ht="15.75">
      <c r="E31" s="210">
        <f>+D30+D29</f>
        <v>73350.84</v>
      </c>
    </row>
    <row r="32" ht="15.75">
      <c r="E32" s="221"/>
    </row>
    <row r="33" spans="5:6" ht="15.75">
      <c r="E33" s="221"/>
      <c r="F33" s="75" t="s">
        <v>223</v>
      </c>
    </row>
    <row r="34" spans="5:6" ht="15.75">
      <c r="E34" s="221"/>
      <c r="F34" s="98">
        <f>+F29/2</f>
        <v>62556.55</v>
      </c>
    </row>
    <row r="35" ht="15.75">
      <c r="E35" s="221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&amp;RExhibit No. __ (JAW-22)
Docket No. UW-031284/UW-010961
Witness: James A. Ward
Page 1 of 1</oddHeader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="60" zoomScaleNormal="75" workbookViewId="0" topLeftCell="A1">
      <selection activeCell="H8" sqref="H8"/>
    </sheetView>
  </sheetViews>
  <sheetFormatPr defaultColWidth="8.88671875" defaultRowHeight="15"/>
  <cols>
    <col min="1" max="1" width="3.6640625" style="3" customWidth="1"/>
    <col min="2" max="2" width="15.6640625" style="3" bestFit="1" customWidth="1"/>
    <col min="3" max="6" width="12.77734375" style="3" customWidth="1"/>
    <col min="7" max="7" width="4.21484375" style="3" customWidth="1"/>
    <col min="8" max="10" width="12.77734375" style="3" customWidth="1"/>
    <col min="11" max="11" width="1.4375" style="3" customWidth="1"/>
    <col min="12" max="16384" width="8.88671875" style="3" customWidth="1"/>
  </cols>
  <sheetData>
    <row r="1" spans="2:10" ht="18">
      <c r="B1" s="293" t="s">
        <v>299</v>
      </c>
      <c r="C1" s="293" t="s">
        <v>300</v>
      </c>
      <c r="D1" s="293" t="s">
        <v>301</v>
      </c>
      <c r="E1" s="293" t="s">
        <v>302</v>
      </c>
      <c r="F1" s="293" t="s">
        <v>303</v>
      </c>
      <c r="G1" s="320"/>
      <c r="H1" s="293" t="s">
        <v>304</v>
      </c>
      <c r="I1" s="293" t="s">
        <v>305</v>
      </c>
      <c r="J1" s="293" t="s">
        <v>306</v>
      </c>
    </row>
    <row r="2" spans="1:2" ht="18">
      <c r="A2" s="302">
        <v>1</v>
      </c>
      <c r="B2" s="3" t="str">
        <f>+ROR!B2</f>
        <v>American Water Resources, Inc.</v>
      </c>
    </row>
    <row r="3" spans="1:2" ht="18">
      <c r="A3" s="302">
        <f>1+A2</f>
        <v>2</v>
      </c>
      <c r="B3" s="143" t="s">
        <v>269</v>
      </c>
    </row>
    <row r="4" spans="1:8" ht="18">
      <c r="A4" s="302">
        <f aca="true" t="shared" si="0" ref="A4:A37">1+A3</f>
        <v>3</v>
      </c>
      <c r="B4" s="143"/>
      <c r="C4" s="143"/>
      <c r="D4" s="143"/>
      <c r="E4" s="143"/>
      <c r="F4" s="143"/>
      <c r="G4" s="143"/>
      <c r="H4" s="143"/>
    </row>
    <row r="5" spans="1:9" ht="18">
      <c r="A5" s="302">
        <f t="shared" si="0"/>
        <v>4</v>
      </c>
      <c r="B5" s="143"/>
      <c r="C5" s="143"/>
      <c r="D5" s="250" t="s">
        <v>166</v>
      </c>
      <c r="E5" s="143"/>
      <c r="F5" s="143"/>
      <c r="G5" s="143"/>
      <c r="H5" s="143"/>
      <c r="I5" s="251" t="s">
        <v>262</v>
      </c>
    </row>
    <row r="6" spans="1:10" ht="18">
      <c r="A6" s="302">
        <f t="shared" si="0"/>
        <v>5</v>
      </c>
      <c r="B6" s="143"/>
      <c r="C6" s="146" t="s">
        <v>242</v>
      </c>
      <c r="D6" s="146" t="s">
        <v>254</v>
      </c>
      <c r="E6" s="241" t="s">
        <v>241</v>
      </c>
      <c r="F6" s="146" t="s">
        <v>155</v>
      </c>
      <c r="G6" s="146"/>
      <c r="H6" s="146" t="str">
        <f>+C6</f>
        <v>Wages</v>
      </c>
      <c r="I6" s="146" t="s">
        <v>254</v>
      </c>
      <c r="J6" s="241" t="s">
        <v>241</v>
      </c>
    </row>
    <row r="7" spans="1:10" ht="18">
      <c r="A7" s="302">
        <f t="shared" si="0"/>
        <v>6</v>
      </c>
      <c r="B7" s="319" t="s">
        <v>385</v>
      </c>
      <c r="C7" s="246"/>
      <c r="D7" s="247">
        <v>0.12945</v>
      </c>
      <c r="E7" s="247"/>
      <c r="F7" s="246"/>
      <c r="G7" s="246"/>
      <c r="H7" s="246"/>
      <c r="I7" s="247">
        <v>0.12945</v>
      </c>
      <c r="J7" s="247"/>
    </row>
    <row r="8" spans="1:10" ht="18">
      <c r="A8" s="302">
        <f t="shared" si="0"/>
        <v>7</v>
      </c>
      <c r="B8" s="143" t="s">
        <v>236</v>
      </c>
      <c r="C8" s="242">
        <v>33936</v>
      </c>
      <c r="D8" s="242">
        <f>+D$7*C8</f>
        <v>4393.015200000001</v>
      </c>
      <c r="E8" s="242">
        <v>3998.9</v>
      </c>
      <c r="F8" s="242">
        <f>SUM(C8:E8)</f>
        <v>42327.9152</v>
      </c>
      <c r="G8" s="241"/>
      <c r="H8" s="242">
        <v>37911</v>
      </c>
      <c r="I8" s="242">
        <f>+I$7*H8</f>
        <v>4907.57895</v>
      </c>
      <c r="J8" s="242">
        <v>3998.9</v>
      </c>
    </row>
    <row r="9" spans="1:10" ht="18">
      <c r="A9" s="302">
        <f t="shared" si="0"/>
        <v>8</v>
      </c>
      <c r="B9" s="143" t="s">
        <v>257</v>
      </c>
      <c r="C9" s="242">
        <v>32155</v>
      </c>
      <c r="D9" s="242">
        <f>+D$7*C9</f>
        <v>4162.46475</v>
      </c>
      <c r="E9" s="242">
        <f>+E8</f>
        <v>3998.9</v>
      </c>
      <c r="F9" s="242">
        <f>SUM(C9:E9)</f>
        <v>40316.36475</v>
      </c>
      <c r="G9" s="241"/>
      <c r="H9" s="242">
        <v>35679</v>
      </c>
      <c r="I9" s="242">
        <f>+I$7*H9</f>
        <v>4618.64655</v>
      </c>
      <c r="J9" s="242">
        <f>+J8</f>
        <v>3998.9</v>
      </c>
    </row>
    <row r="10" spans="1:10" ht="18">
      <c r="A10" s="302">
        <f t="shared" si="0"/>
        <v>9</v>
      </c>
      <c r="B10" s="143" t="s">
        <v>237</v>
      </c>
      <c r="C10" s="242">
        <v>22979</v>
      </c>
      <c r="D10" s="242">
        <f>+D$7*C10</f>
        <v>2974.63155</v>
      </c>
      <c r="E10" s="242">
        <f>+E9</f>
        <v>3998.9</v>
      </c>
      <c r="F10" s="242">
        <f>SUM(C10:E10)</f>
        <v>29952.53155</v>
      </c>
      <c r="G10" s="242"/>
      <c r="H10" s="242">
        <v>25113</v>
      </c>
      <c r="I10" s="242">
        <f>+I$7*H10</f>
        <v>3250.8778500000003</v>
      </c>
      <c r="J10" s="242">
        <f>+J9</f>
        <v>3998.9</v>
      </c>
    </row>
    <row r="11" spans="1:10" ht="18">
      <c r="A11" s="302">
        <f t="shared" si="0"/>
        <v>10</v>
      </c>
      <c r="B11" s="143"/>
      <c r="C11" s="256">
        <f>SUM(C8:C10)</f>
        <v>89070</v>
      </c>
      <c r="D11" s="243">
        <f>SUM(D8:D10)</f>
        <v>11530.1115</v>
      </c>
      <c r="E11" s="243">
        <f>SUM(E8:E10)</f>
        <v>11996.7</v>
      </c>
      <c r="F11" s="244">
        <f>SUM(F8:F10)</f>
        <v>112596.8115</v>
      </c>
      <c r="G11" s="242"/>
      <c r="H11" s="244">
        <f>SUM(H8:H10)</f>
        <v>98703</v>
      </c>
      <c r="I11" s="243">
        <f>SUM(I8:I10)</f>
        <v>12777.103350000001</v>
      </c>
      <c r="J11" s="243">
        <f>SUM(J8:J10)</f>
        <v>11996.7</v>
      </c>
    </row>
    <row r="12" spans="1:10" ht="18">
      <c r="A12" s="302">
        <f t="shared" si="0"/>
        <v>11</v>
      </c>
      <c r="B12" s="143"/>
      <c r="C12" s="242"/>
      <c r="D12" s="242"/>
      <c r="E12" s="242"/>
      <c r="F12" s="242"/>
      <c r="G12" s="242"/>
      <c r="H12" s="242"/>
      <c r="I12" s="242"/>
      <c r="J12" s="242"/>
    </row>
    <row r="13" spans="1:10" ht="18">
      <c r="A13" s="302">
        <f t="shared" si="0"/>
        <v>12</v>
      </c>
      <c r="B13" s="143"/>
      <c r="C13" s="242"/>
      <c r="D13" s="242"/>
      <c r="E13" s="242"/>
      <c r="F13" s="242"/>
      <c r="G13" s="242"/>
      <c r="H13" s="242"/>
      <c r="I13" s="242"/>
      <c r="J13" s="242"/>
    </row>
    <row r="14" spans="1:10" ht="18">
      <c r="A14" s="302">
        <f t="shared" si="0"/>
        <v>13</v>
      </c>
      <c r="B14" s="143" t="str">
        <f>+B8</f>
        <v>Service Tech</v>
      </c>
      <c r="C14" s="242">
        <v>19828</v>
      </c>
      <c r="D14" s="242">
        <f>+D$7*C14</f>
        <v>2566.7346000000002</v>
      </c>
      <c r="E14" s="242">
        <v>3998.9</v>
      </c>
      <c r="F14" s="242">
        <f>SUM(C14:E14)</f>
        <v>26393.6346</v>
      </c>
      <c r="G14" s="242"/>
      <c r="H14" s="242">
        <v>0</v>
      </c>
      <c r="I14" s="242">
        <f>+I$7*H14</f>
        <v>0</v>
      </c>
      <c r="J14" s="242">
        <v>0</v>
      </c>
    </row>
    <row r="15" spans="1:10" ht="18">
      <c r="A15" s="302">
        <f t="shared" si="0"/>
        <v>14</v>
      </c>
      <c r="B15" s="143" t="s">
        <v>253</v>
      </c>
      <c r="C15" s="242">
        <v>5350</v>
      </c>
      <c r="D15" s="242">
        <f>+D$7*C15</f>
        <v>692.5575</v>
      </c>
      <c r="E15" s="242">
        <v>0</v>
      </c>
      <c r="F15" s="242">
        <f>SUM(C15:E15)</f>
        <v>6042.5575</v>
      </c>
      <c r="G15" s="242"/>
      <c r="H15" s="242">
        <v>0</v>
      </c>
      <c r="I15" s="242">
        <f>+I$7*H15</f>
        <v>0</v>
      </c>
      <c r="J15" s="242">
        <v>0</v>
      </c>
    </row>
    <row r="16" spans="1:10" ht="18">
      <c r="A16" s="302">
        <f t="shared" si="0"/>
        <v>15</v>
      </c>
      <c r="B16" s="143"/>
      <c r="C16" s="244">
        <f>SUM(C14:C15)</f>
        <v>25178</v>
      </c>
      <c r="D16" s="244">
        <f>SUM(D14:D15)</f>
        <v>3259.2921</v>
      </c>
      <c r="E16" s="244">
        <f>SUM(E14:E15)</f>
        <v>3998.9</v>
      </c>
      <c r="F16" s="242">
        <f>SUM(F13:F15)</f>
        <v>32436.1921</v>
      </c>
      <c r="G16" s="242"/>
      <c r="H16" s="244">
        <f>SUM(H13:H15)</f>
        <v>0</v>
      </c>
      <c r="I16" s="244">
        <f>SUM(I14:I15)</f>
        <v>0</v>
      </c>
      <c r="J16" s="244">
        <f>SUM(J14:J15)</f>
        <v>0</v>
      </c>
    </row>
    <row r="17" spans="1:10" ht="18">
      <c r="A17" s="302">
        <f t="shared" si="0"/>
        <v>16</v>
      </c>
      <c r="B17" s="143"/>
      <c r="C17" s="242"/>
      <c r="D17" s="242"/>
      <c r="E17" s="242"/>
      <c r="F17" s="242"/>
      <c r="G17" s="242"/>
      <c r="H17" s="242"/>
      <c r="I17" s="242"/>
      <c r="J17" s="242"/>
    </row>
    <row r="18" spans="1:10" ht="18">
      <c r="A18" s="302">
        <f t="shared" si="0"/>
        <v>17</v>
      </c>
      <c r="B18" s="143"/>
      <c r="C18" s="242"/>
      <c r="D18" s="242"/>
      <c r="E18" s="242"/>
      <c r="F18" s="242"/>
      <c r="G18" s="242"/>
      <c r="H18" s="242"/>
      <c r="I18" s="242"/>
      <c r="J18" s="242"/>
    </row>
    <row r="19" spans="1:10" ht="18">
      <c r="A19" s="302">
        <f t="shared" si="0"/>
        <v>18</v>
      </c>
      <c r="B19" s="143" t="s">
        <v>255</v>
      </c>
      <c r="C19" s="242"/>
      <c r="D19" s="242"/>
      <c r="E19" s="242"/>
      <c r="F19" s="242"/>
      <c r="G19" s="242"/>
      <c r="H19" s="242"/>
      <c r="I19" s="242"/>
      <c r="J19" s="242"/>
    </row>
    <row r="20" spans="1:10" ht="18">
      <c r="A20" s="302">
        <f t="shared" si="0"/>
        <v>19</v>
      </c>
      <c r="B20" s="143" t="s">
        <v>235</v>
      </c>
      <c r="C20" s="242">
        <v>24000</v>
      </c>
      <c r="D20" s="242">
        <f>+D$7*C20</f>
        <v>3106.8</v>
      </c>
      <c r="E20" s="242">
        <v>6864.95</v>
      </c>
      <c r="F20" s="242">
        <f>SUM(C20:E20)</f>
        <v>33971.75</v>
      </c>
      <c r="G20" s="242"/>
      <c r="H20" s="242">
        <v>24000</v>
      </c>
      <c r="I20" s="242">
        <f>+I$7*H20</f>
        <v>3106.8</v>
      </c>
      <c r="J20" s="242">
        <v>6864.95</v>
      </c>
    </row>
    <row r="21" spans="1:10" ht="18">
      <c r="A21" s="302">
        <f t="shared" si="0"/>
        <v>20</v>
      </c>
      <c r="B21" s="143"/>
      <c r="C21" s="242"/>
      <c r="D21" s="242"/>
      <c r="E21" s="242"/>
      <c r="F21" s="242"/>
      <c r="G21" s="242"/>
      <c r="H21" s="242"/>
      <c r="I21" s="242"/>
      <c r="J21" s="242"/>
    </row>
    <row r="22" spans="1:10" ht="18">
      <c r="A22" s="302">
        <f t="shared" si="0"/>
        <v>21</v>
      </c>
      <c r="B22" s="143" t="s">
        <v>238</v>
      </c>
      <c r="C22" s="242">
        <v>32021</v>
      </c>
      <c r="D22" s="242">
        <f>+D$7*C22</f>
        <v>4145.11845</v>
      </c>
      <c r="E22" s="242">
        <v>3998.9</v>
      </c>
      <c r="F22" s="242">
        <f>SUM(C22:E22)</f>
        <v>40165.01845</v>
      </c>
      <c r="G22" s="242"/>
      <c r="H22" s="242">
        <v>36005</v>
      </c>
      <c r="I22" s="242">
        <f>+I$7*H22</f>
        <v>4660.847250000001</v>
      </c>
      <c r="J22" s="242">
        <v>3998.9</v>
      </c>
    </row>
    <row r="23" spans="1:10" ht="18">
      <c r="A23" s="302">
        <f t="shared" si="0"/>
        <v>22</v>
      </c>
      <c r="B23" s="143" t="s">
        <v>256</v>
      </c>
      <c r="C23" s="242">
        <v>24903</v>
      </c>
      <c r="D23" s="242">
        <f>+D$7*C23</f>
        <v>3223.69335</v>
      </c>
      <c r="E23" s="242">
        <f>+E22</f>
        <v>3998.9</v>
      </c>
      <c r="F23" s="242">
        <f>SUM(C23:E23)</f>
        <v>32125.593350000003</v>
      </c>
      <c r="G23" s="242"/>
      <c r="H23" s="242">
        <v>27997</v>
      </c>
      <c r="I23" s="242">
        <f>+I$7*H23</f>
        <v>3624.21165</v>
      </c>
      <c r="J23" s="242">
        <f>+J22</f>
        <v>3998.9</v>
      </c>
    </row>
    <row r="24" spans="1:10" ht="18">
      <c r="A24" s="302">
        <f t="shared" si="0"/>
        <v>23</v>
      </c>
      <c r="B24" s="143"/>
      <c r="C24" s="244">
        <f>SUM(C22:C23)</f>
        <v>56924</v>
      </c>
      <c r="D24" s="244">
        <f>SUM(D22:D23)</f>
        <v>7368.8117999999995</v>
      </c>
      <c r="E24" s="244">
        <f>SUM(E22:E23)</f>
        <v>7997.8</v>
      </c>
      <c r="F24" s="244">
        <f>SUM(F20:F23)</f>
        <v>106262.36180000001</v>
      </c>
      <c r="G24" s="242"/>
      <c r="H24" s="244">
        <f>SUM(H22:H23)</f>
        <v>64002</v>
      </c>
      <c r="I24" s="244">
        <f>SUM(I22:I23)</f>
        <v>8285.0589</v>
      </c>
      <c r="J24" s="244">
        <f>SUM(J22:J23)</f>
        <v>7997.8</v>
      </c>
    </row>
    <row r="25" spans="1:10" ht="18">
      <c r="A25" s="302">
        <f t="shared" si="0"/>
        <v>24</v>
      </c>
      <c r="B25" s="143"/>
      <c r="C25" s="242"/>
      <c r="D25" s="242"/>
      <c r="E25" s="242"/>
      <c r="F25" s="242"/>
      <c r="G25" s="242"/>
      <c r="H25" s="242"/>
      <c r="I25" s="242"/>
      <c r="J25" s="242"/>
    </row>
    <row r="26" spans="1:10" ht="18">
      <c r="A26" s="302">
        <f t="shared" si="0"/>
        <v>25</v>
      </c>
      <c r="B26" s="143" t="s">
        <v>166</v>
      </c>
      <c r="C26" s="242">
        <f>+C24+C16+C11+C20</f>
        <v>195172</v>
      </c>
      <c r="D26" s="242">
        <f>+D24+D16+D11+D20</f>
        <v>25265.0154</v>
      </c>
      <c r="E26" s="242">
        <f>+E24+E16+E11+E20</f>
        <v>30858.350000000002</v>
      </c>
      <c r="F26" s="242">
        <f>+F24+F11+F16</f>
        <v>251295.3654</v>
      </c>
      <c r="G26" s="242"/>
      <c r="H26" s="242">
        <f>+H24+H16+H11+H20</f>
        <v>186705</v>
      </c>
      <c r="I26" s="242">
        <f>+I24+I16+I11+I20</f>
        <v>24168.96225</v>
      </c>
      <c r="J26" s="242">
        <f>+J24+J16+J11+J20</f>
        <v>26859.45</v>
      </c>
    </row>
    <row r="27" spans="1:10" ht="18">
      <c r="A27" s="302">
        <f t="shared" si="0"/>
        <v>26</v>
      </c>
      <c r="B27" s="143" t="s">
        <v>258</v>
      </c>
      <c r="C27" s="242"/>
      <c r="D27" s="255">
        <f>+D24+D11+D20</f>
        <v>22005.7233</v>
      </c>
      <c r="E27" s="255">
        <f>+E24+E11+E20</f>
        <v>26859.45</v>
      </c>
      <c r="F27" s="242"/>
      <c r="G27" s="242"/>
      <c r="H27" s="242"/>
      <c r="I27" s="255">
        <f>+I24+I11+I20</f>
        <v>24168.96225</v>
      </c>
      <c r="J27" s="255">
        <f>+J24+J11+J20</f>
        <v>26859.45</v>
      </c>
    </row>
    <row r="28" spans="1:10" ht="18">
      <c r="A28" s="302">
        <f t="shared" si="0"/>
        <v>27</v>
      </c>
      <c r="B28" s="143"/>
      <c r="C28" s="242"/>
      <c r="D28" s="245"/>
      <c r="E28" s="245"/>
      <c r="F28" s="242"/>
      <c r="G28" s="242"/>
      <c r="H28" s="242"/>
      <c r="I28" s="21"/>
      <c r="J28" s="245"/>
    </row>
    <row r="29" spans="1:10" s="97" customFormat="1" ht="18">
      <c r="A29" s="302">
        <f t="shared" si="0"/>
        <v>28</v>
      </c>
      <c r="B29" s="146"/>
      <c r="C29" s="71"/>
      <c r="D29" s="241" t="s">
        <v>252</v>
      </c>
      <c r="E29" s="241" t="s">
        <v>259</v>
      </c>
      <c r="F29" s="252" t="s">
        <v>118</v>
      </c>
      <c r="G29" s="242"/>
      <c r="H29" s="241" t="s">
        <v>252</v>
      </c>
      <c r="I29" s="241" t="s">
        <v>259</v>
      </c>
      <c r="J29" s="252" t="s">
        <v>118</v>
      </c>
    </row>
    <row r="30" spans="1:10" s="97" customFormat="1" ht="18">
      <c r="A30" s="302">
        <f t="shared" si="0"/>
        <v>29</v>
      </c>
      <c r="B30" s="146"/>
      <c r="C30" s="248" t="s">
        <v>166</v>
      </c>
      <c r="D30" s="248" t="s">
        <v>64</v>
      </c>
      <c r="E30" s="248" t="s">
        <v>261</v>
      </c>
      <c r="F30" s="253" t="s">
        <v>219</v>
      </c>
      <c r="G30" s="242"/>
      <c r="H30" s="248" t="s">
        <v>260</v>
      </c>
      <c r="I30" s="248" t="s">
        <v>261</v>
      </c>
      <c r="J30" s="253" t="s">
        <v>219</v>
      </c>
    </row>
    <row r="31" spans="1:10" ht="18">
      <c r="A31" s="302">
        <f t="shared" si="0"/>
        <v>30</v>
      </c>
      <c r="B31" s="143" t="s">
        <v>235</v>
      </c>
      <c r="C31" s="21">
        <v>23842</v>
      </c>
      <c r="D31" s="21">
        <f>+C31</f>
        <v>23842</v>
      </c>
      <c r="E31" s="21">
        <f aca="true" t="shared" si="1" ref="E31:E36">+D31-C31</f>
        <v>0</v>
      </c>
      <c r="F31" s="254">
        <f>+E31</f>
        <v>0</v>
      </c>
      <c r="G31" s="242"/>
      <c r="H31" s="21">
        <v>24000</v>
      </c>
      <c r="I31" s="21">
        <f>+H31-C31</f>
        <v>158</v>
      </c>
      <c r="J31" s="254">
        <f>+I31</f>
        <v>158</v>
      </c>
    </row>
    <row r="32" spans="1:10" ht="18">
      <c r="A32" s="302">
        <f t="shared" si="0"/>
        <v>31</v>
      </c>
      <c r="B32" s="143" t="s">
        <v>163</v>
      </c>
      <c r="C32" s="21">
        <f>+C16+C11-2076</f>
        <v>112172</v>
      </c>
      <c r="D32" s="21">
        <f>+C11</f>
        <v>89070</v>
      </c>
      <c r="E32" s="21">
        <f t="shared" si="1"/>
        <v>-23102</v>
      </c>
      <c r="F32" s="254">
        <f>+E32</f>
        <v>-23102</v>
      </c>
      <c r="G32" s="242"/>
      <c r="H32" s="21">
        <f>+H11</f>
        <v>98703</v>
      </c>
      <c r="I32" s="21">
        <f>+H32-C32</f>
        <v>-13469</v>
      </c>
      <c r="J32" s="254">
        <f>+I32</f>
        <v>-13469</v>
      </c>
    </row>
    <row r="33" spans="1:10" ht="18">
      <c r="A33" s="302">
        <f t="shared" si="0"/>
        <v>32</v>
      </c>
      <c r="B33" s="143" t="s">
        <v>238</v>
      </c>
      <c r="C33" s="21">
        <f>+C24</f>
        <v>56924</v>
      </c>
      <c r="D33" s="21">
        <f>+C33</f>
        <v>56924</v>
      </c>
      <c r="E33" s="21">
        <f t="shared" si="1"/>
        <v>0</v>
      </c>
      <c r="F33" s="254">
        <f>+E33</f>
        <v>0</v>
      </c>
      <c r="G33" s="242"/>
      <c r="H33" s="242">
        <f>+H24</f>
        <v>64002</v>
      </c>
      <c r="I33" s="21">
        <f>+H33-C33</f>
        <v>7078</v>
      </c>
      <c r="J33" s="254">
        <f>+I33</f>
        <v>7078</v>
      </c>
    </row>
    <row r="34" spans="1:10" ht="18">
      <c r="A34" s="302">
        <f t="shared" si="0"/>
        <v>33</v>
      </c>
      <c r="B34" s="143" t="s">
        <v>239</v>
      </c>
      <c r="C34" s="21">
        <v>29071</v>
      </c>
      <c r="D34" s="21">
        <f>+E27</f>
        <v>26859.45</v>
      </c>
      <c r="E34" s="21">
        <f t="shared" si="1"/>
        <v>-2211.5499999999993</v>
      </c>
      <c r="F34" s="254">
        <f>+E34</f>
        <v>-2211.5499999999993</v>
      </c>
      <c r="G34" s="21"/>
      <c r="H34" s="21">
        <f>+J27</f>
        <v>26859.45</v>
      </c>
      <c r="I34" s="21">
        <f>+H34-C34</f>
        <v>-2211.5499999999993</v>
      </c>
      <c r="J34" s="254">
        <f>+I34</f>
        <v>-2211.5499999999993</v>
      </c>
    </row>
    <row r="35" spans="1:10" ht="18.75" thickBot="1">
      <c r="A35" s="302">
        <f t="shared" si="0"/>
        <v>34</v>
      </c>
      <c r="B35" s="143" t="s">
        <v>240</v>
      </c>
      <c r="C35" s="21">
        <v>25252</v>
      </c>
      <c r="D35" s="21">
        <f>+D27</f>
        <v>22005.7233</v>
      </c>
      <c r="E35" s="21">
        <f t="shared" si="1"/>
        <v>-3246.2766999999985</v>
      </c>
      <c r="F35" s="254">
        <f>+E35</f>
        <v>-3246.2766999999985</v>
      </c>
      <c r="G35" s="21"/>
      <c r="H35" s="242">
        <f>+I27</f>
        <v>24168.96225</v>
      </c>
      <c r="I35" s="21">
        <f>+H35-C35</f>
        <v>-1083.0377499999995</v>
      </c>
      <c r="J35" s="254">
        <f>+I35</f>
        <v>-1083.0377499999995</v>
      </c>
    </row>
    <row r="36" spans="1:10" ht="18.75" thickBot="1">
      <c r="A36" s="302">
        <f t="shared" si="0"/>
        <v>35</v>
      </c>
      <c r="C36" s="249">
        <f>SUM(C31:C35)</f>
        <v>247261</v>
      </c>
      <c r="D36" s="249">
        <f>SUM(D31:D35)</f>
        <v>218701.17330000002</v>
      </c>
      <c r="E36" s="249">
        <f t="shared" si="1"/>
        <v>-28559.826699999976</v>
      </c>
      <c r="F36" s="254"/>
      <c r="G36" s="21"/>
      <c r="H36" s="249">
        <f>SUM(H31:H35)</f>
        <v>237733.41225000002</v>
      </c>
      <c r="I36" s="249">
        <f>SUM(I31:I35)</f>
        <v>-9527.587749999999</v>
      </c>
      <c r="J36" s="254"/>
    </row>
    <row r="37" spans="1:10" ht="18">
      <c r="A37" s="302">
        <f t="shared" si="0"/>
        <v>36</v>
      </c>
      <c r="C37" s="21"/>
      <c r="D37" s="21"/>
      <c r="E37" s="21"/>
      <c r="F37" s="249">
        <f>SUM(F31:F36)</f>
        <v>-28559.826699999998</v>
      </c>
      <c r="G37" s="21"/>
      <c r="H37" s="242"/>
      <c r="I37" s="21"/>
      <c r="J37" s="249">
        <f>SUM(J31:J36)</f>
        <v>-9527.587749999999</v>
      </c>
    </row>
    <row r="38" spans="3:10" ht="15">
      <c r="C38" s="21"/>
      <c r="D38" s="21"/>
      <c r="E38" s="21"/>
      <c r="F38" s="21"/>
      <c r="G38" s="21"/>
      <c r="H38" s="242"/>
      <c r="I38" s="21"/>
      <c r="J38" s="21"/>
    </row>
  </sheetData>
  <printOptions/>
  <pageMargins left="0.75" right="0.75" top="1" bottom="1" header="0.25" footer="0.5"/>
  <pageSetup fitToHeight="1" fitToWidth="1" horizontalDpi="600" verticalDpi="600" orientation="landscape" scale="71" r:id="rId1"/>
  <headerFooter alignWithMargins="0">
    <oddHeader>&amp;RExhibit No. ___(JAW-26)
Docket No. UW-031284/UW-010961/UW-031596
Witness: James A. Ward
Page 1 of 1</oddHeader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19"/>
  <sheetViews>
    <sheetView view="pageBreakPreview" zoomScale="60" workbookViewId="0" topLeftCell="A1">
      <selection activeCell="E3" sqref="E3"/>
    </sheetView>
  </sheetViews>
  <sheetFormatPr defaultColWidth="8.88671875" defaultRowHeight="15"/>
  <cols>
    <col min="1" max="1" width="3.3359375" style="3" customWidth="1"/>
    <col min="2" max="2" width="8.88671875" style="3" customWidth="1"/>
    <col min="3" max="3" width="5.99609375" style="3" bestFit="1" customWidth="1"/>
    <col min="4" max="4" width="8.99609375" style="3" bestFit="1" customWidth="1"/>
    <col min="5" max="5" width="9.21484375" style="3" bestFit="1" customWidth="1"/>
    <col min="6" max="6" width="12.3359375" style="3" bestFit="1" customWidth="1"/>
    <col min="7" max="7" width="9.88671875" style="3" bestFit="1" customWidth="1"/>
    <col min="8" max="8" width="11.77734375" style="3" bestFit="1" customWidth="1"/>
    <col min="9" max="9" width="11.88671875" style="3" bestFit="1" customWidth="1"/>
    <col min="10" max="10" width="9.77734375" style="3" customWidth="1"/>
    <col min="11" max="11" width="10.5546875" style="3" bestFit="1" customWidth="1"/>
    <col min="12" max="12" width="8.77734375" style="3" customWidth="1"/>
    <col min="13" max="15" width="8.99609375" style="3" bestFit="1" customWidth="1"/>
    <col min="16" max="16384" width="8.88671875" style="3" customWidth="1"/>
  </cols>
  <sheetData>
    <row r="5" ht="15">
      <c r="B5" s="3" t="str">
        <f>+ROR!B2</f>
        <v>American Water Resources, Inc.</v>
      </c>
    </row>
    <row r="6" ht="15">
      <c r="B6" s="3" t="str">
        <f>+ROR!B3</f>
        <v>UW-031284</v>
      </c>
    </row>
    <row r="7" ht="15">
      <c r="B7" s="3" t="s">
        <v>153</v>
      </c>
    </row>
    <row r="9" s="97" customFormat="1" ht="15"/>
    <row r="10" spans="4:15" s="170" customFormat="1" ht="15">
      <c r="D10" s="171">
        <v>37438</v>
      </c>
      <c r="E10" s="171">
        <v>37469</v>
      </c>
      <c r="F10" s="171">
        <v>37500</v>
      </c>
      <c r="G10" s="171">
        <v>37530</v>
      </c>
      <c r="H10" s="171">
        <v>37561</v>
      </c>
      <c r="I10" s="171">
        <v>37591</v>
      </c>
      <c r="J10" s="171">
        <v>37622</v>
      </c>
      <c r="K10" s="171">
        <v>37655</v>
      </c>
      <c r="L10" s="171">
        <v>37681</v>
      </c>
      <c r="M10" s="171">
        <v>37712</v>
      </c>
      <c r="N10" s="171">
        <v>37742</v>
      </c>
      <c r="O10" s="171">
        <v>37773</v>
      </c>
    </row>
    <row r="11" spans="2:15" ht="15">
      <c r="B11" s="3" t="s">
        <v>51</v>
      </c>
      <c r="C11" s="3">
        <f>AVERAGE(D11:O11)</f>
        <v>387.1666666666667</v>
      </c>
      <c r="D11" s="3">
        <v>401</v>
      </c>
      <c r="E11" s="3">
        <v>401</v>
      </c>
      <c r="F11" s="3">
        <v>393</v>
      </c>
      <c r="G11" s="3">
        <v>399</v>
      </c>
      <c r="H11" s="3">
        <v>383</v>
      </c>
      <c r="I11" s="3">
        <v>383</v>
      </c>
      <c r="J11" s="3">
        <v>384</v>
      </c>
      <c r="K11" s="3">
        <v>386</v>
      </c>
      <c r="L11" s="3">
        <v>384</v>
      </c>
      <c r="M11" s="3">
        <v>375</v>
      </c>
      <c r="N11" s="3">
        <v>387</v>
      </c>
      <c r="O11" s="3">
        <v>370</v>
      </c>
    </row>
    <row r="12" spans="2:15" ht="15.75" thickBot="1">
      <c r="B12" s="3" t="s">
        <v>154</v>
      </c>
      <c r="C12" s="3">
        <f>AVERAGE(D12:O12)</f>
        <v>1108.75</v>
      </c>
      <c r="D12" s="3">
        <v>1090</v>
      </c>
      <c r="E12" s="3">
        <v>1102</v>
      </c>
      <c r="F12" s="3">
        <v>1105</v>
      </c>
      <c r="G12" s="3">
        <v>1094</v>
      </c>
      <c r="H12" s="3">
        <v>1107</v>
      </c>
      <c r="I12" s="3">
        <v>1107</v>
      </c>
      <c r="J12" s="3">
        <v>1108</v>
      </c>
      <c r="K12" s="3">
        <v>1104</v>
      </c>
      <c r="L12" s="3">
        <v>1108</v>
      </c>
      <c r="M12" s="3">
        <v>1118</v>
      </c>
      <c r="N12" s="3">
        <v>1130</v>
      </c>
      <c r="O12" s="3">
        <v>1132</v>
      </c>
    </row>
    <row r="13" spans="2:15" ht="15">
      <c r="B13" s="3" t="s">
        <v>155</v>
      </c>
      <c r="C13" s="3">
        <f>AVERAGE(D13:O13)</f>
        <v>1505.9841666666664</v>
      </c>
      <c r="D13" s="100">
        <v>1611.81</v>
      </c>
      <c r="E13" s="100">
        <f aca="true" t="shared" si="0" ref="E13:K13">SUM(E11:E12)</f>
        <v>1503</v>
      </c>
      <c r="F13" s="100">
        <f t="shared" si="0"/>
        <v>1498</v>
      </c>
      <c r="G13" s="100">
        <f t="shared" si="0"/>
        <v>1493</v>
      </c>
      <c r="H13" s="100">
        <f t="shared" si="0"/>
        <v>1490</v>
      </c>
      <c r="I13" s="100">
        <f t="shared" si="0"/>
        <v>1490</v>
      </c>
      <c r="J13" s="100">
        <f t="shared" si="0"/>
        <v>1492</v>
      </c>
      <c r="K13" s="100">
        <f t="shared" si="0"/>
        <v>1490</v>
      </c>
      <c r="L13" s="100">
        <f>SUM(L11:L12)</f>
        <v>1492</v>
      </c>
      <c r="M13" s="100">
        <f>SUM(M11:M12)</f>
        <v>1493</v>
      </c>
      <c r="N13" s="100">
        <f>SUM(N11:N12)</f>
        <v>1517</v>
      </c>
      <c r="O13" s="100">
        <f>SUM(O11:O12)</f>
        <v>1502</v>
      </c>
    </row>
    <row r="14" spans="2:15" ht="15">
      <c r="B14" s="3" t="s">
        <v>156</v>
      </c>
      <c r="C14" s="172">
        <f>AVERAGE(D14:O14)</f>
        <v>1023.1641666666669</v>
      </c>
      <c r="D14" s="3">
        <v>1444.02</v>
      </c>
      <c r="E14" s="3">
        <v>2082.76</v>
      </c>
      <c r="F14" s="3">
        <v>1490.98</v>
      </c>
      <c r="G14" s="3">
        <v>1046.02</v>
      </c>
      <c r="H14" s="3">
        <v>873.76</v>
      </c>
      <c r="I14" s="3">
        <v>606.32</v>
      </c>
      <c r="J14" s="3">
        <v>672.79</v>
      </c>
      <c r="K14" s="3">
        <v>706.61</v>
      </c>
      <c r="L14" s="3">
        <v>666.69</v>
      </c>
      <c r="M14" s="3">
        <v>628.87</v>
      </c>
      <c r="N14" s="3">
        <v>755.07</v>
      </c>
      <c r="O14" s="3">
        <v>1304.08</v>
      </c>
    </row>
    <row r="15" spans="2:15" s="21" customFormat="1" ht="15">
      <c r="B15" s="21" t="s">
        <v>107</v>
      </c>
      <c r="C15" s="21">
        <f>AVERAGE(D15:O15)</f>
        <v>32.424166666666665</v>
      </c>
      <c r="D15" s="21">
        <v>37.05</v>
      </c>
      <c r="E15" s="21">
        <v>44.08</v>
      </c>
      <c r="F15" s="21">
        <v>37.57</v>
      </c>
      <c r="G15" s="21">
        <v>32.68</v>
      </c>
      <c r="H15" s="21">
        <v>30.78</v>
      </c>
      <c r="I15" s="21">
        <v>27.84</v>
      </c>
      <c r="J15" s="21">
        <v>28.57</v>
      </c>
      <c r="K15" s="21">
        <v>28.94</v>
      </c>
      <c r="L15" s="21">
        <v>28.5</v>
      </c>
      <c r="M15" s="21">
        <v>28.09</v>
      </c>
      <c r="N15" s="21">
        <v>29.48</v>
      </c>
      <c r="O15" s="21">
        <v>35.51</v>
      </c>
    </row>
    <row r="17" spans="4:5" ht="15">
      <c r="D17" s="3" t="s">
        <v>157</v>
      </c>
      <c r="E17" s="3">
        <f>(SUM(D14:F14)+SUM(M14:O14))/6</f>
        <v>1284.2966666666669</v>
      </c>
    </row>
    <row r="18" spans="4:5" ht="15">
      <c r="D18" s="3" t="s">
        <v>158</v>
      </c>
      <c r="E18" s="3">
        <f>SUM(G14:L14)/6</f>
        <v>762.0316666666668</v>
      </c>
    </row>
    <row r="19" ht="15.75">
      <c r="E19" s="184">
        <f>SUM(E17:E18)/2</f>
        <v>1023.1641666666668</v>
      </c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view="pageBreakPreview" zoomScale="60" zoomScaleNormal="75" workbookViewId="0" topLeftCell="B9">
      <selection activeCell="C13" sqref="C13"/>
    </sheetView>
  </sheetViews>
  <sheetFormatPr defaultColWidth="8.88671875" defaultRowHeight="15"/>
  <cols>
    <col min="1" max="1" width="8.88671875" style="12" customWidth="1"/>
    <col min="2" max="2" width="5.99609375" style="0" customWidth="1"/>
    <col min="3" max="3" width="17.3359375" style="0" customWidth="1"/>
    <col min="5" max="5" width="9.4453125" style="0" customWidth="1"/>
    <col min="6" max="6" width="9.21484375" style="0" customWidth="1"/>
    <col min="7" max="7" width="1.88671875" style="0" customWidth="1"/>
    <col min="8" max="8" width="6.4453125" style="0" customWidth="1"/>
    <col min="9" max="9" width="10.3359375" style="0" customWidth="1"/>
    <col min="10" max="10" width="9.77734375" style="0" bestFit="1" customWidth="1"/>
    <col min="11" max="11" width="10.6640625" style="0" customWidth="1"/>
    <col min="12" max="12" width="9.3359375" style="0" customWidth="1"/>
    <col min="14" max="14" width="5.77734375" style="0" bestFit="1" customWidth="1"/>
  </cols>
  <sheetData>
    <row r="5" ht="15">
      <c r="B5" t="str">
        <f>+ROR!B2</f>
        <v>American Water Resources, Inc.</v>
      </c>
    </row>
    <row r="6" spans="2:12" ht="15">
      <c r="B6" t="str">
        <f>+ROR!B3</f>
        <v>UW-031284</v>
      </c>
      <c r="L6" s="6">
        <f ca="1">NOW()</f>
        <v>38100.59251087963</v>
      </c>
    </row>
    <row r="7" ht="15">
      <c r="B7" t="s">
        <v>32</v>
      </c>
    </row>
    <row r="9" spans="1:9" ht="15">
      <c r="A9" s="27">
        <f>+ROR!T8+ROR!T9</f>
        <v>485011.16000000003</v>
      </c>
      <c r="C9" s="7">
        <f>+A9</f>
        <v>485011.16000000003</v>
      </c>
      <c r="D9" t="s">
        <v>33</v>
      </c>
      <c r="I9" s="12"/>
    </row>
    <row r="10" spans="3:10" ht="15">
      <c r="C10" s="102">
        <f>+L51</f>
        <v>485009.35188800003</v>
      </c>
      <c r="D10" s="103" t="s">
        <v>34</v>
      </c>
      <c r="E10" s="104"/>
      <c r="F10" s="58">
        <f>+C10-C9</f>
        <v>-1.8081119999988005</v>
      </c>
      <c r="G10" s="59"/>
      <c r="H10" s="60" t="s">
        <v>35</v>
      </c>
      <c r="I10" s="27"/>
      <c r="J10" s="8">
        <f>+F10/C11/12</f>
        <v>-0.00010031691078555263</v>
      </c>
    </row>
    <row r="11" spans="3:8" ht="15">
      <c r="C11" s="19">
        <f>+ROR!T62</f>
        <v>1502</v>
      </c>
      <c r="D11" t="s">
        <v>266</v>
      </c>
      <c r="F11" s="10">
        <f>+A9/C11</f>
        <v>322.9102263648469</v>
      </c>
      <c r="H11" t="s">
        <v>36</v>
      </c>
    </row>
    <row r="12" spans="3:8" ht="15">
      <c r="C12">
        <v>0</v>
      </c>
      <c r="D12" t="s">
        <v>37</v>
      </c>
      <c r="F12">
        <v>12</v>
      </c>
      <c r="H12" t="s">
        <v>38</v>
      </c>
    </row>
    <row r="13" spans="6:8" ht="15">
      <c r="F13" s="8">
        <f>+F11/F12</f>
        <v>26.909185530403906</v>
      </c>
      <c r="H13" t="s">
        <v>39</v>
      </c>
    </row>
    <row r="14" ht="15">
      <c r="F14" s="8"/>
    </row>
    <row r="15" spans="3:12" s="12" customFormat="1" ht="15">
      <c r="C15" s="174" t="s">
        <v>159</v>
      </c>
      <c r="D15" s="173">
        <f>+'Wtr Use'!E17</f>
        <v>1284.2966666666669</v>
      </c>
      <c r="E15" s="153" t="s">
        <v>42</v>
      </c>
      <c r="F15" s="153"/>
      <c r="G15" s="153"/>
      <c r="H15" s="154"/>
      <c r="I15" s="12" t="s">
        <v>40</v>
      </c>
      <c r="L15" s="12" t="s">
        <v>41</v>
      </c>
    </row>
    <row r="16" spans="3:13" s="12" customFormat="1" ht="15">
      <c r="C16" s="175" t="s">
        <v>160</v>
      </c>
      <c r="D16" s="99">
        <f>+'Wtr Use'!E18</f>
        <v>762.0316666666668</v>
      </c>
      <c r="E16" s="22" t="s">
        <v>77</v>
      </c>
      <c r="F16" s="22" t="s">
        <v>43</v>
      </c>
      <c r="G16" s="22"/>
      <c r="H16" s="157" t="s">
        <v>44</v>
      </c>
      <c r="I16" s="22" t="s">
        <v>45</v>
      </c>
      <c r="J16" s="22" t="s">
        <v>46</v>
      </c>
      <c r="K16" s="22" t="s">
        <v>47</v>
      </c>
      <c r="L16" s="22" t="s">
        <v>45</v>
      </c>
      <c r="M16" s="22" t="s">
        <v>47</v>
      </c>
    </row>
    <row r="17" spans="3:8" ht="15.75">
      <c r="C17" s="175" t="s">
        <v>161</v>
      </c>
      <c r="D17" s="99">
        <f>+'Wtr Use'!C14</f>
        <v>1023.1641666666669</v>
      </c>
      <c r="E17" s="159">
        <f>+D17</f>
        <v>1023.1641666666669</v>
      </c>
      <c r="F17" s="156">
        <v>0</v>
      </c>
      <c r="G17" s="128"/>
      <c r="H17" s="160"/>
    </row>
    <row r="18" spans="1:8" ht="15">
      <c r="A18" s="54"/>
      <c r="C18" s="158"/>
      <c r="D18" s="128"/>
      <c r="E18" s="22" t="s">
        <v>43</v>
      </c>
      <c r="F18" s="55" t="s">
        <v>48</v>
      </c>
      <c r="G18" s="128"/>
      <c r="H18" s="160"/>
    </row>
    <row r="19" spans="1:13" ht="15">
      <c r="A19" s="8">
        <f>+B19-F19</f>
        <v>4.279999999999999</v>
      </c>
      <c r="B19" s="21">
        <v>17.7</v>
      </c>
      <c r="C19" s="158"/>
      <c r="D19" s="128"/>
      <c r="E19" s="156">
        <v>0</v>
      </c>
      <c r="F19" s="161">
        <v>13.42</v>
      </c>
      <c r="G19" s="128"/>
      <c r="H19" s="162">
        <v>1132</v>
      </c>
      <c r="I19" s="7">
        <f>+H19*F19</f>
        <v>15191.44</v>
      </c>
      <c r="K19" s="5">
        <f>+I19/J25</f>
        <v>0.49940281297503575</v>
      </c>
      <c r="L19" s="7">
        <f>+I19*12</f>
        <v>182297.28</v>
      </c>
      <c r="M19" s="5">
        <f>+L19/L25</f>
        <v>0.4994028129750358</v>
      </c>
    </row>
    <row r="20" spans="1:8" ht="15">
      <c r="A20" s="8"/>
      <c r="C20" s="155" t="s">
        <v>50</v>
      </c>
      <c r="D20" s="128" t="s">
        <v>78</v>
      </c>
      <c r="E20" s="128"/>
      <c r="F20" s="128"/>
      <c r="G20" s="128"/>
      <c r="H20" s="160"/>
    </row>
    <row r="21" spans="1:13" ht="15">
      <c r="A21" s="8">
        <f>+B21-D21</f>
        <v>0.10999999999999988</v>
      </c>
      <c r="B21" s="21">
        <f>+D58</f>
        <v>1.21</v>
      </c>
      <c r="C21" s="155" t="s">
        <v>103</v>
      </c>
      <c r="D21" s="161">
        <v>1.1</v>
      </c>
      <c r="E21" s="163">
        <v>500</v>
      </c>
      <c r="F21" s="164">
        <f>+E21/100*D21</f>
        <v>5.5</v>
      </c>
      <c r="G21" s="128"/>
      <c r="H21" s="162">
        <f>+H19</f>
        <v>1132</v>
      </c>
      <c r="J21" s="7">
        <f>+H21*F21</f>
        <v>6226</v>
      </c>
      <c r="K21" s="5">
        <f>+J21/J25</f>
        <v>0.20467328400616216</v>
      </c>
      <c r="L21" s="7">
        <f>+J21*12</f>
        <v>74712</v>
      </c>
      <c r="M21" s="5">
        <f>+L21/L25</f>
        <v>0.20467328400616222</v>
      </c>
    </row>
    <row r="22" spans="1:13" ht="15">
      <c r="A22" s="8">
        <f>+B22-D22</f>
        <v>0.22999999999999998</v>
      </c>
      <c r="B22" s="21">
        <f>+D59</f>
        <v>1.75</v>
      </c>
      <c r="C22" s="155" t="s">
        <v>104</v>
      </c>
      <c r="D22" s="161">
        <v>1.52</v>
      </c>
      <c r="E22" s="163">
        <f>+E17-E21</f>
        <v>523.1641666666669</v>
      </c>
      <c r="F22" s="164">
        <f>+E22/100*D22</f>
        <v>7.952095333333337</v>
      </c>
      <c r="G22" s="128"/>
      <c r="H22" s="162">
        <f>+H19</f>
        <v>1132</v>
      </c>
      <c r="J22" s="7">
        <f>+H22*F22</f>
        <v>9001.771917333337</v>
      </c>
      <c r="K22" s="5">
        <f>+J22/J25</f>
        <v>0.295923903018802</v>
      </c>
      <c r="L22" s="7">
        <f>+J22*12</f>
        <v>108021.26300800004</v>
      </c>
      <c r="M22" s="5">
        <f>+L22/L25</f>
        <v>0.295923903018802</v>
      </c>
    </row>
    <row r="23" spans="1:13" ht="15">
      <c r="A23" s="8"/>
      <c r="C23" s="155"/>
      <c r="D23" s="161">
        <f>+D22</f>
        <v>1.52</v>
      </c>
      <c r="E23" s="163">
        <v>0</v>
      </c>
      <c r="F23" s="164">
        <f>+E23/100*D23</f>
        <v>0</v>
      </c>
      <c r="G23" s="128"/>
      <c r="H23" s="162">
        <f>+H21</f>
        <v>1132</v>
      </c>
      <c r="J23" s="7">
        <f>+H23*F23</f>
        <v>0</v>
      </c>
      <c r="K23" s="5">
        <f>+J23/J25</f>
        <v>0</v>
      </c>
      <c r="L23" s="7">
        <f>+J23*12</f>
        <v>0</v>
      </c>
      <c r="M23" s="5">
        <f>+L23/L25</f>
        <v>0</v>
      </c>
    </row>
    <row r="24" spans="3:8" ht="15.75" thickBot="1">
      <c r="C24" s="158"/>
      <c r="D24" s="128"/>
      <c r="E24" s="128"/>
      <c r="F24" s="14">
        <f>SUM(F21:F23)</f>
        <v>13.452095333333336</v>
      </c>
      <c r="G24" s="128"/>
      <c r="H24" s="160"/>
    </row>
    <row r="25" spans="3:13" ht="16.5" thickTop="1">
      <c r="C25" s="158" t="s">
        <v>267</v>
      </c>
      <c r="D25" s="164">
        <f>+D22-D21</f>
        <v>0.41999999999999993</v>
      </c>
      <c r="E25" s="128"/>
      <c r="F25" s="13">
        <f>+F24+F19</f>
        <v>26.872095333333334</v>
      </c>
      <c r="G25" s="128"/>
      <c r="H25" s="160"/>
      <c r="J25" s="106">
        <f>SUM(I19:J23)</f>
        <v>30419.21191733334</v>
      </c>
      <c r="K25" s="16">
        <f>SUM(K19:K23)</f>
        <v>0.9999999999999999</v>
      </c>
      <c r="L25" s="15">
        <f>SUM(L19:L24)</f>
        <v>365030.543008</v>
      </c>
      <c r="M25" s="16">
        <f>SUM(M19:M24)</f>
        <v>1</v>
      </c>
    </row>
    <row r="26" spans="3:8" ht="15">
      <c r="C26" s="158"/>
      <c r="D26" s="128"/>
      <c r="E26" s="128"/>
      <c r="F26" s="128"/>
      <c r="G26" s="165"/>
      <c r="H26" s="160"/>
    </row>
    <row r="27" spans="3:13" ht="15">
      <c r="C27" s="158"/>
      <c r="D27" s="128"/>
      <c r="E27" s="166" t="s">
        <v>67</v>
      </c>
      <c r="F27" s="164">
        <v>1</v>
      </c>
      <c r="G27" s="128"/>
      <c r="H27" s="160"/>
      <c r="I27" s="7">
        <f>+H27*F27</f>
        <v>0</v>
      </c>
      <c r="K27" s="5"/>
      <c r="L27" s="7">
        <f>+I27*12</f>
        <v>0</v>
      </c>
      <c r="M27" s="5">
        <f>+L27/L29</f>
        <v>0</v>
      </c>
    </row>
    <row r="28" spans="3:13" ht="15">
      <c r="C28" s="158"/>
      <c r="D28" s="128"/>
      <c r="E28" s="166" t="s">
        <v>51</v>
      </c>
      <c r="F28" s="164">
        <f>+F25</f>
        <v>26.872095333333334</v>
      </c>
      <c r="G28" s="128"/>
      <c r="H28" s="160">
        <v>370</v>
      </c>
      <c r="I28" s="7">
        <f>+H28*F28</f>
        <v>9942.675273333334</v>
      </c>
      <c r="K28" s="5"/>
      <c r="L28" s="7">
        <f>+I28*12</f>
        <v>119312.10328000001</v>
      </c>
      <c r="M28" s="5">
        <f>+L28/L29</f>
        <v>1</v>
      </c>
    </row>
    <row r="29" spans="3:13" ht="15.75">
      <c r="C29" s="167"/>
      <c r="D29" s="168"/>
      <c r="E29" s="168"/>
      <c r="F29" s="168"/>
      <c r="G29" s="168"/>
      <c r="H29" s="169">
        <f>+H28+H27+H19</f>
        <v>1502</v>
      </c>
      <c r="I29" s="105">
        <f>SUM(I19:I28)</f>
        <v>25134.115273333337</v>
      </c>
      <c r="J29" s="15"/>
      <c r="K29" s="26">
        <f>+J25+I27+I28</f>
        <v>40361.887190666675</v>
      </c>
      <c r="L29" s="15">
        <f>SUM(L27:L28)</f>
        <v>119312.10328000001</v>
      </c>
      <c r="M29" s="16">
        <f>SUM(M27:M28)</f>
        <v>1</v>
      </c>
    </row>
    <row r="30" spans="8:13" ht="15">
      <c r="H30" s="23"/>
      <c r="I30" s="23"/>
      <c r="K30" s="24">
        <f>+K29*12</f>
        <v>484342.6462880001</v>
      </c>
      <c r="L30" s="23"/>
      <c r="M30" s="25"/>
    </row>
    <row r="31" spans="9:12" ht="15">
      <c r="I31" s="7"/>
      <c r="J31" s="7"/>
      <c r="L31" s="7"/>
    </row>
    <row r="32" spans="9:15" ht="15">
      <c r="I32" s="324" t="s">
        <v>52</v>
      </c>
      <c r="J32" s="324"/>
      <c r="L32" s="324" t="s">
        <v>66</v>
      </c>
      <c r="M32" s="324"/>
      <c r="O32" s="3"/>
    </row>
    <row r="33" spans="8:15" ht="15">
      <c r="H33" t="s">
        <v>53</v>
      </c>
      <c r="I33" s="7">
        <f>+H19*D57*12</f>
        <v>227803.68</v>
      </c>
      <c r="J33" s="5">
        <f>+I33/I37</f>
        <v>0.34859489147489003</v>
      </c>
      <c r="K33" s="9"/>
      <c r="L33" s="3">
        <f>+L19</f>
        <v>182297.28</v>
      </c>
      <c r="M33" s="5">
        <f>+L33/L37</f>
        <v>0.3763808151050203</v>
      </c>
      <c r="O33" s="3"/>
    </row>
    <row r="34" spans="8:15" ht="15">
      <c r="H34" t="s">
        <v>49</v>
      </c>
      <c r="I34" s="7">
        <f>+ROR!H9-Rates!I33-I35</f>
        <v>278856.68000000005</v>
      </c>
      <c r="J34" s="5">
        <f>+I34/I37</f>
        <v>0.4267183660143162</v>
      </c>
      <c r="K34" s="9">
        <f>+J34+J33</f>
        <v>0.7753132574892062</v>
      </c>
      <c r="L34" s="3">
        <f>+L21+L23+L22</f>
        <v>182733.26300800004</v>
      </c>
      <c r="M34" s="5">
        <f>+L34/L37</f>
        <v>0.3772809691825962</v>
      </c>
      <c r="N34" s="9">
        <f>+M34+M33</f>
        <v>0.7536617842876165</v>
      </c>
      <c r="O34" s="3"/>
    </row>
    <row r="35" spans="8:15" ht="15">
      <c r="H35" t="s">
        <v>51</v>
      </c>
      <c r="I35" s="7">
        <f>+H28*D55*12</f>
        <v>146830.8</v>
      </c>
      <c r="J35" s="5">
        <f>+I35/I37</f>
        <v>0.22468674251079385</v>
      </c>
      <c r="K35" s="9">
        <f>+J35</f>
        <v>0.22468674251079385</v>
      </c>
      <c r="L35" s="3">
        <f>+L28</f>
        <v>119312.10328000001</v>
      </c>
      <c r="M35" s="5">
        <f>+L35/L37</f>
        <v>0.24633821571238348</v>
      </c>
      <c r="N35" s="9">
        <f>+M35</f>
        <v>0.24633821571238348</v>
      </c>
      <c r="O35" s="3"/>
    </row>
    <row r="36" spans="8:15" ht="15">
      <c r="H36" t="s">
        <v>69</v>
      </c>
      <c r="I36" s="7">
        <f>+L27</f>
        <v>0</v>
      </c>
      <c r="J36" s="5">
        <f>+I36/I37</f>
        <v>0</v>
      </c>
      <c r="K36" s="9">
        <f>+J36</f>
        <v>0</v>
      </c>
      <c r="L36" s="3">
        <f>+L27</f>
        <v>0</v>
      </c>
      <c r="M36" s="5">
        <f>+L36/L37</f>
        <v>0</v>
      </c>
      <c r="N36" s="9">
        <f>+M36</f>
        <v>0</v>
      </c>
      <c r="O36" s="3"/>
    </row>
    <row r="37" spans="8:15" ht="15">
      <c r="H37">
        <f>+I37/12/C11</f>
        <v>36.25672214824679</v>
      </c>
      <c r="I37" s="15">
        <f aca="true" t="shared" si="0" ref="I37:N37">SUM(I33:I36)</f>
        <v>653491.16</v>
      </c>
      <c r="J37" s="16">
        <f t="shared" si="0"/>
        <v>1</v>
      </c>
      <c r="K37" s="16">
        <f t="shared" si="0"/>
        <v>1</v>
      </c>
      <c r="L37" s="15">
        <f t="shared" si="0"/>
        <v>484342.64628800005</v>
      </c>
      <c r="M37" s="16">
        <f t="shared" si="0"/>
        <v>1</v>
      </c>
      <c r="N37" s="16">
        <f t="shared" si="0"/>
        <v>1</v>
      </c>
      <c r="O37" s="3"/>
    </row>
    <row r="38" spans="10:12" ht="15">
      <c r="J38" s="5"/>
      <c r="L38" s="3"/>
    </row>
    <row r="39" spans="4:9" ht="15">
      <c r="D39" t="s">
        <v>54</v>
      </c>
      <c r="E39" t="s">
        <v>43</v>
      </c>
      <c r="F39" s="4" t="s">
        <v>53</v>
      </c>
      <c r="I39" s="12"/>
    </row>
    <row r="40" spans="3:9" ht="15">
      <c r="C40" t="s">
        <v>55</v>
      </c>
      <c r="D40">
        <v>1</v>
      </c>
      <c r="E40">
        <v>0</v>
      </c>
      <c r="F40" s="8">
        <f>+F19</f>
        <v>13.42</v>
      </c>
      <c r="I40" s="12" t="s">
        <v>41</v>
      </c>
    </row>
    <row r="41" spans="8:9" ht="15">
      <c r="H41" t="s">
        <v>44</v>
      </c>
      <c r="I41" s="12" t="s">
        <v>56</v>
      </c>
    </row>
    <row r="42" spans="3:9" ht="15">
      <c r="C42" t="s">
        <v>57</v>
      </c>
      <c r="D42">
        <v>1.67</v>
      </c>
      <c r="E42">
        <v>0</v>
      </c>
      <c r="F42" s="8">
        <f>+F$40*D42</f>
        <v>22.4114</v>
      </c>
      <c r="H42">
        <v>7</v>
      </c>
      <c r="I42" s="11">
        <f>+H42*F42</f>
        <v>156.8798</v>
      </c>
    </row>
    <row r="43" ht="15">
      <c r="I43" s="11"/>
    </row>
    <row r="44" spans="3:9" ht="15">
      <c r="C44" t="s">
        <v>58</v>
      </c>
      <c r="D44">
        <v>3.33</v>
      </c>
      <c r="E44">
        <v>0</v>
      </c>
      <c r="F44" s="8">
        <f>+F$40*D44</f>
        <v>44.6886</v>
      </c>
      <c r="I44" s="11">
        <f>+H44*F44</f>
        <v>0</v>
      </c>
    </row>
    <row r="45" spans="3:9" ht="15">
      <c r="C45" t="s">
        <v>1</v>
      </c>
      <c r="I45" s="11"/>
    </row>
    <row r="46" spans="3:9" ht="15">
      <c r="C46" t="s">
        <v>59</v>
      </c>
      <c r="D46">
        <v>5.33</v>
      </c>
      <c r="E46">
        <v>0</v>
      </c>
      <c r="F46" s="8">
        <f>+F$40*D46</f>
        <v>71.5286</v>
      </c>
      <c r="H46">
        <v>4</v>
      </c>
      <c r="I46" s="11">
        <f>+H46*F46</f>
        <v>286.1144</v>
      </c>
    </row>
    <row r="47" ht="15">
      <c r="I47" s="11"/>
    </row>
    <row r="48" spans="3:9" ht="15.75" thickBot="1">
      <c r="C48" t="s">
        <v>60</v>
      </c>
      <c r="D48">
        <v>16.67</v>
      </c>
      <c r="E48">
        <v>0</v>
      </c>
      <c r="F48" s="8">
        <f>+F$40*D48</f>
        <v>223.71140000000003</v>
      </c>
      <c r="H48">
        <v>1</v>
      </c>
      <c r="I48" s="11">
        <f>+H48*F48</f>
        <v>223.71140000000003</v>
      </c>
    </row>
    <row r="49" spans="8:12" ht="15">
      <c r="H49">
        <f>SUM(H42:H48)</f>
        <v>12</v>
      </c>
      <c r="I49" s="101">
        <f>SUM(I42:I48)</f>
        <v>666.7056</v>
      </c>
      <c r="L49" s="17">
        <f>+I49</f>
        <v>666.7056</v>
      </c>
    </row>
    <row r="50" ht="15">
      <c r="C50" t="s">
        <v>61</v>
      </c>
    </row>
    <row r="51" spans="11:12" ht="15.75">
      <c r="K51" s="4" t="s">
        <v>62</v>
      </c>
      <c r="L51" s="18">
        <f>+L37+L49</f>
        <v>485009.35188800003</v>
      </c>
    </row>
    <row r="52" spans="4:10" ht="15.75">
      <c r="D52" t="s">
        <v>63</v>
      </c>
      <c r="E52" t="s">
        <v>64</v>
      </c>
      <c r="F52" t="s">
        <v>65</v>
      </c>
      <c r="I52" s="63" t="s">
        <v>74</v>
      </c>
      <c r="J52" s="12"/>
    </row>
    <row r="53" spans="3:10" ht="15.75">
      <c r="C53" t="str">
        <f>+E27</f>
        <v>Ready To Serve</v>
      </c>
      <c r="D53" s="21">
        <v>0</v>
      </c>
      <c r="E53" s="11"/>
      <c r="F53" s="8">
        <f>+F27</f>
        <v>1</v>
      </c>
      <c r="I53" s="63" t="s">
        <v>75</v>
      </c>
      <c r="J53" s="12"/>
    </row>
    <row r="54" spans="3:10" ht="15.75">
      <c r="C54" t="s">
        <v>82</v>
      </c>
      <c r="D54" s="21">
        <v>4.54</v>
      </c>
      <c r="E54" s="11">
        <v>4.54</v>
      </c>
      <c r="F54" s="8">
        <v>4.54</v>
      </c>
      <c r="I54" s="64">
        <f>+F25</f>
        <v>26.872095333333334</v>
      </c>
      <c r="J54" t="s">
        <v>83</v>
      </c>
    </row>
    <row r="55" spans="3:10" ht="15.75">
      <c r="C55" t="str">
        <f>+E28</f>
        <v>Flat</v>
      </c>
      <c r="D55" s="11">
        <v>33.07</v>
      </c>
      <c r="E55" s="56"/>
      <c r="F55" s="8">
        <f>+I54</f>
        <v>26.872095333333334</v>
      </c>
      <c r="I55" s="64">
        <f>+F54</f>
        <v>4.54</v>
      </c>
      <c r="J55" t="s">
        <v>68</v>
      </c>
    </row>
    <row r="56" spans="3:10" ht="15.75">
      <c r="C56" t="s">
        <v>109</v>
      </c>
      <c r="F56" s="8">
        <f>+I56</f>
        <v>0</v>
      </c>
      <c r="I56" s="64">
        <v>0</v>
      </c>
      <c r="J56" s="5" t="s">
        <v>109</v>
      </c>
    </row>
    <row r="57" spans="3:10" ht="16.5" thickBot="1">
      <c r="C57" t="s">
        <v>84</v>
      </c>
      <c r="D57" s="11">
        <v>16.77</v>
      </c>
      <c r="E57" s="11"/>
      <c r="F57" s="8">
        <f>+F19</f>
        <v>13.42</v>
      </c>
      <c r="I57" s="64">
        <v>0</v>
      </c>
      <c r="J57" s="5" t="s">
        <v>87</v>
      </c>
    </row>
    <row r="58" spans="3:10" ht="16.5" thickTop="1">
      <c r="C58" s="12" t="str">
        <f>+C21</f>
        <v>0 - 500</v>
      </c>
      <c r="D58" s="11">
        <v>1.21</v>
      </c>
      <c r="E58" s="11"/>
      <c r="F58" s="71">
        <f>+D21</f>
        <v>1.1</v>
      </c>
      <c r="G58" s="11"/>
      <c r="H58" s="11"/>
      <c r="I58" s="65">
        <f>SUM(I54:I57)</f>
        <v>31.412095333333333</v>
      </c>
      <c r="J58" s="5" t="s">
        <v>108</v>
      </c>
    </row>
    <row r="59" spans="3:6" ht="15">
      <c r="C59" s="12" t="s">
        <v>89</v>
      </c>
      <c r="D59" s="11">
        <v>1.75</v>
      </c>
      <c r="E59" s="11"/>
      <c r="F59" s="71">
        <f>+D22</f>
        <v>1.52</v>
      </c>
    </row>
    <row r="60" spans="3:6" ht="15">
      <c r="C60" s="12">
        <f>+C23</f>
        <v>0</v>
      </c>
      <c r="D60" s="11">
        <f>+D59</f>
        <v>1.75</v>
      </c>
      <c r="E60" s="11"/>
      <c r="F60" s="71">
        <f>+F59</f>
        <v>1.52</v>
      </c>
    </row>
    <row r="61" spans="3:6" ht="15">
      <c r="C61" s="12"/>
      <c r="D61" s="20"/>
      <c r="E61" s="20"/>
      <c r="F61" s="20"/>
    </row>
  </sheetData>
  <mergeCells count="2">
    <mergeCell ref="I32:J32"/>
    <mergeCell ref="L32:M32"/>
  </mergeCells>
  <printOptions/>
  <pageMargins left="0.75" right="0.75" top="0.75" bottom="0.75" header="0" footer="0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zoomScale="60" zoomScaleNormal="75" workbookViewId="0" topLeftCell="A25">
      <selection activeCell="L52" sqref="L52"/>
    </sheetView>
  </sheetViews>
  <sheetFormatPr defaultColWidth="8.88671875" defaultRowHeight="15"/>
  <cols>
    <col min="1" max="1" width="2.88671875" style="3" customWidth="1"/>
    <col min="2" max="2" width="13.10546875" style="202" bestFit="1" customWidth="1"/>
    <col min="3" max="3" width="12.77734375" style="3" customWidth="1"/>
    <col min="4" max="4" width="12.77734375" style="97" customWidth="1"/>
    <col min="5" max="5" width="7.6640625" style="97" bestFit="1" customWidth="1"/>
    <col min="6" max="6" width="8.99609375" style="3" bestFit="1" customWidth="1"/>
    <col min="7" max="7" width="7.6640625" style="3" bestFit="1" customWidth="1"/>
    <col min="8" max="8" width="9.4453125" style="3" bestFit="1" customWidth="1"/>
    <col min="9" max="10" width="10.77734375" style="3" customWidth="1"/>
    <col min="11" max="11" width="8.5546875" style="3" customWidth="1"/>
    <col min="12" max="16384" width="8.88671875" style="3" customWidth="1"/>
  </cols>
  <sheetData>
    <row r="1" ht="15">
      <c r="A1" s="224" t="s">
        <v>91</v>
      </c>
    </row>
    <row r="2" ht="15.75">
      <c r="A2" s="51" t="s">
        <v>114</v>
      </c>
    </row>
    <row r="3" ht="15">
      <c r="A3" s="3" t="s">
        <v>167</v>
      </c>
    </row>
    <row r="4" spans="2:10" s="97" customFormat="1" ht="15">
      <c r="B4" s="170"/>
      <c r="I4" s="97" t="s">
        <v>203</v>
      </c>
      <c r="J4" s="97" t="s">
        <v>203</v>
      </c>
    </row>
    <row r="5" spans="2:10" s="97" customFormat="1" ht="15">
      <c r="B5" s="170"/>
      <c r="I5" s="99" t="s">
        <v>164</v>
      </c>
      <c r="J5" s="99" t="s">
        <v>202</v>
      </c>
    </row>
    <row r="6" spans="2:11" s="97" customFormat="1" ht="15.75">
      <c r="B6" s="170"/>
      <c r="C6" s="227" t="s">
        <v>165</v>
      </c>
      <c r="D6" s="227" t="s">
        <v>164</v>
      </c>
      <c r="E6" s="227"/>
      <c r="F6" s="227" t="s">
        <v>202</v>
      </c>
      <c r="G6" s="227"/>
      <c r="H6" s="227" t="s">
        <v>163</v>
      </c>
      <c r="I6" s="228">
        <f>+E51</f>
        <v>0.1553807161049741</v>
      </c>
      <c r="J6" s="228">
        <f>+G51</f>
        <v>0.12846580247382516</v>
      </c>
      <c r="K6" s="227" t="s">
        <v>155</v>
      </c>
    </row>
    <row r="7" spans="2:8" ht="15">
      <c r="B7" s="202" t="s">
        <v>200</v>
      </c>
      <c r="C7" s="3">
        <v>18140</v>
      </c>
      <c r="D7" s="97">
        <v>2588</v>
      </c>
      <c r="F7" s="3">
        <v>2417</v>
      </c>
      <c r="H7" s="3">
        <v>11371</v>
      </c>
    </row>
    <row r="8" spans="2:10" ht="15">
      <c r="B8" s="203" t="s">
        <v>204</v>
      </c>
      <c r="D8" s="3"/>
      <c r="E8" s="54">
        <f>+D7/C7</f>
        <v>0.14266813671444323</v>
      </c>
      <c r="G8" s="54">
        <f>+F7/C7</f>
        <v>0.13324145534729878</v>
      </c>
      <c r="I8" s="3">
        <f>+I$6*H7</f>
        <v>1766.8341228296604</v>
      </c>
      <c r="J8" s="3">
        <f>+J$6*H7</f>
        <v>1460.784639929866</v>
      </c>
    </row>
    <row r="9" spans="2:6" ht="15">
      <c r="B9" s="203"/>
      <c r="D9" s="54"/>
      <c r="E9" s="54"/>
      <c r="F9" s="54"/>
    </row>
    <row r="10" spans="2:8" ht="15">
      <c r="B10" s="202" t="s">
        <v>201</v>
      </c>
      <c r="C10" s="3">
        <v>27286</v>
      </c>
      <c r="D10" s="97">
        <v>3880</v>
      </c>
      <c r="F10" s="3">
        <v>4021</v>
      </c>
      <c r="H10" s="3">
        <v>17132</v>
      </c>
    </row>
    <row r="11" spans="2:10" s="97" customFormat="1" ht="15">
      <c r="B11" s="203" t="s">
        <v>204</v>
      </c>
      <c r="E11" s="54">
        <f>+D10/C10</f>
        <v>0.14219746390090157</v>
      </c>
      <c r="G11" s="54">
        <f>+F10/C10</f>
        <v>0.14736494905812506</v>
      </c>
      <c r="H11" s="3"/>
      <c r="I11" s="3">
        <f>+I$6*H10</f>
        <v>2661.9824283104163</v>
      </c>
      <c r="J11" s="3">
        <f>+J$6*H10</f>
        <v>2200.8761279815726</v>
      </c>
    </row>
    <row r="13" spans="2:8" ht="15">
      <c r="B13" s="202" t="s">
        <v>205</v>
      </c>
      <c r="C13" s="3">
        <v>18366</v>
      </c>
      <c r="D13" s="97">
        <v>2581</v>
      </c>
      <c r="F13" s="3">
        <v>2822</v>
      </c>
      <c r="H13" s="3">
        <v>11597</v>
      </c>
    </row>
    <row r="14" spans="2:10" ht="15">
      <c r="B14" s="203" t="s">
        <v>204</v>
      </c>
      <c r="D14" s="3"/>
      <c r="E14" s="54">
        <f>+D13/C13</f>
        <v>0.14053141674833933</v>
      </c>
      <c r="G14" s="54">
        <f>+F13/C13</f>
        <v>0.15365349014483284</v>
      </c>
      <c r="I14" s="3">
        <f>+I$6*H13</f>
        <v>1801.9501646693845</v>
      </c>
      <c r="J14" s="3">
        <f>+J$6*H13</f>
        <v>1489.8179112889504</v>
      </c>
    </row>
    <row r="16" spans="2:8" ht="15">
      <c r="B16" s="202" t="s">
        <v>206</v>
      </c>
      <c r="C16" s="3">
        <v>16929</v>
      </c>
      <c r="D16" s="97">
        <v>2583</v>
      </c>
      <c r="F16" s="3">
        <v>2313</v>
      </c>
      <c r="H16" s="3">
        <v>10160</v>
      </c>
    </row>
    <row r="17" spans="2:10" ht="15">
      <c r="B17" s="203" t="s">
        <v>204</v>
      </c>
      <c r="D17" s="3"/>
      <c r="E17" s="54">
        <f>+D16/C16</f>
        <v>0.15257841573631048</v>
      </c>
      <c r="G17" s="54">
        <f>+F16/C16</f>
        <v>0.1366294524189261</v>
      </c>
      <c r="I17" s="3">
        <f>+I$6*H16</f>
        <v>1578.6680756265366</v>
      </c>
      <c r="J17" s="3">
        <f>+J$6*H16</f>
        <v>1305.2125531340637</v>
      </c>
    </row>
    <row r="19" spans="2:8" ht="15">
      <c r="B19" s="202" t="s">
        <v>207</v>
      </c>
      <c r="C19" s="3">
        <v>16903</v>
      </c>
      <c r="D19" s="97">
        <v>2581</v>
      </c>
      <c r="F19" s="3">
        <v>2236</v>
      </c>
      <c r="H19" s="3">
        <v>10134</v>
      </c>
    </row>
    <row r="20" spans="2:10" ht="15">
      <c r="B20" s="203" t="s">
        <v>204</v>
      </c>
      <c r="D20" s="3"/>
      <c r="E20" s="54">
        <f>+D19/C19</f>
        <v>0.15269478790747204</v>
      </c>
      <c r="G20" s="54">
        <f>+F19/C19</f>
        <v>0.1322842099035674</v>
      </c>
      <c r="I20" s="3">
        <f>+I$6*H19</f>
        <v>1574.6281770078074</v>
      </c>
      <c r="J20" s="3">
        <f>+J$6*H19</f>
        <v>1301.8724422697442</v>
      </c>
    </row>
    <row r="22" spans="2:8" s="97" customFormat="1" ht="15">
      <c r="B22" s="202" t="s">
        <v>208</v>
      </c>
      <c r="C22" s="3">
        <v>19994</v>
      </c>
      <c r="D22" s="3">
        <v>2737</v>
      </c>
      <c r="E22" s="3"/>
      <c r="F22" s="3">
        <v>2141</v>
      </c>
      <c r="G22" s="3"/>
      <c r="H22" s="3">
        <v>13225</v>
      </c>
    </row>
    <row r="23" spans="2:10" ht="15">
      <c r="B23" s="203" t="s">
        <v>204</v>
      </c>
      <c r="D23" s="3"/>
      <c r="E23" s="54">
        <f>+D22/C22</f>
        <v>0.13689106732019607</v>
      </c>
      <c r="G23" s="54">
        <f>+F22/C22</f>
        <v>0.10708212463739122</v>
      </c>
      <c r="I23" s="3">
        <f>+I$6*H22</f>
        <v>2054.9099704882824</v>
      </c>
      <c r="J23" s="3">
        <f>+J$6*H22</f>
        <v>1698.9602377163378</v>
      </c>
    </row>
    <row r="24" spans="2:6" ht="15">
      <c r="B24" s="203" t="s">
        <v>166</v>
      </c>
      <c r="C24" s="200">
        <f>SUM(C7:C22)</f>
        <v>117618</v>
      </c>
      <c r="D24" s="200">
        <f>SUM(D7:D22)</f>
        <v>16950</v>
      </c>
      <c r="E24" s="206"/>
      <c r="F24" s="200">
        <f>SUM(F7:F22)</f>
        <v>15950</v>
      </c>
    </row>
    <row r="25" spans="2:6" ht="15">
      <c r="B25" s="203"/>
      <c r="D25" s="54"/>
      <c r="E25" s="54"/>
      <c r="F25" s="54"/>
    </row>
    <row r="26" spans="2:7" ht="16.5" thickBot="1">
      <c r="B26" s="204" t="s">
        <v>218</v>
      </c>
      <c r="D26" s="54"/>
      <c r="E26" s="205">
        <f>AVERAGE(E8:E23)</f>
        <v>0.14459354805461047</v>
      </c>
      <c r="F26" s="205"/>
      <c r="G26" s="205">
        <f>AVERAGE(G8:G23)</f>
        <v>0.13504261358502356</v>
      </c>
    </row>
    <row r="27" spans="2:11" ht="15">
      <c r="B27" s="203"/>
      <c r="D27" s="54"/>
      <c r="E27" s="54"/>
      <c r="F27" s="54"/>
      <c r="H27" s="100">
        <f>SUM(H7:H23)</f>
        <v>73619</v>
      </c>
      <c r="I27" s="100">
        <f>SUM(I7:I23)</f>
        <v>11438.972938932087</v>
      </c>
      <c r="J27" s="100">
        <f>SUM(J7:J23)</f>
        <v>9457.523912320534</v>
      </c>
      <c r="K27" s="3">
        <f>SUM(H27:J27)</f>
        <v>94515.49685125262</v>
      </c>
    </row>
    <row r="28" spans="2:10" ht="15">
      <c r="B28" s="203"/>
      <c r="D28" s="54"/>
      <c r="E28" s="54"/>
      <c r="F28" s="54"/>
      <c r="H28" s="24"/>
      <c r="I28" s="24"/>
      <c r="J28" s="24"/>
    </row>
    <row r="29" spans="9:10" ht="15.75">
      <c r="I29" s="205">
        <f>+E51</f>
        <v>0.1553807161049741</v>
      </c>
      <c r="J29" s="205">
        <f>+G51</f>
        <v>0.12846580247382516</v>
      </c>
    </row>
    <row r="30" spans="2:8" ht="15">
      <c r="B30" s="202" t="s">
        <v>209</v>
      </c>
      <c r="C30" s="3">
        <v>18341</v>
      </c>
      <c r="D30" s="97">
        <v>1951</v>
      </c>
      <c r="F30" s="3">
        <v>2695</v>
      </c>
      <c r="H30" s="3">
        <v>9418</v>
      </c>
    </row>
    <row r="31" spans="2:10" ht="15">
      <c r="B31" s="203" t="s">
        <v>204</v>
      </c>
      <c r="D31" s="3"/>
      <c r="E31" s="54">
        <f>+D30/C30</f>
        <v>0.10637369827163186</v>
      </c>
      <c r="F31" s="54"/>
      <c r="G31" s="54">
        <f>+F30/C30</f>
        <v>0.14693855296875852</v>
      </c>
      <c r="I31" s="3">
        <f>+I$29*H30</f>
        <v>1463.375584276646</v>
      </c>
      <c r="J31" s="3">
        <f>+J$29*H30</f>
        <v>1209.8909276984855</v>
      </c>
    </row>
    <row r="33" spans="2:8" ht="15">
      <c r="B33" s="202" t="s">
        <v>210</v>
      </c>
      <c r="C33" s="3">
        <v>11309</v>
      </c>
      <c r="D33" s="97">
        <v>1811</v>
      </c>
      <c r="F33" s="3">
        <v>2036</v>
      </c>
      <c r="H33" s="3">
        <v>5770</v>
      </c>
    </row>
    <row r="34" spans="2:10" ht="15">
      <c r="B34" s="203" t="s">
        <v>204</v>
      </c>
      <c r="D34" s="3"/>
      <c r="E34" s="54">
        <f>+D33/C33</f>
        <v>0.1601379432310549</v>
      </c>
      <c r="F34" s="54"/>
      <c r="G34" s="54">
        <f>+F33/C33</f>
        <v>0.18003360155628262</v>
      </c>
      <c r="I34" s="3">
        <f>+I$29*H33</f>
        <v>896.5467319257004</v>
      </c>
      <c r="J34" s="3">
        <f>+J$29*H33</f>
        <v>741.2476802739712</v>
      </c>
    </row>
    <row r="36" spans="2:8" ht="15">
      <c r="B36" s="202" t="s">
        <v>211</v>
      </c>
      <c r="C36" s="3">
        <v>11627</v>
      </c>
      <c r="D36" s="97">
        <v>2917</v>
      </c>
      <c r="F36" s="3">
        <v>-717</v>
      </c>
      <c r="H36" s="3">
        <v>5781</v>
      </c>
    </row>
    <row r="37" spans="2:10" ht="15">
      <c r="B37" s="203" t="s">
        <v>204</v>
      </c>
      <c r="D37" s="3"/>
      <c r="E37" s="54">
        <f>+D36/C36</f>
        <v>0.25088156876236345</v>
      </c>
      <c r="F37" s="54"/>
      <c r="G37" s="54">
        <f>+F36/C36</f>
        <v>-0.06166681001118087</v>
      </c>
      <c r="I37" s="3">
        <f>+I$29*H36</f>
        <v>898.2559198028551</v>
      </c>
      <c r="J37" s="3">
        <f>+J$29*H36</f>
        <v>742.6608041011833</v>
      </c>
    </row>
    <row r="39" spans="2:8" ht="15">
      <c r="B39" s="202" t="s">
        <v>212</v>
      </c>
      <c r="C39" s="3">
        <v>11275</v>
      </c>
      <c r="D39" s="97">
        <v>1810</v>
      </c>
      <c r="F39" s="3">
        <v>1991</v>
      </c>
      <c r="H39" s="3">
        <v>5736</v>
      </c>
    </row>
    <row r="40" spans="2:10" ht="15">
      <c r="B40" s="203" t="s">
        <v>204</v>
      </c>
      <c r="D40" s="3"/>
      <c r="E40" s="54">
        <f>+D39/C39</f>
        <v>0.1605321507760532</v>
      </c>
      <c r="F40" s="54"/>
      <c r="G40" s="54">
        <f>+F39/C39</f>
        <v>0.17658536585365853</v>
      </c>
      <c r="I40" s="3">
        <f>+I$29*H39</f>
        <v>891.2637875781313</v>
      </c>
      <c r="J40" s="3">
        <f>+J$29*H39</f>
        <v>736.8798429898611</v>
      </c>
    </row>
    <row r="42" spans="2:8" ht="15">
      <c r="B42" s="202" t="s">
        <v>213</v>
      </c>
      <c r="C42" s="3">
        <v>11416</v>
      </c>
      <c r="D42" s="97">
        <v>1814.39</v>
      </c>
      <c r="F42" s="3">
        <v>2005</v>
      </c>
      <c r="H42" s="3">
        <v>5878</v>
      </c>
    </row>
    <row r="43" spans="2:10" ht="15">
      <c r="B43" s="203" t="s">
        <v>204</v>
      </c>
      <c r="D43" s="3"/>
      <c r="E43" s="54">
        <f>+D42/C42</f>
        <v>0.15893395234758234</v>
      </c>
      <c r="F43" s="54"/>
      <c r="G43" s="54">
        <f>+F42/C42</f>
        <v>0.17563069376313944</v>
      </c>
      <c r="I43" s="3">
        <f>+I$29*H42</f>
        <v>913.3278492650377</v>
      </c>
      <c r="J43" s="3">
        <f>+J$29*H42</f>
        <v>755.1219869411443</v>
      </c>
    </row>
    <row r="45" spans="2:8" ht="15">
      <c r="B45" s="202" t="s">
        <v>214</v>
      </c>
      <c r="C45" s="3">
        <v>11352</v>
      </c>
      <c r="D45" s="97">
        <v>1818</v>
      </c>
      <c r="F45" s="3">
        <v>1292</v>
      </c>
      <c r="H45" s="3">
        <v>5995</v>
      </c>
    </row>
    <row r="46" spans="2:10" ht="15">
      <c r="B46" s="203" t="s">
        <v>204</v>
      </c>
      <c r="D46" s="3"/>
      <c r="E46" s="54">
        <f>+D45/C45</f>
        <v>0.1601479915433404</v>
      </c>
      <c r="F46" s="54"/>
      <c r="G46" s="54">
        <f>+F45/C45</f>
        <v>0.11381254404510219</v>
      </c>
      <c r="I46" s="3">
        <f>+I$29*H45</f>
        <v>931.5073930493196</v>
      </c>
      <c r="J46" s="3">
        <f>+J$29*H45</f>
        <v>770.1524858305819</v>
      </c>
    </row>
    <row r="47" spans="2:6" ht="15">
      <c r="B47" s="203" t="s">
        <v>166</v>
      </c>
      <c r="C47" s="200">
        <f>SUM(C30:C45)</f>
        <v>75320</v>
      </c>
      <c r="D47" s="200">
        <f>SUM(D30:D45)</f>
        <v>12121.39</v>
      </c>
      <c r="E47" s="206"/>
      <c r="F47" s="200">
        <f>SUM(F30:F45)</f>
        <v>9302</v>
      </c>
    </row>
    <row r="48" spans="2:6" ht="15">
      <c r="B48" s="203"/>
      <c r="C48" s="24"/>
      <c r="D48" s="24"/>
      <c r="E48" s="207"/>
      <c r="F48" s="24"/>
    </row>
    <row r="49" spans="2:7" ht="16.5" thickBot="1">
      <c r="B49" s="204" t="s">
        <v>218</v>
      </c>
      <c r="D49" s="54"/>
      <c r="E49" s="205">
        <f>AVERAGE(E31:E46)</f>
        <v>0.1661678841553377</v>
      </c>
      <c r="F49" s="205"/>
      <c r="G49" s="205">
        <f>AVERAGE(G31:G46)</f>
        <v>0.12188899136262675</v>
      </c>
    </row>
    <row r="50" spans="5:11" ht="15">
      <c r="E50" s="3"/>
      <c r="H50" s="100">
        <f>SUM(H30:H46)</f>
        <v>38578</v>
      </c>
      <c r="I50" s="100">
        <f>SUM(I30:I46)</f>
        <v>5994.277265897691</v>
      </c>
      <c r="J50" s="100">
        <f>SUM(J30:J46)</f>
        <v>4955.953727835227</v>
      </c>
      <c r="K50" s="3">
        <f>SUM(H50:J50)</f>
        <v>49528.23099373292</v>
      </c>
    </row>
    <row r="51" spans="2:7" ht="16.5" thickBot="1">
      <c r="B51" s="202" t="s">
        <v>231</v>
      </c>
      <c r="E51" s="205">
        <f>(+E49+E26)/2</f>
        <v>0.1553807161049741</v>
      </c>
      <c r="G51" s="205">
        <f>(+G49+G26)/2</f>
        <v>0.12846580247382516</v>
      </c>
    </row>
    <row r="52" spans="2:13" ht="15.75" thickTop="1">
      <c r="B52" s="202" t="s">
        <v>215</v>
      </c>
      <c r="C52" s="208">
        <f>+C47+C24</f>
        <v>192938</v>
      </c>
      <c r="D52" s="208">
        <f>+D47+D24</f>
        <v>29071.39</v>
      </c>
      <c r="F52" s="208">
        <f>+F47+F24</f>
        <v>25252</v>
      </c>
      <c r="H52" s="208">
        <f>+H50+H27</f>
        <v>112197</v>
      </c>
      <c r="I52" s="208">
        <f>+I50+I27</f>
        <v>17433.25020482978</v>
      </c>
      <c r="J52" s="208">
        <f>+J50+J27</f>
        <v>14413.477640155761</v>
      </c>
      <c r="K52" s="3">
        <v>144043</v>
      </c>
      <c r="M52" s="3">
        <f>+K50+K27</f>
        <v>144043.72784498555</v>
      </c>
    </row>
    <row r="54" spans="2:11" ht="15">
      <c r="B54" s="202" t="s">
        <v>216</v>
      </c>
      <c r="H54" s="3">
        <f>+H50*2</f>
        <v>77156</v>
      </c>
      <c r="I54" s="3">
        <f>+I50*2</f>
        <v>11988.554531795382</v>
      </c>
      <c r="J54" s="3">
        <f>+J50*2</f>
        <v>9911.907455670455</v>
      </c>
      <c r="K54" s="3">
        <v>99057</v>
      </c>
    </row>
    <row r="56" spans="2:11" ht="15.75">
      <c r="B56" s="202" t="s">
        <v>232</v>
      </c>
      <c r="H56" s="98">
        <f>+H54-H52</f>
        <v>-35041</v>
      </c>
      <c r="I56" s="98">
        <f>+I54-I52</f>
        <v>-5444.695673034397</v>
      </c>
      <c r="J56" s="98">
        <f>+J54-J52</f>
        <v>-4501.5701844853065</v>
      </c>
      <c r="K56" s="3">
        <v>44988</v>
      </c>
    </row>
    <row r="57" spans="8:10" ht="15.75">
      <c r="H57" s="98" t="s">
        <v>118</v>
      </c>
      <c r="I57" s="98" t="s">
        <v>118</v>
      </c>
      <c r="J57" s="98" t="s">
        <v>118</v>
      </c>
    </row>
    <row r="58" ht="15">
      <c r="B58" s="202" t="s">
        <v>230</v>
      </c>
    </row>
    <row r="59" ht="15">
      <c r="B59" s="202" t="s">
        <v>217</v>
      </c>
    </row>
  </sheetData>
  <printOptions headings="1"/>
  <pageMargins left="0.75" right="0.75" top="1" bottom="1" header="0.25" footer="0.5"/>
  <pageSetup fitToHeight="1" fitToWidth="1" horizontalDpi="600" verticalDpi="600" orientation="portrait" scale="68" r:id="rId1"/>
  <headerFooter alignWithMargins="0">
    <oddHeader>&amp;RExhibit No. __ (JAW-8)
Docket No. UW-031284/UW-010961
Witness: James A. Ward
Page 1 of 1</oddHeader>
    <oddFooter>&amp;C&amp;F /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RowColHeaders="0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8.88671875" defaultRowHeight="15"/>
  <cols>
    <col min="1" max="1" width="3.10546875" style="0" bestFit="1" customWidth="1"/>
    <col min="2" max="2" width="24.88671875" style="0" customWidth="1"/>
    <col min="3" max="3" width="12.10546875" style="0" bestFit="1" customWidth="1"/>
    <col min="4" max="4" width="10.21484375" style="0" bestFit="1" customWidth="1"/>
  </cols>
  <sheetData>
    <row r="1" spans="1:17" ht="15">
      <c r="A1" s="12"/>
      <c r="B1" s="22" t="s">
        <v>299</v>
      </c>
      <c r="C1" s="281"/>
      <c r="D1" s="22" t="s">
        <v>300</v>
      </c>
      <c r="E1" s="22" t="s">
        <v>301</v>
      </c>
      <c r="F1" s="22" t="s">
        <v>302</v>
      </c>
      <c r="G1" s="22" t="s">
        <v>303</v>
      </c>
      <c r="H1" s="22" t="s">
        <v>304</v>
      </c>
      <c r="I1" s="22" t="s">
        <v>305</v>
      </c>
      <c r="J1" s="22" t="s">
        <v>306</v>
      </c>
      <c r="K1" s="22" t="s">
        <v>307</v>
      </c>
      <c r="L1" s="22" t="s">
        <v>308</v>
      </c>
      <c r="M1" s="22" t="s">
        <v>309</v>
      </c>
      <c r="N1" s="22" t="s">
        <v>310</v>
      </c>
      <c r="O1" s="22" t="s">
        <v>311</v>
      </c>
      <c r="P1" s="22" t="s">
        <v>312</v>
      </c>
      <c r="Q1" s="22" t="s">
        <v>313</v>
      </c>
    </row>
    <row r="2" spans="1:4" ht="15.75">
      <c r="A2" s="280">
        <v>1</v>
      </c>
      <c r="B2" s="222" t="s">
        <v>91</v>
      </c>
      <c r="C2" s="284"/>
      <c r="D2" s="36"/>
    </row>
    <row r="3" spans="1:4" ht="15.75">
      <c r="A3" s="280">
        <f>1+A2</f>
        <v>2</v>
      </c>
      <c r="B3" s="34" t="s">
        <v>381</v>
      </c>
      <c r="C3" s="282"/>
      <c r="D3" s="34"/>
    </row>
    <row r="4" spans="1:17" ht="15.75">
      <c r="A4" s="280">
        <f>1+A3</f>
        <v>3</v>
      </c>
      <c r="B4" s="31" t="s">
        <v>419</v>
      </c>
      <c r="C4" s="282"/>
      <c r="D4" s="314" t="s">
        <v>155</v>
      </c>
      <c r="E4" s="12" t="s">
        <v>345</v>
      </c>
      <c r="F4" s="12" t="s">
        <v>352</v>
      </c>
      <c r="G4" s="12" t="s">
        <v>358</v>
      </c>
      <c r="H4" s="12" t="s">
        <v>359</v>
      </c>
      <c r="I4" s="12" t="s">
        <v>353</v>
      </c>
      <c r="J4" s="12" t="s">
        <v>354</v>
      </c>
      <c r="K4" s="12" t="s">
        <v>355</v>
      </c>
      <c r="L4" s="12" t="s">
        <v>356</v>
      </c>
      <c r="M4" s="12" t="s">
        <v>371</v>
      </c>
      <c r="N4" s="12" t="s">
        <v>372</v>
      </c>
      <c r="O4" s="12" t="s">
        <v>374</v>
      </c>
      <c r="P4" s="12" t="s">
        <v>375</v>
      </c>
      <c r="Q4" s="12" t="s">
        <v>373</v>
      </c>
    </row>
    <row r="5" spans="1:16" ht="15.75">
      <c r="A5" s="280">
        <f aca="true" t="shared" si="0" ref="A5:A61">1+A4</f>
        <v>4</v>
      </c>
      <c r="B5" s="34" t="s">
        <v>1</v>
      </c>
      <c r="C5" s="282"/>
      <c r="D5" s="39" t="s">
        <v>341</v>
      </c>
      <c r="P5" s="12" t="s">
        <v>376</v>
      </c>
    </row>
    <row r="6" spans="1:17" ht="15.75">
      <c r="A6" s="280">
        <f t="shared" si="0"/>
        <v>5</v>
      </c>
      <c r="B6" s="39" t="s">
        <v>8</v>
      </c>
      <c r="C6" s="316" t="s">
        <v>274</v>
      </c>
      <c r="D6" s="315" t="s">
        <v>342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157" t="s">
        <v>180</v>
      </c>
      <c r="Q6" s="317"/>
    </row>
    <row r="7" spans="1:17" ht="15.75">
      <c r="A7" s="280">
        <f t="shared" si="0"/>
        <v>6</v>
      </c>
      <c r="B7" s="72" t="s">
        <v>186</v>
      </c>
      <c r="C7" s="286"/>
      <c r="D7" s="49">
        <f>SUM(E7:Q7)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280">
        <f t="shared" si="0"/>
        <v>7</v>
      </c>
      <c r="B8" s="72" t="s">
        <v>185</v>
      </c>
      <c r="C8" s="286"/>
      <c r="D8" s="49">
        <f>SUM(E8:Q8)</f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280">
        <f t="shared" si="0"/>
        <v>8</v>
      </c>
      <c r="B9" s="72" t="s">
        <v>184</v>
      </c>
      <c r="C9" s="286"/>
      <c r="D9" s="49">
        <f>SUM(E9:Q9)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280">
        <f t="shared" si="0"/>
        <v>9</v>
      </c>
      <c r="B10" s="72" t="s">
        <v>183</v>
      </c>
      <c r="C10" s="286"/>
      <c r="D10" s="49">
        <f>SUM(E10:Q10)</f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6.5" thickBot="1">
      <c r="A11" s="280">
        <f t="shared" si="0"/>
        <v>10</v>
      </c>
      <c r="B11" s="72" t="s">
        <v>182</v>
      </c>
      <c r="C11" s="286"/>
      <c r="D11" s="49">
        <f>SUM(E11:Q11)</f>
        <v>-11108</v>
      </c>
      <c r="E11" s="49">
        <v>-11108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6.5" thickTop="1">
      <c r="A12" s="280">
        <f t="shared" si="0"/>
        <v>11</v>
      </c>
      <c r="B12" s="34" t="s">
        <v>13</v>
      </c>
      <c r="C12" s="282" t="s">
        <v>346</v>
      </c>
      <c r="D12" s="29">
        <f>SUM(D7:D11)</f>
        <v>-11108</v>
      </c>
      <c r="E12" s="29">
        <f>SUM(E7:E11)</f>
        <v>-11108</v>
      </c>
      <c r="F12" s="29">
        <f aca="true" t="shared" si="1" ref="F12:Q12">SUM(F7:F11)</f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>SUM(L7:L11)</f>
        <v>0</v>
      </c>
      <c r="M12" s="29">
        <f>SUM(M7:M11)</f>
        <v>0</v>
      </c>
      <c r="N12" s="29">
        <f>SUM(N7:N11)</f>
        <v>0</v>
      </c>
      <c r="O12" s="29">
        <f>SUM(O7:O11)</f>
        <v>0</v>
      </c>
      <c r="P12" s="29">
        <f>SUM(P7:P11)</f>
        <v>0</v>
      </c>
      <c r="Q12" s="29">
        <f t="shared" si="1"/>
        <v>0</v>
      </c>
    </row>
    <row r="13" spans="1:4" ht="15.75">
      <c r="A13" s="280">
        <f t="shared" si="0"/>
        <v>12</v>
      </c>
      <c r="B13" s="180"/>
      <c r="C13" s="285"/>
      <c r="D13" s="83"/>
    </row>
    <row r="14" spans="1:4" ht="15.75">
      <c r="A14" s="280">
        <f t="shared" si="0"/>
        <v>13</v>
      </c>
      <c r="B14" s="73" t="s">
        <v>14</v>
      </c>
      <c r="C14" s="283"/>
      <c r="D14" s="109"/>
    </row>
    <row r="15" spans="1:17" ht="15.75">
      <c r="A15" s="280">
        <f t="shared" si="0"/>
        <v>14</v>
      </c>
      <c r="B15" s="75" t="s">
        <v>15</v>
      </c>
      <c r="C15" s="283"/>
      <c r="D15" s="49">
        <f aca="true" t="shared" si="2" ref="D15:D41">SUM(E15:Q15)</f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5.75">
      <c r="A16" s="280">
        <f t="shared" si="0"/>
        <v>15</v>
      </c>
      <c r="B16" s="75" t="s">
        <v>16</v>
      </c>
      <c r="C16" s="283"/>
      <c r="D16" s="49">
        <f t="shared" si="2"/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5.75">
      <c r="A17" s="280">
        <f t="shared" si="0"/>
        <v>16</v>
      </c>
      <c r="B17" s="75" t="s">
        <v>386</v>
      </c>
      <c r="C17" s="283"/>
      <c r="D17" s="49">
        <f t="shared" si="2"/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5.75">
      <c r="A18" s="280">
        <f t="shared" si="0"/>
        <v>17</v>
      </c>
      <c r="B18" s="75" t="s">
        <v>17</v>
      </c>
      <c r="C18" s="283"/>
      <c r="D18" s="49">
        <f t="shared" si="2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5.75">
      <c r="A19" s="280">
        <f t="shared" si="0"/>
        <v>18</v>
      </c>
      <c r="B19" s="75" t="s">
        <v>100</v>
      </c>
      <c r="C19" s="283"/>
      <c r="D19" s="49">
        <f t="shared" si="2"/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5.75">
      <c r="A20" s="280">
        <f t="shared" si="0"/>
        <v>19</v>
      </c>
      <c r="B20" s="119" t="s">
        <v>18</v>
      </c>
      <c r="C20" s="287"/>
      <c r="D20" s="49">
        <f t="shared" si="2"/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5.75">
      <c r="A21" s="280">
        <f t="shared" si="0"/>
        <v>20</v>
      </c>
      <c r="B21" s="75" t="s">
        <v>93</v>
      </c>
      <c r="C21" s="283"/>
      <c r="D21" s="49">
        <f t="shared" si="2"/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5.75">
      <c r="A22" s="280">
        <f t="shared" si="0"/>
        <v>21</v>
      </c>
      <c r="B22" s="75" t="s">
        <v>76</v>
      </c>
      <c r="C22" s="283"/>
      <c r="D22" s="49">
        <f t="shared" si="2"/>
        <v>-3826</v>
      </c>
      <c r="E22" s="49"/>
      <c r="F22" s="49"/>
      <c r="G22" s="49">
        <v>-2624</v>
      </c>
      <c r="H22" s="49">
        <v>-4798</v>
      </c>
      <c r="I22" s="49">
        <v>3596</v>
      </c>
      <c r="J22" s="49"/>
      <c r="K22" s="49"/>
      <c r="L22" s="49"/>
      <c r="M22" s="49"/>
      <c r="N22" s="49"/>
      <c r="O22" s="49"/>
      <c r="P22" s="49"/>
      <c r="Q22" s="49"/>
    </row>
    <row r="23" spans="1:17" ht="15.75">
      <c r="A23" s="280">
        <f t="shared" si="0"/>
        <v>22</v>
      </c>
      <c r="B23" s="75" t="s">
        <v>19</v>
      </c>
      <c r="C23" s="283"/>
      <c r="D23" s="49">
        <f t="shared" si="2"/>
        <v>-2902</v>
      </c>
      <c r="E23" s="49"/>
      <c r="F23" s="49"/>
      <c r="G23" s="49"/>
      <c r="H23" s="49"/>
      <c r="I23" s="49"/>
      <c r="J23" s="49">
        <v>-2902</v>
      </c>
      <c r="K23" s="49"/>
      <c r="L23" s="49"/>
      <c r="M23" s="49"/>
      <c r="N23" s="49"/>
      <c r="O23" s="49"/>
      <c r="P23" s="49"/>
      <c r="Q23" s="49"/>
    </row>
    <row r="24" spans="1:17" ht="15.75">
      <c r="A24" s="280">
        <f t="shared" si="0"/>
        <v>23</v>
      </c>
      <c r="B24" s="75" t="s">
        <v>94</v>
      </c>
      <c r="C24" s="283"/>
      <c r="D24" s="49">
        <f t="shared" si="2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5.75">
      <c r="A25" s="280">
        <f t="shared" si="0"/>
        <v>24</v>
      </c>
      <c r="B25" s="75" t="s">
        <v>101</v>
      </c>
      <c r="C25" s="283"/>
      <c r="D25" s="49">
        <f t="shared" si="2"/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15.75">
      <c r="A26" s="280">
        <f t="shared" si="0"/>
        <v>25</v>
      </c>
      <c r="B26" s="119" t="s">
        <v>20</v>
      </c>
      <c r="C26" s="287"/>
      <c r="D26" s="49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15.75">
      <c r="A27" s="280">
        <f t="shared" si="0"/>
        <v>26</v>
      </c>
      <c r="B27" s="75" t="s">
        <v>170</v>
      </c>
      <c r="C27" s="283"/>
      <c r="D27" s="49">
        <f t="shared" si="2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15.75">
      <c r="A28" s="280">
        <f t="shared" si="0"/>
        <v>27</v>
      </c>
      <c r="B28" s="75" t="s">
        <v>95</v>
      </c>
      <c r="C28" s="283"/>
      <c r="D28" s="49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5.75">
      <c r="A29" s="280">
        <f t="shared" si="0"/>
        <v>28</v>
      </c>
      <c r="B29" s="75" t="s">
        <v>357</v>
      </c>
      <c r="C29" s="283"/>
      <c r="D29" s="49">
        <f t="shared" si="2"/>
        <v>-2597</v>
      </c>
      <c r="E29" s="49"/>
      <c r="F29" s="49">
        <v>-2597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5.75">
      <c r="A30" s="280">
        <f t="shared" si="0"/>
        <v>29</v>
      </c>
      <c r="B30" s="75" t="s">
        <v>96</v>
      </c>
      <c r="C30" s="283"/>
      <c r="D30" s="49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5.75">
      <c r="A31" s="280">
        <f t="shared" si="0"/>
        <v>30</v>
      </c>
      <c r="B31" s="75" t="s">
        <v>223</v>
      </c>
      <c r="C31" s="283"/>
      <c r="D31" s="49">
        <f t="shared" si="2"/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5.75">
      <c r="A32" s="280">
        <f t="shared" si="0"/>
        <v>31</v>
      </c>
      <c r="B32" s="75" t="s">
        <v>97</v>
      </c>
      <c r="C32" s="283"/>
      <c r="D32" s="49">
        <f t="shared" si="2"/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5.75">
      <c r="A33" s="280">
        <f t="shared" si="0"/>
        <v>32</v>
      </c>
      <c r="B33" s="119" t="s">
        <v>98</v>
      </c>
      <c r="C33" s="287"/>
      <c r="D33" s="49">
        <f t="shared" si="2"/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5.75">
      <c r="A34" s="280">
        <f t="shared" si="0"/>
        <v>33</v>
      </c>
      <c r="B34" s="75" t="s">
        <v>81</v>
      </c>
      <c r="C34" s="283"/>
      <c r="D34" s="49">
        <f t="shared" si="2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5.75">
      <c r="A35" s="280">
        <f t="shared" si="0"/>
        <v>34</v>
      </c>
      <c r="B35" s="75" t="s">
        <v>21</v>
      </c>
      <c r="C35" s="283"/>
      <c r="D35" s="49">
        <f t="shared" si="2"/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5.75">
      <c r="A36" s="280">
        <f t="shared" si="0"/>
        <v>35</v>
      </c>
      <c r="B36" s="75" t="s">
        <v>171</v>
      </c>
      <c r="C36" s="283"/>
      <c r="D36" s="49">
        <f t="shared" si="2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15.75">
      <c r="A37" s="280">
        <f t="shared" si="0"/>
        <v>36</v>
      </c>
      <c r="B37" s="75" t="s">
        <v>99</v>
      </c>
      <c r="C37" s="283"/>
      <c r="D37" s="49">
        <f t="shared" si="2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5.75">
      <c r="A38" s="280">
        <f t="shared" si="0"/>
        <v>37</v>
      </c>
      <c r="B38" s="75" t="s">
        <v>22</v>
      </c>
      <c r="C38" s="283"/>
      <c r="D38" s="49">
        <f t="shared" si="2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15.75">
      <c r="A39" s="280">
        <f t="shared" si="0"/>
        <v>38</v>
      </c>
      <c r="B39" s="119" t="s">
        <v>387</v>
      </c>
      <c r="C39" s="287"/>
      <c r="D39" s="49">
        <f t="shared" si="2"/>
        <v>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5.75">
      <c r="A40" s="280">
        <f t="shared" si="0"/>
        <v>39</v>
      </c>
      <c r="B40" s="74" t="s">
        <v>23</v>
      </c>
      <c r="C40" s="286"/>
      <c r="D40" s="49">
        <f t="shared" si="2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6.5" thickBot="1">
      <c r="A41" s="280">
        <f t="shared" si="0"/>
        <v>40</v>
      </c>
      <c r="B41" s="119" t="s">
        <v>187</v>
      </c>
      <c r="C41" s="287"/>
      <c r="D41" s="49">
        <f t="shared" si="2"/>
        <v>-37364</v>
      </c>
      <c r="E41" s="49"/>
      <c r="F41" s="49"/>
      <c r="G41" s="49"/>
      <c r="H41" s="49"/>
      <c r="I41" s="49"/>
      <c r="J41" s="49"/>
      <c r="K41" s="49">
        <v>-37364</v>
      </c>
      <c r="L41" s="49"/>
      <c r="M41" s="49"/>
      <c r="N41" s="49"/>
      <c r="O41" s="49"/>
      <c r="P41" s="49"/>
      <c r="Q41" s="49"/>
    </row>
    <row r="42" spans="1:17" ht="16.5" thickTop="1">
      <c r="A42" s="280">
        <f t="shared" si="0"/>
        <v>41</v>
      </c>
      <c r="B42" s="72" t="s">
        <v>24</v>
      </c>
      <c r="C42" s="282" t="s">
        <v>347</v>
      </c>
      <c r="D42" s="29">
        <f>SUM(D15:D41)</f>
        <v>-46689</v>
      </c>
      <c r="E42" s="29">
        <f aca="true" t="shared" si="3" ref="E42:Q42">SUM(E15:E41)</f>
        <v>0</v>
      </c>
      <c r="F42" s="29">
        <f t="shared" si="3"/>
        <v>-2597</v>
      </c>
      <c r="G42" s="29">
        <f t="shared" si="3"/>
        <v>-2624</v>
      </c>
      <c r="H42" s="29">
        <f t="shared" si="3"/>
        <v>-4798</v>
      </c>
      <c r="I42" s="29">
        <f t="shared" si="3"/>
        <v>3596</v>
      </c>
      <c r="J42" s="29">
        <f t="shared" si="3"/>
        <v>-2902</v>
      </c>
      <c r="K42" s="29">
        <f t="shared" si="3"/>
        <v>-37364</v>
      </c>
      <c r="L42" s="29">
        <f>SUM(L15:L41)</f>
        <v>0</v>
      </c>
      <c r="M42" s="29">
        <f>SUM(M15:M41)</f>
        <v>0</v>
      </c>
      <c r="N42" s="29">
        <f>SUM(N15:N41)</f>
        <v>0</v>
      </c>
      <c r="O42" s="29">
        <f>SUM(O15:O41)</f>
        <v>0</v>
      </c>
      <c r="P42" s="29">
        <f>SUM(P15:P41)</f>
        <v>0</v>
      </c>
      <c r="Q42" s="29">
        <f t="shared" si="3"/>
        <v>0</v>
      </c>
    </row>
    <row r="43" spans="1:4" ht="15.75">
      <c r="A43" s="280">
        <f t="shared" si="0"/>
        <v>42</v>
      </c>
      <c r="B43" s="74"/>
      <c r="C43" s="286"/>
      <c r="D43" s="48"/>
    </row>
    <row r="44" spans="1:17" ht="15.75">
      <c r="A44" s="280">
        <f t="shared" si="0"/>
        <v>43</v>
      </c>
      <c r="B44" s="34" t="s">
        <v>73</v>
      </c>
      <c r="C44" s="282" t="s">
        <v>348</v>
      </c>
      <c r="D44" s="49">
        <f>+D12-D42</f>
        <v>35581</v>
      </c>
      <c r="E44" s="49">
        <f aca="true" t="shared" si="4" ref="E44:Q44">+E12-E42</f>
        <v>-11108</v>
      </c>
      <c r="F44" s="49">
        <f t="shared" si="4"/>
        <v>2597</v>
      </c>
      <c r="G44" s="49">
        <f t="shared" si="4"/>
        <v>2624</v>
      </c>
      <c r="H44" s="49">
        <f>+H12-H42</f>
        <v>4798</v>
      </c>
      <c r="I44" s="49">
        <f t="shared" si="4"/>
        <v>-3596</v>
      </c>
      <c r="J44" s="49">
        <f t="shared" si="4"/>
        <v>2902</v>
      </c>
      <c r="K44" s="49">
        <f t="shared" si="4"/>
        <v>37364</v>
      </c>
      <c r="L44" s="49">
        <f>+L12-L42</f>
        <v>0</v>
      </c>
      <c r="M44" s="49">
        <f>+M12-M42</f>
        <v>0</v>
      </c>
      <c r="N44" s="49">
        <f>+N12-N42</f>
        <v>0</v>
      </c>
      <c r="O44" s="49">
        <f>+O12-O42</f>
        <v>0</v>
      </c>
      <c r="P44" s="49">
        <f>+P12-P42</f>
        <v>0</v>
      </c>
      <c r="Q44" s="49">
        <f t="shared" si="4"/>
        <v>0</v>
      </c>
    </row>
    <row r="45" spans="1:17" ht="15.75">
      <c r="A45" s="280">
        <f t="shared" si="0"/>
        <v>44</v>
      </c>
      <c r="B45" s="34" t="s">
        <v>72</v>
      </c>
      <c r="C45" s="282"/>
      <c r="D45" s="49">
        <f>SUM(E45:Q45)</f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5.75">
      <c r="A46" s="280">
        <f t="shared" si="0"/>
        <v>45</v>
      </c>
      <c r="B46" s="34" t="s">
        <v>343</v>
      </c>
      <c r="C46" s="323">
        <v>0.15</v>
      </c>
      <c r="D46" s="49">
        <f>+D44*$C46</f>
        <v>5337.15</v>
      </c>
      <c r="E46" s="49">
        <f aca="true" t="shared" si="5" ref="E46:Q46">+E44*$C46</f>
        <v>-1666.2</v>
      </c>
      <c r="F46" s="49">
        <f t="shared" si="5"/>
        <v>389.55</v>
      </c>
      <c r="G46" s="49">
        <f t="shared" si="5"/>
        <v>393.59999999999997</v>
      </c>
      <c r="H46" s="49">
        <f>+H44*$C46</f>
        <v>719.6999999999999</v>
      </c>
      <c r="I46" s="49">
        <f t="shared" si="5"/>
        <v>-539.4</v>
      </c>
      <c r="J46" s="49">
        <f t="shared" si="5"/>
        <v>435.3</v>
      </c>
      <c r="K46" s="49">
        <f t="shared" si="5"/>
        <v>5604.599999999999</v>
      </c>
      <c r="L46" s="49">
        <f>+L44*$C46</f>
        <v>0</v>
      </c>
      <c r="M46" s="49">
        <f>+M44*$C46</f>
        <v>0</v>
      </c>
      <c r="N46" s="49">
        <f>+N44*$C46</f>
        <v>0</v>
      </c>
      <c r="O46" s="49">
        <f>+O44*$C46</f>
        <v>0</v>
      </c>
      <c r="P46" s="49">
        <f>+P44*$C46</f>
        <v>0</v>
      </c>
      <c r="Q46" s="49">
        <f t="shared" si="5"/>
        <v>0</v>
      </c>
    </row>
    <row r="47" spans="1:17" ht="16.5" thickBot="1">
      <c r="A47" s="280">
        <f t="shared" si="0"/>
        <v>46</v>
      </c>
      <c r="B47" s="34" t="s">
        <v>70</v>
      </c>
      <c r="C47" s="282" t="s">
        <v>415</v>
      </c>
      <c r="D47" s="49">
        <f>+D46+D45+D42</f>
        <v>-41351.85</v>
      </c>
      <c r="E47" s="49">
        <f aca="true" t="shared" si="6" ref="E47:Q47">+E46+E45+E42</f>
        <v>-1666.2</v>
      </c>
      <c r="F47" s="49">
        <f t="shared" si="6"/>
        <v>-2207.45</v>
      </c>
      <c r="G47" s="49">
        <f t="shared" si="6"/>
        <v>-2230.4</v>
      </c>
      <c r="H47" s="49">
        <f t="shared" si="6"/>
        <v>-4078.3</v>
      </c>
      <c r="I47" s="49">
        <f t="shared" si="6"/>
        <v>3056.6</v>
      </c>
      <c r="J47" s="49">
        <f t="shared" si="6"/>
        <v>-2466.7</v>
      </c>
      <c r="K47" s="49">
        <f t="shared" si="6"/>
        <v>-31759.4</v>
      </c>
      <c r="L47" s="49">
        <f>+L46+L45+L42</f>
        <v>0</v>
      </c>
      <c r="M47" s="49">
        <f>+M46+M45+M42</f>
        <v>0</v>
      </c>
      <c r="N47" s="49">
        <f>+N46+N45+N42</f>
        <v>0</v>
      </c>
      <c r="O47" s="49">
        <f>+O46+O45+O42</f>
        <v>0</v>
      </c>
      <c r="P47" s="49">
        <f>+P46+P45+P42</f>
        <v>0</v>
      </c>
      <c r="Q47" s="49">
        <f t="shared" si="6"/>
        <v>0</v>
      </c>
    </row>
    <row r="48" spans="1:17" ht="16.5" thickTop="1">
      <c r="A48" s="280">
        <f t="shared" si="0"/>
        <v>47</v>
      </c>
      <c r="B48" s="34" t="s">
        <v>71</v>
      </c>
      <c r="C48" s="282" t="s">
        <v>350</v>
      </c>
      <c r="D48" s="29">
        <f>+D12-D47</f>
        <v>30243.85</v>
      </c>
      <c r="E48" s="29">
        <f aca="true" t="shared" si="7" ref="E48:Q48">+E12-E47</f>
        <v>-9441.8</v>
      </c>
      <c r="F48" s="29">
        <f t="shared" si="7"/>
        <v>2207.45</v>
      </c>
      <c r="G48" s="29">
        <f t="shared" si="7"/>
        <v>2230.4</v>
      </c>
      <c r="H48" s="29">
        <f t="shared" si="7"/>
        <v>4078.3</v>
      </c>
      <c r="I48" s="29">
        <f t="shared" si="7"/>
        <v>-3056.6</v>
      </c>
      <c r="J48" s="29">
        <f t="shared" si="7"/>
        <v>2466.7</v>
      </c>
      <c r="K48" s="29">
        <f t="shared" si="7"/>
        <v>31759.4</v>
      </c>
      <c r="L48" s="29">
        <f>+L12-L47</f>
        <v>0</v>
      </c>
      <c r="M48" s="29">
        <f>+M12-M47</f>
        <v>0</v>
      </c>
      <c r="N48" s="29">
        <f>+N12-N47</f>
        <v>0</v>
      </c>
      <c r="O48" s="29">
        <f>+O12-O47</f>
        <v>0</v>
      </c>
      <c r="P48" s="29">
        <f>+P12-P47</f>
        <v>0</v>
      </c>
      <c r="Q48" s="29">
        <f t="shared" si="7"/>
        <v>0</v>
      </c>
    </row>
    <row r="49" spans="1:17" ht="15.75">
      <c r="A49" s="280">
        <f t="shared" si="0"/>
        <v>48</v>
      </c>
      <c r="B49" s="34" t="s">
        <v>102</v>
      </c>
      <c r="C49" s="282" t="s">
        <v>351</v>
      </c>
      <c r="D49" s="30">
        <f>+D48+D45</f>
        <v>30243.85</v>
      </c>
      <c r="E49" s="30">
        <f aca="true" t="shared" si="8" ref="E49:Q49">+E48+E45</f>
        <v>-9441.8</v>
      </c>
      <c r="F49" s="30">
        <f t="shared" si="8"/>
        <v>2207.45</v>
      </c>
      <c r="G49" s="30">
        <f t="shared" si="8"/>
        <v>2230.4</v>
      </c>
      <c r="H49" s="30">
        <f t="shared" si="8"/>
        <v>4078.3</v>
      </c>
      <c r="I49" s="30">
        <f t="shared" si="8"/>
        <v>-3056.6</v>
      </c>
      <c r="J49" s="30">
        <f t="shared" si="8"/>
        <v>2466.7</v>
      </c>
      <c r="K49" s="30">
        <f t="shared" si="8"/>
        <v>31759.4</v>
      </c>
      <c r="L49" s="30">
        <f>+L48+L45</f>
        <v>0</v>
      </c>
      <c r="M49" s="30">
        <f>+M48+M45</f>
        <v>0</v>
      </c>
      <c r="N49" s="30">
        <f>+N48+N45</f>
        <v>0</v>
      </c>
      <c r="O49" s="30">
        <f>+O48+O45</f>
        <v>0</v>
      </c>
      <c r="P49" s="30">
        <f>+P48+P45</f>
        <v>0</v>
      </c>
      <c r="Q49" s="30">
        <f t="shared" si="8"/>
        <v>0</v>
      </c>
    </row>
    <row r="50" spans="1:4" ht="15.75">
      <c r="A50" s="280">
        <f t="shared" si="0"/>
        <v>49</v>
      </c>
      <c r="B50" s="34"/>
      <c r="C50" s="282"/>
      <c r="D50" s="82"/>
    </row>
    <row r="51" spans="1:4" ht="15.75">
      <c r="A51" s="280">
        <f t="shared" si="0"/>
        <v>50</v>
      </c>
      <c r="B51" s="39" t="s">
        <v>79</v>
      </c>
      <c r="C51" s="282"/>
      <c r="D51" s="28"/>
    </row>
    <row r="52" spans="1:17" ht="15.75">
      <c r="A52" s="280">
        <f t="shared" si="0"/>
        <v>51</v>
      </c>
      <c r="B52" s="34" t="s">
        <v>175</v>
      </c>
      <c r="C52" s="282"/>
      <c r="D52" s="49">
        <f aca="true" t="shared" si="9" ref="D52:D57">SUM(E52:Q52)</f>
        <v>43514</v>
      </c>
      <c r="E52" s="49"/>
      <c r="F52" s="49"/>
      <c r="G52" s="49"/>
      <c r="H52" s="49"/>
      <c r="I52" s="49"/>
      <c r="J52" s="49"/>
      <c r="K52" s="49"/>
      <c r="L52" s="49"/>
      <c r="M52" s="49">
        <v>6467</v>
      </c>
      <c r="N52" s="49">
        <f>36366+681</f>
        <v>37047</v>
      </c>
      <c r="O52" s="49"/>
      <c r="P52" s="49"/>
      <c r="Q52" s="49"/>
    </row>
    <row r="53" spans="1:17" ht="15.75">
      <c r="A53" s="280">
        <f t="shared" si="0"/>
        <v>52</v>
      </c>
      <c r="B53" s="51" t="s">
        <v>172</v>
      </c>
      <c r="C53" s="288"/>
      <c r="D53" s="49">
        <f t="shared" si="9"/>
        <v>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5.75">
      <c r="A54" s="280">
        <f t="shared" si="0"/>
        <v>53</v>
      </c>
      <c r="B54" s="75" t="s">
        <v>224</v>
      </c>
      <c r="C54" s="283"/>
      <c r="D54" s="49">
        <f t="shared" si="9"/>
        <v>-125113.1</v>
      </c>
      <c r="E54" s="49"/>
      <c r="F54" s="49"/>
      <c r="G54" s="49"/>
      <c r="H54" s="49"/>
      <c r="I54" s="49"/>
      <c r="J54" s="49"/>
      <c r="K54" s="49"/>
      <c r="L54" s="49">
        <f>+ROR!G55</f>
        <v>-125113.1</v>
      </c>
      <c r="M54" s="49"/>
      <c r="N54" s="49"/>
      <c r="O54" s="49"/>
      <c r="P54" s="49"/>
      <c r="Q54" s="49"/>
    </row>
    <row r="55" spans="1:17" ht="15.75">
      <c r="A55" s="280">
        <f t="shared" si="0"/>
        <v>54</v>
      </c>
      <c r="B55" s="34" t="s">
        <v>189</v>
      </c>
      <c r="C55" s="282"/>
      <c r="D55" s="49">
        <f t="shared" si="9"/>
        <v>176974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>
        <v>176974</v>
      </c>
    </row>
    <row r="56" spans="1:17" ht="15.75">
      <c r="A56" s="280">
        <f t="shared" si="0"/>
        <v>55</v>
      </c>
      <c r="B56" s="34" t="s">
        <v>27</v>
      </c>
      <c r="C56" s="282"/>
      <c r="D56" s="49">
        <f t="shared" si="9"/>
        <v>-294592.06</v>
      </c>
      <c r="E56" s="49"/>
      <c r="F56" s="49"/>
      <c r="G56" s="49"/>
      <c r="H56" s="49"/>
      <c r="I56" s="49"/>
      <c r="J56" s="49"/>
      <c r="K56" s="49"/>
      <c r="L56" s="49"/>
      <c r="M56" s="49"/>
      <c r="N56" s="49">
        <v>36366</v>
      </c>
      <c r="O56" s="49">
        <v>-63297</v>
      </c>
      <c r="P56" s="49">
        <f>+ROR!M57</f>
        <v>-267661.06</v>
      </c>
      <c r="Q56" s="49"/>
    </row>
    <row r="57" spans="1:17" ht="16.5" thickBot="1">
      <c r="A57" s="280">
        <f t="shared" si="0"/>
        <v>56</v>
      </c>
      <c r="B57" s="34" t="s">
        <v>173</v>
      </c>
      <c r="C57" s="282"/>
      <c r="D57" s="49">
        <f t="shared" si="9"/>
        <v>8691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>
        <v>3600</v>
      </c>
      <c r="P57" s="49"/>
      <c r="Q57" s="49">
        <v>5091</v>
      </c>
    </row>
    <row r="58" spans="1:17" ht="16.5" thickTop="1">
      <c r="A58" s="280">
        <f t="shared" si="0"/>
        <v>57</v>
      </c>
      <c r="B58" s="137" t="s">
        <v>174</v>
      </c>
      <c r="C58" s="282" t="s">
        <v>416</v>
      </c>
      <c r="D58" s="29">
        <f>SUM(D52:D57)</f>
        <v>-190526.16</v>
      </c>
      <c r="E58" s="29">
        <f aca="true" t="shared" si="10" ref="E58:Q58">SUM(E52:E57)</f>
        <v>0</v>
      </c>
      <c r="F58" s="29">
        <f t="shared" si="10"/>
        <v>0</v>
      </c>
      <c r="G58" s="29">
        <f t="shared" si="10"/>
        <v>0</v>
      </c>
      <c r="H58" s="29">
        <f t="shared" si="10"/>
        <v>0</v>
      </c>
      <c r="I58" s="29">
        <f t="shared" si="10"/>
        <v>0</v>
      </c>
      <c r="J58" s="29">
        <f t="shared" si="10"/>
        <v>0</v>
      </c>
      <c r="K58" s="29">
        <f t="shared" si="10"/>
        <v>0</v>
      </c>
      <c r="L58" s="29">
        <f>SUM(L52:L57)</f>
        <v>-125113.1</v>
      </c>
      <c r="M58" s="29">
        <f>SUM(M52:M57)</f>
        <v>6467</v>
      </c>
      <c r="N58" s="29">
        <f>SUM(N52:N57)</f>
        <v>73413</v>
      </c>
      <c r="O58" s="29">
        <f>SUM(O52:O57)</f>
        <v>-59697</v>
      </c>
      <c r="P58" s="29">
        <f>SUM(P52:P57)</f>
        <v>-267661.06</v>
      </c>
      <c r="Q58" s="29">
        <f t="shared" si="10"/>
        <v>182065</v>
      </c>
    </row>
    <row r="59" spans="1:17" ht="15.75">
      <c r="A59" s="280">
        <f t="shared" si="0"/>
        <v>58</v>
      </c>
      <c r="B59" s="179"/>
      <c r="C59" s="289"/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>
      <c r="A60" s="280">
        <f t="shared" si="0"/>
        <v>59</v>
      </c>
      <c r="B60" s="300" t="s">
        <v>344</v>
      </c>
      <c r="C60" s="282"/>
      <c r="D60" s="33"/>
      <c r="E60" s="12" t="s">
        <v>439</v>
      </c>
      <c r="F60" s="12" t="s">
        <v>439</v>
      </c>
      <c r="G60" s="12" t="s">
        <v>439</v>
      </c>
      <c r="H60" s="12" t="s">
        <v>439</v>
      </c>
      <c r="I60" s="12" t="s">
        <v>440</v>
      </c>
      <c r="J60" s="12" t="s">
        <v>439</v>
      </c>
      <c r="K60" s="12" t="s">
        <v>439</v>
      </c>
      <c r="L60" s="12" t="s">
        <v>440</v>
      </c>
      <c r="M60" s="12" t="s">
        <v>440</v>
      </c>
      <c r="N60" s="12" t="s">
        <v>440</v>
      </c>
      <c r="O60" s="12" t="s">
        <v>440</v>
      </c>
      <c r="P60" s="12" t="s">
        <v>439</v>
      </c>
      <c r="Q60" s="12" t="s">
        <v>391</v>
      </c>
    </row>
    <row r="61" spans="1:17" ht="15.75">
      <c r="A61" s="280">
        <f t="shared" si="0"/>
        <v>60</v>
      </c>
      <c r="B61" s="34" t="s">
        <v>349</v>
      </c>
      <c r="C61" s="282"/>
      <c r="D61" s="28"/>
      <c r="E61" s="170" t="s">
        <v>389</v>
      </c>
      <c r="F61" s="170" t="s">
        <v>390</v>
      </c>
      <c r="G61" s="170" t="s">
        <v>392</v>
      </c>
      <c r="H61" s="170" t="s">
        <v>393</v>
      </c>
      <c r="I61" s="170" t="s">
        <v>394</v>
      </c>
      <c r="J61" s="170" t="s">
        <v>395</v>
      </c>
      <c r="K61" s="170" t="s">
        <v>396</v>
      </c>
      <c r="L61" s="170" t="s">
        <v>401</v>
      </c>
      <c r="M61" s="170" t="s">
        <v>397</v>
      </c>
      <c r="N61" s="170" t="s">
        <v>398</v>
      </c>
      <c r="O61" s="170" t="s">
        <v>399</v>
      </c>
      <c r="P61" s="170" t="s">
        <v>410</v>
      </c>
      <c r="Q61" s="170" t="s">
        <v>400</v>
      </c>
    </row>
    <row r="62" spans="1:3" ht="15">
      <c r="A62" s="280"/>
      <c r="C62" s="290"/>
    </row>
  </sheetData>
  <printOptions/>
  <pageMargins left="0.75" right="0.5" top="0.6" bottom="0.5" header="0.25" footer="0.5"/>
  <pageSetup fitToHeight="1" fitToWidth="1" horizontalDpi="600" verticalDpi="600" orientation="landscape" scale="55" r:id="rId1"/>
  <headerFooter alignWithMargins="0">
    <oddHeader>&amp;RStaff's Response to Bench Request No. 3 and No. 4
Docket No. UW-031284/UW-010961/UW-031596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8.88671875" defaultRowHeight="15"/>
  <cols>
    <col min="1" max="1" width="3.10546875" style="0" bestFit="1" customWidth="1"/>
    <col min="2" max="2" width="25.4453125" style="0" customWidth="1"/>
    <col min="3" max="3" width="13.10546875" style="0" bestFit="1" customWidth="1"/>
    <col min="4" max="4" width="10.21484375" style="0" bestFit="1" customWidth="1"/>
    <col min="10" max="10" width="0" style="0" hidden="1" customWidth="1"/>
  </cols>
  <sheetData>
    <row r="1" spans="1:13" ht="15">
      <c r="A1" s="12"/>
      <c r="B1" s="22" t="s">
        <v>299</v>
      </c>
      <c r="C1" s="281"/>
      <c r="D1" s="22" t="s">
        <v>300</v>
      </c>
      <c r="E1" s="22" t="s">
        <v>301</v>
      </c>
      <c r="F1" s="22" t="s">
        <v>302</v>
      </c>
      <c r="G1" s="22" t="s">
        <v>303</v>
      </c>
      <c r="H1" s="22" t="s">
        <v>304</v>
      </c>
      <c r="I1" s="22" t="s">
        <v>305</v>
      </c>
      <c r="J1" s="22" t="s">
        <v>306</v>
      </c>
      <c r="K1" s="22" t="s">
        <v>306</v>
      </c>
      <c r="L1" s="22" t="s">
        <v>308</v>
      </c>
      <c r="M1" s="22" t="s">
        <v>309</v>
      </c>
    </row>
    <row r="2" spans="1:4" ht="15.75">
      <c r="A2" s="280">
        <v>1</v>
      </c>
      <c r="B2" s="222" t="s">
        <v>91</v>
      </c>
      <c r="C2" s="284"/>
      <c r="D2" s="36"/>
    </row>
    <row r="3" spans="1:4" ht="15.75">
      <c r="A3" s="280">
        <f aca="true" t="shared" si="0" ref="A3:A34">1+A2</f>
        <v>2</v>
      </c>
      <c r="B3" s="34" t="s">
        <v>382</v>
      </c>
      <c r="C3" s="282"/>
      <c r="D3" s="34"/>
    </row>
    <row r="4" spans="1:13" ht="15.75">
      <c r="A4" s="280">
        <f t="shared" si="0"/>
        <v>3</v>
      </c>
      <c r="B4" s="31" t="s">
        <v>420</v>
      </c>
      <c r="C4" s="282"/>
      <c r="D4" s="314" t="s">
        <v>155</v>
      </c>
      <c r="E4" s="12" t="s">
        <v>360</v>
      </c>
      <c r="F4" s="12" t="s">
        <v>361</v>
      </c>
      <c r="G4" s="12" t="s">
        <v>362</v>
      </c>
      <c r="H4" s="12" t="s">
        <v>363</v>
      </c>
      <c r="I4" s="12" t="s">
        <v>364</v>
      </c>
      <c r="J4" s="12" t="s">
        <v>365</v>
      </c>
      <c r="K4" s="12" t="s">
        <v>366</v>
      </c>
      <c r="L4" s="12" t="s">
        <v>407</v>
      </c>
      <c r="M4" s="12" t="s">
        <v>408</v>
      </c>
    </row>
    <row r="5" spans="1:13" ht="15.75">
      <c r="A5" s="280">
        <f t="shared" si="0"/>
        <v>4</v>
      </c>
      <c r="B5" s="34" t="s">
        <v>1</v>
      </c>
      <c r="C5" s="282"/>
      <c r="D5" s="39" t="s">
        <v>272</v>
      </c>
      <c r="J5" s="12" t="s">
        <v>367</v>
      </c>
      <c r="L5" s="12" t="s">
        <v>367</v>
      </c>
      <c r="M5" s="12" t="s">
        <v>367</v>
      </c>
    </row>
    <row r="6" spans="1:13" ht="15.75">
      <c r="A6" s="280">
        <f t="shared" si="0"/>
        <v>5</v>
      </c>
      <c r="B6" s="39" t="s">
        <v>8</v>
      </c>
      <c r="C6" s="316" t="s">
        <v>274</v>
      </c>
      <c r="D6" s="315" t="s">
        <v>342</v>
      </c>
      <c r="E6" s="317"/>
      <c r="F6" s="317"/>
      <c r="G6" s="317"/>
      <c r="H6" s="317"/>
      <c r="I6" s="317"/>
      <c r="J6" s="157" t="s">
        <v>368</v>
      </c>
      <c r="K6" s="317"/>
      <c r="L6" s="157" t="s">
        <v>368</v>
      </c>
      <c r="M6" s="157" t="s">
        <v>368</v>
      </c>
    </row>
    <row r="7" spans="1:13" ht="15.75">
      <c r="A7" s="280">
        <f t="shared" si="0"/>
        <v>6</v>
      </c>
      <c r="B7" s="72" t="s">
        <v>186</v>
      </c>
      <c r="C7" s="286"/>
      <c r="D7" s="49">
        <f>SUM(E7:K7)</f>
        <v>0</v>
      </c>
      <c r="E7" s="3"/>
      <c r="F7" s="3"/>
      <c r="G7" s="3"/>
      <c r="H7" s="3"/>
      <c r="I7" s="3"/>
      <c r="J7" s="97"/>
      <c r="K7" s="3"/>
      <c r="L7" s="3"/>
      <c r="M7" s="3"/>
    </row>
    <row r="8" spans="1:13" ht="15.75">
      <c r="A8" s="280">
        <f t="shared" si="0"/>
        <v>7</v>
      </c>
      <c r="B8" s="72" t="s">
        <v>185</v>
      </c>
      <c r="C8" s="286"/>
      <c r="D8" s="49">
        <f>SUM(E8:K8)</f>
        <v>-80080</v>
      </c>
      <c r="E8" s="3">
        <v>-1104</v>
      </c>
      <c r="F8" s="3">
        <v>-78976</v>
      </c>
      <c r="G8" s="3"/>
      <c r="H8" s="3"/>
      <c r="I8" s="3"/>
      <c r="J8" s="3"/>
      <c r="K8" s="3"/>
      <c r="L8" s="3"/>
      <c r="M8" s="3"/>
    </row>
    <row r="9" spans="1:13" ht="15.75">
      <c r="A9" s="280">
        <f t="shared" si="0"/>
        <v>8</v>
      </c>
      <c r="B9" s="72" t="s">
        <v>184</v>
      </c>
      <c r="C9" s="286"/>
      <c r="D9" s="49">
        <f>SUM(E9:K9)</f>
        <v>0</v>
      </c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80">
        <f t="shared" si="0"/>
        <v>9</v>
      </c>
      <c r="B10" s="72" t="s">
        <v>183</v>
      </c>
      <c r="C10" s="286"/>
      <c r="D10" s="49">
        <f>SUM(E10:K10)</f>
        <v>0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6.5" thickBot="1">
      <c r="A11" s="280">
        <f t="shared" si="0"/>
        <v>10</v>
      </c>
      <c r="B11" s="72" t="s">
        <v>182</v>
      </c>
      <c r="C11" s="286"/>
      <c r="D11" s="49">
        <f>SUM(E11:K11)</f>
        <v>0</v>
      </c>
      <c r="E11" s="49"/>
      <c r="F11" s="3"/>
      <c r="G11" s="3"/>
      <c r="H11" s="3"/>
      <c r="I11" s="3"/>
      <c r="J11" s="3"/>
      <c r="K11" s="3"/>
      <c r="L11" s="3"/>
      <c r="M11" s="3"/>
    </row>
    <row r="12" spans="1:13" ht="16.5" thickTop="1">
      <c r="A12" s="280">
        <f t="shared" si="0"/>
        <v>11</v>
      </c>
      <c r="B12" s="34" t="s">
        <v>13</v>
      </c>
      <c r="C12" s="282" t="s">
        <v>346</v>
      </c>
      <c r="D12" s="29">
        <f aca="true" t="shared" si="1" ref="D12:K12">SUM(D7:D11)</f>
        <v>-80080</v>
      </c>
      <c r="E12" s="29">
        <f t="shared" si="1"/>
        <v>-1104</v>
      </c>
      <c r="F12" s="29">
        <f t="shared" si="1"/>
        <v>-78976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>SUM(L7:L11)</f>
        <v>0</v>
      </c>
      <c r="M12" s="29">
        <f>SUM(M7:M11)</f>
        <v>0</v>
      </c>
    </row>
    <row r="13" spans="1:4" ht="15.75">
      <c r="A13" s="280">
        <f t="shared" si="0"/>
        <v>12</v>
      </c>
      <c r="B13" s="180"/>
      <c r="C13" s="285"/>
      <c r="D13" s="83"/>
    </row>
    <row r="14" spans="1:4" ht="15.75">
      <c r="A14" s="280">
        <f t="shared" si="0"/>
        <v>13</v>
      </c>
      <c r="B14" s="73" t="s">
        <v>14</v>
      </c>
      <c r="C14" s="283"/>
      <c r="D14" s="109"/>
    </row>
    <row r="15" spans="1:13" ht="15.75">
      <c r="A15" s="280">
        <f t="shared" si="0"/>
        <v>14</v>
      </c>
      <c r="B15" s="75" t="s">
        <v>15</v>
      </c>
      <c r="C15" s="283"/>
      <c r="D15" s="49">
        <f aca="true" t="shared" si="2" ref="D15:D41">SUM(E15:K15)</f>
        <v>-23102</v>
      </c>
      <c r="E15" s="49"/>
      <c r="F15" s="49"/>
      <c r="G15" s="49">
        <v>-23102</v>
      </c>
      <c r="H15" s="49"/>
      <c r="I15" s="49"/>
      <c r="J15" s="49"/>
      <c r="K15" s="49"/>
      <c r="L15" s="49"/>
      <c r="M15" s="49"/>
    </row>
    <row r="16" spans="1:13" ht="15.75">
      <c r="A16" s="280">
        <f t="shared" si="0"/>
        <v>15</v>
      </c>
      <c r="B16" s="75" t="s">
        <v>16</v>
      </c>
      <c r="C16" s="283"/>
      <c r="D16" s="49">
        <f t="shared" si="2"/>
        <v>0</v>
      </c>
      <c r="E16" s="49"/>
      <c r="F16" s="49"/>
      <c r="G16" s="49">
        <v>0</v>
      </c>
      <c r="H16" s="49"/>
      <c r="I16" s="49"/>
      <c r="J16" s="49"/>
      <c r="K16" s="49"/>
      <c r="L16" s="49"/>
      <c r="M16" s="49"/>
    </row>
    <row r="17" spans="1:13" ht="15.75">
      <c r="A17" s="280">
        <f t="shared" si="0"/>
        <v>16</v>
      </c>
      <c r="B17" s="75" t="s">
        <v>388</v>
      </c>
      <c r="C17" s="283"/>
      <c r="D17" s="49">
        <f t="shared" si="2"/>
        <v>-2212</v>
      </c>
      <c r="E17" s="49"/>
      <c r="F17" s="49"/>
      <c r="G17" s="49">
        <v>-2212</v>
      </c>
      <c r="H17" s="49"/>
      <c r="I17" s="49"/>
      <c r="J17" s="49"/>
      <c r="K17" s="49"/>
      <c r="L17" s="49"/>
      <c r="M17" s="49"/>
    </row>
    <row r="18" spans="1:13" ht="15.75">
      <c r="A18" s="280">
        <f t="shared" si="0"/>
        <v>17</v>
      </c>
      <c r="B18" s="75" t="s">
        <v>17</v>
      </c>
      <c r="C18" s="283"/>
      <c r="D18" s="49">
        <f t="shared" si="2"/>
        <v>0</v>
      </c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15.75">
      <c r="A19" s="280">
        <f t="shared" si="0"/>
        <v>18</v>
      </c>
      <c r="B19" s="75" t="s">
        <v>100</v>
      </c>
      <c r="C19" s="283"/>
      <c r="D19" s="49">
        <f t="shared" si="2"/>
        <v>0</v>
      </c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5.75">
      <c r="A20" s="280">
        <f t="shared" si="0"/>
        <v>19</v>
      </c>
      <c r="B20" s="119" t="s">
        <v>18</v>
      </c>
      <c r="C20" s="287"/>
      <c r="D20" s="49">
        <f t="shared" si="2"/>
        <v>0</v>
      </c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>
      <c r="A21" s="280">
        <f t="shared" si="0"/>
        <v>20</v>
      </c>
      <c r="B21" s="75" t="s">
        <v>93</v>
      </c>
      <c r="C21" s="283"/>
      <c r="D21" s="49">
        <f t="shared" si="2"/>
        <v>0</v>
      </c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>
      <c r="A22" s="280">
        <f t="shared" si="0"/>
        <v>21</v>
      </c>
      <c r="B22" s="75" t="s">
        <v>76</v>
      </c>
      <c r="C22" s="283"/>
      <c r="D22" s="49">
        <f t="shared" si="2"/>
        <v>0</v>
      </c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>
      <c r="A23" s="280">
        <f t="shared" si="0"/>
        <v>22</v>
      </c>
      <c r="B23" s="75" t="s">
        <v>19</v>
      </c>
      <c r="C23" s="283"/>
      <c r="D23" s="49">
        <f t="shared" si="2"/>
        <v>0</v>
      </c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5.75">
      <c r="A24" s="280">
        <f t="shared" si="0"/>
        <v>23</v>
      </c>
      <c r="B24" s="75" t="s">
        <v>94</v>
      </c>
      <c r="C24" s="283"/>
      <c r="D24" s="49">
        <f t="shared" si="2"/>
        <v>0</v>
      </c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5.75">
      <c r="A25" s="280">
        <f t="shared" si="0"/>
        <v>24</v>
      </c>
      <c r="B25" s="75" t="s">
        <v>101</v>
      </c>
      <c r="C25" s="283"/>
      <c r="D25" s="49">
        <f t="shared" si="2"/>
        <v>0</v>
      </c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5.75">
      <c r="A26" s="280">
        <f t="shared" si="0"/>
        <v>25</v>
      </c>
      <c r="B26" s="119" t="s">
        <v>20</v>
      </c>
      <c r="C26" s="287"/>
      <c r="D26" s="49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15.75">
      <c r="A27" s="280">
        <f t="shared" si="0"/>
        <v>26</v>
      </c>
      <c r="B27" s="75" t="s">
        <v>170</v>
      </c>
      <c r="C27" s="283"/>
      <c r="D27" s="49">
        <f t="shared" si="2"/>
        <v>0</v>
      </c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15.75">
      <c r="A28" s="280">
        <f t="shared" si="0"/>
        <v>27</v>
      </c>
      <c r="B28" s="75" t="s">
        <v>95</v>
      </c>
      <c r="C28" s="283"/>
      <c r="D28" s="49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5.75">
      <c r="A29" s="280">
        <f t="shared" si="0"/>
        <v>28</v>
      </c>
      <c r="B29" s="75" t="s">
        <v>357</v>
      </c>
      <c r="C29" s="283"/>
      <c r="D29" s="49">
        <f t="shared" si="2"/>
        <v>0</v>
      </c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5.75">
      <c r="A30" s="280">
        <f t="shared" si="0"/>
        <v>29</v>
      </c>
      <c r="B30" s="75" t="s">
        <v>96</v>
      </c>
      <c r="C30" s="283"/>
      <c r="D30" s="49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5.75">
      <c r="A31" s="280">
        <f t="shared" si="0"/>
        <v>30</v>
      </c>
      <c r="B31" s="75" t="s">
        <v>223</v>
      </c>
      <c r="C31" s="283"/>
      <c r="D31" s="49">
        <f t="shared" si="2"/>
        <v>-62557</v>
      </c>
      <c r="E31" s="49"/>
      <c r="F31" s="49"/>
      <c r="G31" s="49"/>
      <c r="H31" s="49"/>
      <c r="I31" s="49">
        <v>-62557</v>
      </c>
      <c r="J31" s="49"/>
      <c r="K31" s="49"/>
      <c r="L31" s="49"/>
      <c r="M31" s="49"/>
    </row>
    <row r="32" spans="1:13" ht="15.75">
      <c r="A32" s="280">
        <f t="shared" si="0"/>
        <v>31</v>
      </c>
      <c r="B32" s="75" t="s">
        <v>97</v>
      </c>
      <c r="C32" s="283"/>
      <c r="D32" s="49">
        <f t="shared" si="2"/>
        <v>0</v>
      </c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.75">
      <c r="A33" s="280">
        <f t="shared" si="0"/>
        <v>32</v>
      </c>
      <c r="B33" s="119" t="s">
        <v>98</v>
      </c>
      <c r="C33" s="287"/>
      <c r="D33" s="49">
        <f t="shared" si="2"/>
        <v>0</v>
      </c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5.75">
      <c r="A34" s="280">
        <f t="shared" si="0"/>
        <v>33</v>
      </c>
      <c r="B34" s="75" t="s">
        <v>81</v>
      </c>
      <c r="C34" s="283"/>
      <c r="D34" s="49">
        <f t="shared" si="2"/>
        <v>0</v>
      </c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5.75">
      <c r="A35" s="280">
        <f aca="true" t="shared" si="3" ref="A35:A61">1+A34</f>
        <v>34</v>
      </c>
      <c r="B35" s="75" t="s">
        <v>21</v>
      </c>
      <c r="C35" s="283"/>
      <c r="D35" s="49">
        <f t="shared" si="2"/>
        <v>0</v>
      </c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5.75">
      <c r="A36" s="280">
        <f t="shared" si="3"/>
        <v>35</v>
      </c>
      <c r="B36" s="75" t="s">
        <v>171</v>
      </c>
      <c r="C36" s="283"/>
      <c r="D36" s="49">
        <f t="shared" si="2"/>
        <v>0</v>
      </c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.75">
      <c r="A37" s="280">
        <f t="shared" si="3"/>
        <v>36</v>
      </c>
      <c r="B37" s="75" t="s">
        <v>99</v>
      </c>
      <c r="C37" s="283"/>
      <c r="D37" s="49">
        <f t="shared" si="2"/>
        <v>0</v>
      </c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280">
        <f t="shared" si="3"/>
        <v>37</v>
      </c>
      <c r="B38" s="75" t="s">
        <v>22</v>
      </c>
      <c r="C38" s="283"/>
      <c r="D38" s="49">
        <f t="shared" si="2"/>
        <v>0</v>
      </c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5.75">
      <c r="A39" s="280">
        <f t="shared" si="3"/>
        <v>38</v>
      </c>
      <c r="B39" s="119" t="s">
        <v>387</v>
      </c>
      <c r="C39" s="287"/>
      <c r="D39" s="49">
        <f t="shared" si="2"/>
        <v>-3246.28</v>
      </c>
      <c r="E39" s="49"/>
      <c r="F39" s="49"/>
      <c r="G39" s="49">
        <v>-3246.28</v>
      </c>
      <c r="H39" s="49"/>
      <c r="I39" s="49"/>
      <c r="J39" s="49"/>
      <c r="K39" s="49"/>
      <c r="L39" s="49"/>
      <c r="M39" s="49"/>
    </row>
    <row r="40" spans="1:13" ht="15.75">
      <c r="A40" s="280">
        <f t="shared" si="3"/>
        <v>39</v>
      </c>
      <c r="B40" s="74" t="s">
        <v>23</v>
      </c>
      <c r="C40" s="286"/>
      <c r="D40" s="49">
        <f t="shared" si="2"/>
        <v>0</v>
      </c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6.5" thickBot="1">
      <c r="A41" s="280">
        <f t="shared" si="3"/>
        <v>40</v>
      </c>
      <c r="B41" s="119" t="s">
        <v>187</v>
      </c>
      <c r="C41" s="287"/>
      <c r="D41" s="49">
        <f t="shared" si="2"/>
        <v>2090</v>
      </c>
      <c r="E41" s="49"/>
      <c r="F41" s="49"/>
      <c r="G41" s="49"/>
      <c r="H41" s="49"/>
      <c r="I41" s="49"/>
      <c r="J41" s="49"/>
      <c r="K41" s="49">
        <v>2090</v>
      </c>
      <c r="L41" s="49"/>
      <c r="M41" s="49"/>
    </row>
    <row r="42" spans="1:13" ht="16.5" thickTop="1">
      <c r="A42" s="280">
        <f t="shared" si="3"/>
        <v>41</v>
      </c>
      <c r="B42" s="72" t="s">
        <v>24</v>
      </c>
      <c r="C42" s="282" t="s">
        <v>347</v>
      </c>
      <c r="D42" s="29">
        <f aca="true" t="shared" si="4" ref="D42:K42">SUM(D15:D41)</f>
        <v>-89027.28</v>
      </c>
      <c r="E42" s="29">
        <f t="shared" si="4"/>
        <v>0</v>
      </c>
      <c r="F42" s="29">
        <f t="shared" si="4"/>
        <v>0</v>
      </c>
      <c r="G42" s="29">
        <f t="shared" si="4"/>
        <v>-28560.28</v>
      </c>
      <c r="H42" s="29">
        <f t="shared" si="4"/>
        <v>0</v>
      </c>
      <c r="I42" s="29">
        <f t="shared" si="4"/>
        <v>-62557</v>
      </c>
      <c r="J42" s="29">
        <f t="shared" si="4"/>
        <v>0</v>
      </c>
      <c r="K42" s="29">
        <f t="shared" si="4"/>
        <v>2090</v>
      </c>
      <c r="L42" s="29">
        <f>SUM(L15:L41)</f>
        <v>0</v>
      </c>
      <c r="M42" s="29">
        <f>SUM(M15:M41)</f>
        <v>0</v>
      </c>
    </row>
    <row r="43" spans="1:4" ht="15.75">
      <c r="A43" s="280">
        <f t="shared" si="3"/>
        <v>42</v>
      </c>
      <c r="B43" s="74"/>
      <c r="C43" s="286"/>
      <c r="D43" s="48"/>
    </row>
    <row r="44" spans="1:13" ht="15.75">
      <c r="A44" s="280">
        <f t="shared" si="3"/>
        <v>43</v>
      </c>
      <c r="B44" s="34" t="s">
        <v>73</v>
      </c>
      <c r="C44" s="282" t="s">
        <v>348</v>
      </c>
      <c r="D44" s="49">
        <f aca="true" t="shared" si="5" ref="D44:K44">+D12-D42</f>
        <v>8947.279999999999</v>
      </c>
      <c r="E44" s="49">
        <f t="shared" si="5"/>
        <v>-1104</v>
      </c>
      <c r="F44" s="49">
        <f t="shared" si="5"/>
        <v>-78976</v>
      </c>
      <c r="G44" s="49">
        <f t="shared" si="5"/>
        <v>28560.28</v>
      </c>
      <c r="H44" s="49">
        <f>+H45</f>
        <v>-14044</v>
      </c>
      <c r="I44" s="49">
        <f t="shared" si="5"/>
        <v>62557</v>
      </c>
      <c r="J44" s="49">
        <f t="shared" si="5"/>
        <v>0</v>
      </c>
      <c r="K44" s="49">
        <f t="shared" si="5"/>
        <v>-2090</v>
      </c>
      <c r="L44" s="49">
        <f>+L12-L42</f>
        <v>0</v>
      </c>
      <c r="M44" s="49">
        <f>+M12-M42</f>
        <v>0</v>
      </c>
    </row>
    <row r="45" spans="1:13" ht="15.75">
      <c r="A45" s="280">
        <f t="shared" si="3"/>
        <v>44</v>
      </c>
      <c r="B45" s="34" t="s">
        <v>72</v>
      </c>
      <c r="C45" s="282"/>
      <c r="D45" s="49">
        <f>SUM(E45:K45)</f>
        <v>-14044</v>
      </c>
      <c r="E45" s="49"/>
      <c r="F45" s="49"/>
      <c r="G45" s="49"/>
      <c r="H45" s="49">
        <v>-14044</v>
      </c>
      <c r="I45" s="49"/>
      <c r="J45" s="49"/>
      <c r="K45" s="49"/>
      <c r="L45" s="49"/>
      <c r="M45" s="49"/>
    </row>
    <row r="46" spans="1:13" ht="15.75">
      <c r="A46" s="280">
        <f t="shared" si="3"/>
        <v>45</v>
      </c>
      <c r="B46" s="34" t="s">
        <v>343</v>
      </c>
      <c r="C46" s="323">
        <v>0.15</v>
      </c>
      <c r="D46" s="49">
        <f aca="true" t="shared" si="6" ref="D46:K46">+D44*$C46</f>
        <v>1342.0919999999999</v>
      </c>
      <c r="E46" s="49">
        <f t="shared" si="6"/>
        <v>-165.6</v>
      </c>
      <c r="F46" s="49">
        <f t="shared" si="6"/>
        <v>-11846.4</v>
      </c>
      <c r="G46" s="49">
        <f t="shared" si="6"/>
        <v>4284.0419999999995</v>
      </c>
      <c r="H46" s="49">
        <f t="shared" si="6"/>
        <v>-2106.6</v>
      </c>
      <c r="I46" s="49">
        <f t="shared" si="6"/>
        <v>9383.55</v>
      </c>
      <c r="J46" s="49">
        <f t="shared" si="6"/>
        <v>0</v>
      </c>
      <c r="K46" s="49">
        <f t="shared" si="6"/>
        <v>-313.5</v>
      </c>
      <c r="L46" s="49">
        <f>+L44*$C46</f>
        <v>0</v>
      </c>
      <c r="M46" s="49">
        <f>+M44*$C46</f>
        <v>0</v>
      </c>
    </row>
    <row r="47" spans="1:13" ht="16.5" thickBot="1">
      <c r="A47" s="280">
        <f t="shared" si="3"/>
        <v>46</v>
      </c>
      <c r="B47" s="34" t="s">
        <v>70</v>
      </c>
      <c r="C47" s="282" t="s">
        <v>415</v>
      </c>
      <c r="D47" s="49">
        <f aca="true" t="shared" si="7" ref="D47:K47">+D46+D45+D42</f>
        <v>-101729.188</v>
      </c>
      <c r="E47" s="49">
        <f t="shared" si="7"/>
        <v>-165.6</v>
      </c>
      <c r="F47" s="49">
        <f t="shared" si="7"/>
        <v>-11846.4</v>
      </c>
      <c r="G47" s="49">
        <f t="shared" si="7"/>
        <v>-24276.237999999998</v>
      </c>
      <c r="H47" s="49">
        <f t="shared" si="7"/>
        <v>-16150.6</v>
      </c>
      <c r="I47" s="49">
        <f t="shared" si="7"/>
        <v>-53173.45</v>
      </c>
      <c r="J47" s="49">
        <f t="shared" si="7"/>
        <v>0</v>
      </c>
      <c r="K47" s="49">
        <f t="shared" si="7"/>
        <v>1776.5</v>
      </c>
      <c r="L47" s="49">
        <f>+L46+L45+L42</f>
        <v>0</v>
      </c>
      <c r="M47" s="49">
        <f>+M46+M45+M42</f>
        <v>0</v>
      </c>
    </row>
    <row r="48" spans="1:13" ht="16.5" thickTop="1">
      <c r="A48" s="280">
        <f t="shared" si="3"/>
        <v>47</v>
      </c>
      <c r="B48" s="34" t="s">
        <v>71</v>
      </c>
      <c r="C48" s="282" t="s">
        <v>350</v>
      </c>
      <c r="D48" s="29">
        <f aca="true" t="shared" si="8" ref="D48:K48">+D12-D47</f>
        <v>21649.187999999995</v>
      </c>
      <c r="E48" s="29">
        <f t="shared" si="8"/>
        <v>-938.4</v>
      </c>
      <c r="F48" s="29">
        <f t="shared" si="8"/>
        <v>-67129.6</v>
      </c>
      <c r="G48" s="29">
        <f t="shared" si="8"/>
        <v>24276.237999999998</v>
      </c>
      <c r="H48" s="29">
        <f t="shared" si="8"/>
        <v>16150.6</v>
      </c>
      <c r="I48" s="29">
        <f t="shared" si="8"/>
        <v>53173.45</v>
      </c>
      <c r="J48" s="29">
        <f t="shared" si="8"/>
        <v>0</v>
      </c>
      <c r="K48" s="29">
        <f t="shared" si="8"/>
        <v>-1776.5</v>
      </c>
      <c r="L48" s="29">
        <f>+L12-L47</f>
        <v>0</v>
      </c>
      <c r="M48" s="29">
        <f>+M12-M47</f>
        <v>0</v>
      </c>
    </row>
    <row r="49" spans="1:13" ht="15.75">
      <c r="A49" s="280">
        <f t="shared" si="3"/>
        <v>48</v>
      </c>
      <c r="B49" s="34" t="s">
        <v>102</v>
      </c>
      <c r="C49" s="282" t="s">
        <v>351</v>
      </c>
      <c r="D49" s="30">
        <f aca="true" t="shared" si="9" ref="D49:K49">+D48+D45</f>
        <v>7605.187999999995</v>
      </c>
      <c r="E49" s="30">
        <f t="shared" si="9"/>
        <v>-938.4</v>
      </c>
      <c r="F49" s="30">
        <f t="shared" si="9"/>
        <v>-67129.6</v>
      </c>
      <c r="G49" s="30">
        <f t="shared" si="9"/>
        <v>24276.237999999998</v>
      </c>
      <c r="H49" s="30">
        <f t="shared" si="9"/>
        <v>2106.6000000000004</v>
      </c>
      <c r="I49" s="30">
        <f t="shared" si="9"/>
        <v>53173.45</v>
      </c>
      <c r="J49" s="30">
        <f t="shared" si="9"/>
        <v>0</v>
      </c>
      <c r="K49" s="30">
        <f t="shared" si="9"/>
        <v>-1776.5</v>
      </c>
      <c r="L49" s="30">
        <f>+L48+L45</f>
        <v>0</v>
      </c>
      <c r="M49" s="30">
        <f>+M48+M45</f>
        <v>0</v>
      </c>
    </row>
    <row r="50" spans="1:4" ht="15.75">
      <c r="A50" s="280">
        <f t="shared" si="3"/>
        <v>49</v>
      </c>
      <c r="B50" s="34"/>
      <c r="C50" s="282"/>
      <c r="D50" s="82"/>
    </row>
    <row r="51" spans="1:4" ht="15.75">
      <c r="A51" s="280">
        <f t="shared" si="3"/>
        <v>50</v>
      </c>
      <c r="B51" s="39" t="s">
        <v>79</v>
      </c>
      <c r="C51" s="282"/>
      <c r="D51" s="28"/>
    </row>
    <row r="52" spans="1:13" ht="15.75">
      <c r="A52" s="280">
        <f t="shared" si="3"/>
        <v>51</v>
      </c>
      <c r="B52" s="34" t="s">
        <v>175</v>
      </c>
      <c r="C52" s="282"/>
      <c r="D52" s="49">
        <f aca="true" t="shared" si="10" ref="D52:D57">SUM(E52:K52)</f>
        <v>0</v>
      </c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5.75">
      <c r="A53" s="280">
        <f t="shared" si="3"/>
        <v>52</v>
      </c>
      <c r="B53" s="51" t="s">
        <v>172</v>
      </c>
      <c r="C53" s="288"/>
      <c r="D53" s="49">
        <f t="shared" si="10"/>
        <v>0</v>
      </c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5.75">
      <c r="A54" s="280">
        <f t="shared" si="3"/>
        <v>53</v>
      </c>
      <c r="B54" s="75" t="s">
        <v>224</v>
      </c>
      <c r="C54" s="283"/>
      <c r="D54" s="49">
        <f t="shared" si="10"/>
        <v>0</v>
      </c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5.75">
      <c r="A55" s="280">
        <f t="shared" si="3"/>
        <v>54</v>
      </c>
      <c r="B55" s="34" t="s">
        <v>189</v>
      </c>
      <c r="C55" s="282"/>
      <c r="D55" s="49">
        <f t="shared" si="10"/>
        <v>0</v>
      </c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5.75">
      <c r="A56" s="280">
        <f t="shared" si="3"/>
        <v>55</v>
      </c>
      <c r="B56" s="34" t="s">
        <v>27</v>
      </c>
      <c r="C56" s="282"/>
      <c r="D56" s="49">
        <f t="shared" si="10"/>
        <v>0</v>
      </c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6.5" thickBot="1">
      <c r="A57" s="280">
        <f t="shared" si="3"/>
        <v>56</v>
      </c>
      <c r="B57" s="34" t="s">
        <v>173</v>
      </c>
      <c r="C57" s="282"/>
      <c r="D57" s="49">
        <f t="shared" si="10"/>
        <v>0</v>
      </c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6.5" thickTop="1">
      <c r="A58" s="280">
        <f t="shared" si="3"/>
        <v>57</v>
      </c>
      <c r="B58" s="137" t="s">
        <v>174</v>
      </c>
      <c r="C58" s="282" t="s">
        <v>416</v>
      </c>
      <c r="D58" s="29">
        <f aca="true" t="shared" si="11" ref="D58:K58">SUM(D52:D57)</f>
        <v>0</v>
      </c>
      <c r="E58" s="29">
        <f t="shared" si="11"/>
        <v>0</v>
      </c>
      <c r="F58" s="29">
        <f t="shared" si="11"/>
        <v>0</v>
      </c>
      <c r="G58" s="29">
        <f t="shared" si="11"/>
        <v>0</v>
      </c>
      <c r="H58" s="29">
        <f t="shared" si="11"/>
        <v>0</v>
      </c>
      <c r="I58" s="29">
        <f t="shared" si="11"/>
        <v>0</v>
      </c>
      <c r="J58" s="29">
        <f t="shared" si="11"/>
        <v>0</v>
      </c>
      <c r="K58" s="29">
        <f t="shared" si="11"/>
        <v>0</v>
      </c>
      <c r="L58" s="29">
        <f>SUM(L52:L57)</f>
        <v>0</v>
      </c>
      <c r="M58" s="29">
        <f>SUM(M52:M57)</f>
        <v>0</v>
      </c>
    </row>
    <row r="59" spans="1:13" ht="16.5">
      <c r="A59" s="280">
        <f t="shared" si="3"/>
        <v>58</v>
      </c>
      <c r="B59" s="300" t="s">
        <v>344</v>
      </c>
      <c r="C59" s="289"/>
      <c r="D59" s="31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>
      <c r="A60" s="280">
        <f t="shared" si="3"/>
        <v>59</v>
      </c>
      <c r="B60" s="300" t="s">
        <v>417</v>
      </c>
      <c r="C60" s="282"/>
      <c r="D60" s="33"/>
      <c r="E60" s="12" t="s">
        <v>440</v>
      </c>
      <c r="F60" s="12" t="s">
        <v>440</v>
      </c>
      <c r="G60" s="12" t="s">
        <v>440</v>
      </c>
      <c r="H60" s="12" t="s">
        <v>440</v>
      </c>
      <c r="I60" s="12" t="s">
        <v>440</v>
      </c>
      <c r="J60" s="12"/>
      <c r="K60" s="12" t="s">
        <v>440</v>
      </c>
      <c r="L60" s="12"/>
      <c r="M60" s="12"/>
    </row>
    <row r="61" spans="1:13" ht="15.75">
      <c r="A61" s="280">
        <f t="shared" si="3"/>
        <v>60</v>
      </c>
      <c r="B61" s="34" t="s">
        <v>349</v>
      </c>
      <c r="C61" s="282"/>
      <c r="D61" s="28"/>
      <c r="E61" s="170" t="s">
        <v>402</v>
      </c>
      <c r="F61" s="170" t="s">
        <v>403</v>
      </c>
      <c r="G61" s="170" t="s">
        <v>404</v>
      </c>
      <c r="H61" s="170" t="s">
        <v>418</v>
      </c>
      <c r="I61" s="170" t="s">
        <v>405</v>
      </c>
      <c r="J61" s="170"/>
      <c r="K61" s="170" t="s">
        <v>406</v>
      </c>
      <c r="L61" s="170"/>
      <c r="M61" s="170"/>
    </row>
  </sheetData>
  <printOptions/>
  <pageMargins left="0.75" right="0.5" top="1" bottom="0.75" header="0.25" footer="0.5"/>
  <pageSetup fitToHeight="1" fitToWidth="1" horizontalDpi="600" verticalDpi="600" orientation="portrait" scale="69" r:id="rId1"/>
  <headerFooter alignWithMargins="0">
    <oddHeader>&amp;RStaff's Response to Bench Request No. 3 and No. 4
Docket No. UW-031284/UW-010961/UW-031596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8.88671875" defaultRowHeight="15"/>
  <cols>
    <col min="1" max="1" width="3.10546875" style="0" bestFit="1" customWidth="1"/>
    <col min="2" max="2" width="24.88671875" style="0" customWidth="1"/>
    <col min="3" max="3" width="13.10546875" style="0" bestFit="1" customWidth="1"/>
    <col min="4" max="4" width="10.21484375" style="0" bestFit="1" customWidth="1"/>
  </cols>
  <sheetData>
    <row r="1" spans="1:10" ht="15">
      <c r="A1" s="12"/>
      <c r="B1" s="22" t="s">
        <v>299</v>
      </c>
      <c r="C1" s="281"/>
      <c r="D1" s="22" t="s">
        <v>300</v>
      </c>
      <c r="E1" s="22" t="s">
        <v>301</v>
      </c>
      <c r="F1" s="22" t="s">
        <v>302</v>
      </c>
      <c r="G1" s="22" t="s">
        <v>303</v>
      </c>
      <c r="H1" s="22" t="s">
        <v>304</v>
      </c>
      <c r="I1" s="22" t="s">
        <v>305</v>
      </c>
      <c r="J1" s="22" t="s">
        <v>306</v>
      </c>
    </row>
    <row r="2" spans="1:4" ht="15.75">
      <c r="A2" s="280">
        <v>1</v>
      </c>
      <c r="B2" s="222" t="s">
        <v>91</v>
      </c>
      <c r="C2" s="284"/>
      <c r="D2" s="36"/>
    </row>
    <row r="3" spans="1:4" ht="15.75">
      <c r="A3" s="280">
        <f aca="true" t="shared" si="0" ref="A3:A34">1+A2</f>
        <v>2</v>
      </c>
      <c r="B3" s="34" t="s">
        <v>383</v>
      </c>
      <c r="C3" s="282"/>
      <c r="D3" s="34"/>
    </row>
    <row r="4" spans="1:10" ht="15.75">
      <c r="A4" s="280">
        <f t="shared" si="0"/>
        <v>3</v>
      </c>
      <c r="B4" s="31" t="s">
        <v>421</v>
      </c>
      <c r="C4" s="282"/>
      <c r="D4" s="314" t="s">
        <v>155</v>
      </c>
      <c r="E4" s="12" t="s">
        <v>178</v>
      </c>
      <c r="F4" s="12" t="s">
        <v>180</v>
      </c>
      <c r="G4" s="12" t="s">
        <v>222</v>
      </c>
      <c r="H4" s="12" t="s">
        <v>179</v>
      </c>
      <c r="I4" s="12" t="s">
        <v>225</v>
      </c>
      <c r="J4" s="12" t="s">
        <v>369</v>
      </c>
    </row>
    <row r="5" spans="1:10" ht="15.75">
      <c r="A5" s="280">
        <f t="shared" si="0"/>
        <v>4</v>
      </c>
      <c r="B5" s="34" t="s">
        <v>1</v>
      </c>
      <c r="C5" s="282"/>
      <c r="D5" s="39" t="s">
        <v>370</v>
      </c>
      <c r="F5" s="12" t="s">
        <v>441</v>
      </c>
      <c r="J5" s="12" t="s">
        <v>252</v>
      </c>
    </row>
    <row r="6" spans="1:10" ht="15.75">
      <c r="A6" s="280">
        <f t="shared" si="0"/>
        <v>5</v>
      </c>
      <c r="B6" s="39" t="s">
        <v>8</v>
      </c>
      <c r="C6" s="316" t="s">
        <v>274</v>
      </c>
      <c r="D6" s="315" t="s">
        <v>342</v>
      </c>
      <c r="E6" s="317"/>
      <c r="F6" s="157" t="s">
        <v>375</v>
      </c>
      <c r="G6" s="317"/>
      <c r="H6" s="317"/>
      <c r="I6" s="317"/>
      <c r="J6" s="157" t="s">
        <v>384</v>
      </c>
    </row>
    <row r="7" spans="1:10" ht="15.75">
      <c r="A7" s="280">
        <f t="shared" si="0"/>
        <v>6</v>
      </c>
      <c r="B7" s="72" t="s">
        <v>186</v>
      </c>
      <c r="C7" s="286"/>
      <c r="D7" s="49">
        <f>SUM(E7:J7)</f>
        <v>0</v>
      </c>
      <c r="E7" s="3"/>
      <c r="F7" s="3"/>
      <c r="G7" s="3"/>
      <c r="H7" s="3"/>
      <c r="I7" s="3"/>
      <c r="J7" s="3"/>
    </row>
    <row r="8" spans="1:10" ht="15.75">
      <c r="A8" s="280">
        <f t="shared" si="0"/>
        <v>7</v>
      </c>
      <c r="B8" s="72" t="s">
        <v>185</v>
      </c>
      <c r="C8" s="286"/>
      <c r="D8" s="49">
        <f>SUM(E8:J8)</f>
        <v>-88400</v>
      </c>
      <c r="E8" s="3"/>
      <c r="F8" s="3"/>
      <c r="G8" s="3"/>
      <c r="H8" s="3"/>
      <c r="I8" s="3"/>
      <c r="J8" s="49">
        <f>+ROR!S9</f>
        <v>-88400</v>
      </c>
    </row>
    <row r="9" spans="1:10" ht="15.75">
      <c r="A9" s="280">
        <f t="shared" si="0"/>
        <v>8</v>
      </c>
      <c r="B9" s="72" t="s">
        <v>184</v>
      </c>
      <c r="C9" s="286"/>
      <c r="D9" s="49">
        <f>SUM(E9:J9)</f>
        <v>0</v>
      </c>
      <c r="E9" s="3"/>
      <c r="F9" s="3"/>
      <c r="G9" s="3"/>
      <c r="H9" s="3"/>
      <c r="I9" s="3"/>
      <c r="J9" s="3"/>
    </row>
    <row r="10" spans="1:10" ht="15.75">
      <c r="A10" s="280">
        <f t="shared" si="0"/>
        <v>9</v>
      </c>
      <c r="B10" s="72" t="s">
        <v>183</v>
      </c>
      <c r="C10" s="286"/>
      <c r="D10" s="49">
        <f>SUM(E10:J10)</f>
        <v>0</v>
      </c>
      <c r="E10" s="3"/>
      <c r="F10" s="3"/>
      <c r="G10" s="3"/>
      <c r="H10" s="3"/>
      <c r="I10" s="3"/>
      <c r="J10" s="3"/>
    </row>
    <row r="11" spans="1:10" ht="16.5" thickBot="1">
      <c r="A11" s="280">
        <f t="shared" si="0"/>
        <v>10</v>
      </c>
      <c r="B11" s="72" t="s">
        <v>182</v>
      </c>
      <c r="C11" s="286"/>
      <c r="D11" s="49">
        <f>SUM(E11:J11)</f>
        <v>0</v>
      </c>
      <c r="E11" s="49"/>
      <c r="F11" s="3"/>
      <c r="G11" s="3"/>
      <c r="H11" s="3"/>
      <c r="I11" s="3"/>
      <c r="J11" s="3"/>
    </row>
    <row r="12" spans="1:10" ht="16.5" thickTop="1">
      <c r="A12" s="280">
        <f t="shared" si="0"/>
        <v>11</v>
      </c>
      <c r="B12" s="34" t="s">
        <v>13</v>
      </c>
      <c r="C12" s="282" t="s">
        <v>346</v>
      </c>
      <c r="D12" s="29">
        <f aca="true" t="shared" si="1" ref="D12:J12">SUM(D7:D11)</f>
        <v>-88400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-88400</v>
      </c>
    </row>
    <row r="13" spans="1:4" ht="15.75">
      <c r="A13" s="280">
        <f t="shared" si="0"/>
        <v>12</v>
      </c>
      <c r="B13" s="180"/>
      <c r="C13" s="285"/>
      <c r="D13" s="83"/>
    </row>
    <row r="14" spans="1:4" ht="15.75">
      <c r="A14" s="280">
        <f t="shared" si="0"/>
        <v>13</v>
      </c>
      <c r="B14" s="73" t="s">
        <v>14</v>
      </c>
      <c r="C14" s="283"/>
      <c r="D14" s="109"/>
    </row>
    <row r="15" spans="1:10" ht="15.75">
      <c r="A15" s="280">
        <f t="shared" si="0"/>
        <v>14</v>
      </c>
      <c r="B15" s="75" t="s">
        <v>15</v>
      </c>
      <c r="C15" s="283"/>
      <c r="D15" s="49">
        <f aca="true" t="shared" si="2" ref="D15:D41">SUM(E15:J15)</f>
        <v>0</v>
      </c>
      <c r="E15" s="49"/>
      <c r="F15" s="49"/>
      <c r="G15" s="49"/>
      <c r="H15" s="49"/>
      <c r="I15" s="49"/>
      <c r="J15" s="49"/>
    </row>
    <row r="16" spans="1:10" ht="15.75">
      <c r="A16" s="280">
        <f t="shared" si="0"/>
        <v>15</v>
      </c>
      <c r="B16" s="75" t="s">
        <v>16</v>
      </c>
      <c r="C16" s="283"/>
      <c r="D16" s="49">
        <f t="shared" si="2"/>
        <v>0</v>
      </c>
      <c r="E16" s="49"/>
      <c r="F16" s="49"/>
      <c r="G16" s="49"/>
      <c r="H16" s="49"/>
      <c r="I16" s="49"/>
      <c r="J16" s="49"/>
    </row>
    <row r="17" spans="1:10" ht="15.75">
      <c r="A17" s="280">
        <f t="shared" si="0"/>
        <v>16</v>
      </c>
      <c r="B17" s="75" t="s">
        <v>388</v>
      </c>
      <c r="C17" s="283"/>
      <c r="D17" s="49">
        <f t="shared" si="2"/>
        <v>0</v>
      </c>
      <c r="E17" s="49"/>
      <c r="F17" s="49"/>
      <c r="G17" s="49"/>
      <c r="H17" s="49"/>
      <c r="I17" s="49"/>
      <c r="J17" s="49"/>
    </row>
    <row r="18" spans="1:10" ht="15.75">
      <c r="A18" s="280">
        <f t="shared" si="0"/>
        <v>17</v>
      </c>
      <c r="B18" s="75" t="s">
        <v>17</v>
      </c>
      <c r="C18" s="283"/>
      <c r="D18" s="49">
        <f t="shared" si="2"/>
        <v>0</v>
      </c>
      <c r="E18" s="49"/>
      <c r="F18" s="49"/>
      <c r="G18" s="49"/>
      <c r="H18" s="49"/>
      <c r="I18" s="49"/>
      <c r="J18" s="49"/>
    </row>
    <row r="19" spans="1:10" ht="15.75">
      <c r="A19" s="280">
        <f t="shared" si="0"/>
        <v>18</v>
      </c>
      <c r="B19" s="75" t="s">
        <v>100</v>
      </c>
      <c r="C19" s="283"/>
      <c r="D19" s="49">
        <f t="shared" si="2"/>
        <v>0</v>
      </c>
      <c r="E19" s="49"/>
      <c r="F19" s="49"/>
      <c r="G19" s="49"/>
      <c r="H19" s="49"/>
      <c r="I19" s="49"/>
      <c r="J19" s="49"/>
    </row>
    <row r="20" spans="1:10" ht="15.75">
      <c r="A20" s="280">
        <f t="shared" si="0"/>
        <v>19</v>
      </c>
      <c r="B20" s="119" t="s">
        <v>18</v>
      </c>
      <c r="C20" s="287"/>
      <c r="D20" s="49">
        <f t="shared" si="2"/>
        <v>0</v>
      </c>
      <c r="E20" s="49"/>
      <c r="F20" s="49"/>
      <c r="G20" s="49"/>
      <c r="H20" s="49"/>
      <c r="I20" s="49"/>
      <c r="J20" s="49"/>
    </row>
    <row r="21" spans="1:10" ht="15.75">
      <c r="A21" s="280">
        <f t="shared" si="0"/>
        <v>20</v>
      </c>
      <c r="B21" s="75" t="s">
        <v>93</v>
      </c>
      <c r="C21" s="283"/>
      <c r="D21" s="49">
        <f t="shared" si="2"/>
        <v>0</v>
      </c>
      <c r="E21" s="49"/>
      <c r="F21" s="49"/>
      <c r="G21" s="49"/>
      <c r="H21" s="49"/>
      <c r="I21" s="49"/>
      <c r="J21" s="49"/>
    </row>
    <row r="22" spans="1:10" ht="15.75">
      <c r="A22" s="280">
        <f t="shared" si="0"/>
        <v>21</v>
      </c>
      <c r="B22" s="75" t="s">
        <v>76</v>
      </c>
      <c r="C22" s="283"/>
      <c r="D22" s="49">
        <f t="shared" si="2"/>
        <v>0</v>
      </c>
      <c r="E22" s="49"/>
      <c r="F22" s="49"/>
      <c r="G22" s="49"/>
      <c r="H22" s="49"/>
      <c r="I22" s="49"/>
      <c r="J22" s="49"/>
    </row>
    <row r="23" spans="1:10" ht="15.75">
      <c r="A23" s="280">
        <f t="shared" si="0"/>
        <v>22</v>
      </c>
      <c r="B23" s="75" t="s">
        <v>19</v>
      </c>
      <c r="C23" s="283"/>
      <c r="D23" s="49">
        <f t="shared" si="2"/>
        <v>0</v>
      </c>
      <c r="E23" s="49"/>
      <c r="F23" s="49"/>
      <c r="G23" s="49"/>
      <c r="H23" s="49"/>
      <c r="I23" s="49"/>
      <c r="J23" s="49"/>
    </row>
    <row r="24" spans="1:10" ht="15.75">
      <c r="A24" s="280">
        <f t="shared" si="0"/>
        <v>23</v>
      </c>
      <c r="B24" s="75" t="s">
        <v>94</v>
      </c>
      <c r="C24" s="283"/>
      <c r="D24" s="49">
        <f t="shared" si="2"/>
        <v>0</v>
      </c>
      <c r="E24" s="49"/>
      <c r="F24" s="49"/>
      <c r="G24" s="49"/>
      <c r="H24" s="49"/>
      <c r="I24" s="49"/>
      <c r="J24" s="49"/>
    </row>
    <row r="25" spans="1:10" ht="15.75">
      <c r="A25" s="280">
        <f t="shared" si="0"/>
        <v>24</v>
      </c>
      <c r="B25" s="75" t="s">
        <v>101</v>
      </c>
      <c r="C25" s="283"/>
      <c r="D25" s="49">
        <f t="shared" si="2"/>
        <v>0</v>
      </c>
      <c r="E25" s="49"/>
      <c r="F25" s="49"/>
      <c r="G25" s="49"/>
      <c r="H25" s="49"/>
      <c r="I25" s="49"/>
      <c r="J25" s="49"/>
    </row>
    <row r="26" spans="1:10" ht="15.75">
      <c r="A26" s="280">
        <f t="shared" si="0"/>
        <v>25</v>
      </c>
      <c r="B26" s="119" t="s">
        <v>20</v>
      </c>
      <c r="C26" s="287"/>
      <c r="D26" s="49">
        <f t="shared" si="2"/>
        <v>0</v>
      </c>
      <c r="E26" s="49"/>
      <c r="F26" s="49"/>
      <c r="G26" s="49"/>
      <c r="H26" s="49"/>
      <c r="I26" s="49"/>
      <c r="J26" s="49"/>
    </row>
    <row r="27" spans="1:10" ht="15.75">
      <c r="A27" s="280">
        <f t="shared" si="0"/>
        <v>26</v>
      </c>
      <c r="B27" s="75" t="s">
        <v>170</v>
      </c>
      <c r="C27" s="283"/>
      <c r="D27" s="49">
        <f t="shared" si="2"/>
        <v>0</v>
      </c>
      <c r="E27" s="49"/>
      <c r="F27" s="49"/>
      <c r="G27" s="49"/>
      <c r="H27" s="49"/>
      <c r="I27" s="49"/>
      <c r="J27" s="49"/>
    </row>
    <row r="28" spans="1:10" ht="15.75">
      <c r="A28" s="280">
        <f t="shared" si="0"/>
        <v>27</v>
      </c>
      <c r="B28" s="75" t="s">
        <v>95</v>
      </c>
      <c r="C28" s="283"/>
      <c r="D28" s="49">
        <f t="shared" si="2"/>
        <v>0</v>
      </c>
      <c r="E28" s="49"/>
      <c r="F28" s="49"/>
      <c r="G28" s="49"/>
      <c r="H28" s="49"/>
      <c r="I28" s="49"/>
      <c r="J28" s="49"/>
    </row>
    <row r="29" spans="1:10" ht="15.75">
      <c r="A29" s="280">
        <f t="shared" si="0"/>
        <v>28</v>
      </c>
      <c r="B29" s="75" t="s">
        <v>357</v>
      </c>
      <c r="C29" s="283"/>
      <c r="D29" s="49">
        <f t="shared" si="2"/>
        <v>-176.8</v>
      </c>
      <c r="E29" s="49"/>
      <c r="F29" s="49"/>
      <c r="G29" s="49"/>
      <c r="H29" s="49"/>
      <c r="I29" s="49"/>
      <c r="J29" s="49">
        <f>+ROR!S30</f>
        <v>-176.8</v>
      </c>
    </row>
    <row r="30" spans="1:10" ht="15.75">
      <c r="A30" s="280">
        <f t="shared" si="0"/>
        <v>29</v>
      </c>
      <c r="B30" s="75" t="s">
        <v>96</v>
      </c>
      <c r="C30" s="283"/>
      <c r="D30" s="49">
        <f t="shared" si="2"/>
        <v>0</v>
      </c>
      <c r="E30" s="49"/>
      <c r="F30" s="49"/>
      <c r="G30" s="49"/>
      <c r="H30" s="49"/>
      <c r="I30" s="49"/>
      <c r="J30" s="49"/>
    </row>
    <row r="31" spans="1:10" ht="15.75">
      <c r="A31" s="280">
        <f t="shared" si="0"/>
        <v>30</v>
      </c>
      <c r="B31" s="75" t="s">
        <v>223</v>
      </c>
      <c r="C31" s="283"/>
      <c r="D31" s="49">
        <f t="shared" si="2"/>
        <v>0</v>
      </c>
      <c r="E31" s="49"/>
      <c r="F31" s="49"/>
      <c r="G31" s="49"/>
      <c r="H31" s="49"/>
      <c r="I31" s="49"/>
      <c r="J31" s="49"/>
    </row>
    <row r="32" spans="1:10" ht="15.75">
      <c r="A32" s="280">
        <f t="shared" si="0"/>
        <v>31</v>
      </c>
      <c r="B32" s="75" t="s">
        <v>97</v>
      </c>
      <c r="C32" s="283"/>
      <c r="D32" s="49">
        <f t="shared" si="2"/>
        <v>0</v>
      </c>
      <c r="E32" s="49"/>
      <c r="F32" s="49"/>
      <c r="G32" s="49"/>
      <c r="H32" s="49"/>
      <c r="I32" s="49"/>
      <c r="J32" s="49"/>
    </row>
    <row r="33" spans="1:10" ht="15.75">
      <c r="A33" s="280">
        <f t="shared" si="0"/>
        <v>32</v>
      </c>
      <c r="B33" s="119" t="s">
        <v>98</v>
      </c>
      <c r="C33" s="287"/>
      <c r="D33" s="49">
        <f t="shared" si="2"/>
        <v>0</v>
      </c>
      <c r="E33" s="49"/>
      <c r="F33" s="49"/>
      <c r="G33" s="49"/>
      <c r="H33" s="49"/>
      <c r="I33" s="49"/>
      <c r="J33" s="49"/>
    </row>
    <row r="34" spans="1:10" ht="15.75">
      <c r="A34" s="280">
        <f t="shared" si="0"/>
        <v>33</v>
      </c>
      <c r="B34" s="75" t="s">
        <v>81</v>
      </c>
      <c r="C34" s="283"/>
      <c r="D34" s="49">
        <f t="shared" si="2"/>
        <v>0</v>
      </c>
      <c r="E34" s="49"/>
      <c r="F34" s="49"/>
      <c r="G34" s="49"/>
      <c r="H34" s="49"/>
      <c r="I34" s="49"/>
      <c r="J34" s="49"/>
    </row>
    <row r="35" spans="1:10" ht="15.75">
      <c r="A35" s="280">
        <f aca="true" t="shared" si="3" ref="A35:A61">1+A34</f>
        <v>34</v>
      </c>
      <c r="B35" s="75" t="s">
        <v>21</v>
      </c>
      <c r="C35" s="283"/>
      <c r="D35" s="49">
        <f t="shared" si="2"/>
        <v>0</v>
      </c>
      <c r="E35" s="49"/>
      <c r="F35" s="49"/>
      <c r="G35" s="49"/>
      <c r="H35" s="49"/>
      <c r="I35" s="49"/>
      <c r="J35" s="49"/>
    </row>
    <row r="36" spans="1:10" ht="15.75">
      <c r="A36" s="280">
        <f t="shared" si="3"/>
        <v>35</v>
      </c>
      <c r="B36" s="75" t="s">
        <v>171</v>
      </c>
      <c r="C36" s="283"/>
      <c r="D36" s="49">
        <f t="shared" si="2"/>
        <v>0</v>
      </c>
      <c r="E36" s="49"/>
      <c r="F36" s="49"/>
      <c r="G36" s="49"/>
      <c r="H36" s="49"/>
      <c r="I36" s="49"/>
      <c r="J36" s="49"/>
    </row>
    <row r="37" spans="1:10" ht="15.75">
      <c r="A37" s="280">
        <f t="shared" si="3"/>
        <v>36</v>
      </c>
      <c r="B37" s="75" t="s">
        <v>99</v>
      </c>
      <c r="C37" s="283"/>
      <c r="D37" s="49">
        <f t="shared" si="2"/>
        <v>-4445.636</v>
      </c>
      <c r="E37" s="49"/>
      <c r="F37" s="49"/>
      <c r="G37" s="49"/>
      <c r="H37" s="49"/>
      <c r="I37" s="49"/>
      <c r="J37" s="49">
        <f>+ROR!S38</f>
        <v>-4445.636</v>
      </c>
    </row>
    <row r="38" spans="1:10" ht="15.75">
      <c r="A38" s="280">
        <f t="shared" si="3"/>
        <v>37</v>
      </c>
      <c r="B38" s="75" t="s">
        <v>22</v>
      </c>
      <c r="C38" s="283"/>
      <c r="D38" s="49">
        <f t="shared" si="2"/>
        <v>0</v>
      </c>
      <c r="E38" s="49"/>
      <c r="F38" s="49"/>
      <c r="G38" s="49"/>
      <c r="H38" s="49"/>
      <c r="I38" s="49"/>
      <c r="J38" s="49"/>
    </row>
    <row r="39" spans="1:10" ht="15.75">
      <c r="A39" s="280">
        <f t="shared" si="3"/>
        <v>38</v>
      </c>
      <c r="B39" s="119" t="s">
        <v>387</v>
      </c>
      <c r="C39" s="287"/>
      <c r="D39" s="49">
        <f t="shared" si="2"/>
        <v>0</v>
      </c>
      <c r="E39" s="49"/>
      <c r="F39" s="49"/>
      <c r="G39" s="49"/>
      <c r="H39" s="49"/>
      <c r="I39" s="49"/>
      <c r="J39" s="49"/>
    </row>
    <row r="40" spans="1:10" ht="15.75">
      <c r="A40" s="280">
        <f t="shared" si="3"/>
        <v>39</v>
      </c>
      <c r="B40" s="74" t="s">
        <v>23</v>
      </c>
      <c r="C40" s="286"/>
      <c r="D40" s="49">
        <f t="shared" si="2"/>
        <v>0</v>
      </c>
      <c r="E40" s="49"/>
      <c r="F40" s="49"/>
      <c r="G40" s="49"/>
      <c r="H40" s="49"/>
      <c r="I40" s="49"/>
      <c r="J40" s="49"/>
    </row>
    <row r="41" spans="1:10" ht="16.5" thickBot="1">
      <c r="A41" s="280">
        <f t="shared" si="3"/>
        <v>40</v>
      </c>
      <c r="B41" s="119" t="s">
        <v>187</v>
      </c>
      <c r="C41" s="287"/>
      <c r="D41" s="49">
        <f t="shared" si="2"/>
        <v>0</v>
      </c>
      <c r="E41" s="49"/>
      <c r="F41" s="49"/>
      <c r="G41" s="49"/>
      <c r="H41" s="49"/>
      <c r="I41" s="49"/>
      <c r="J41" s="49"/>
    </row>
    <row r="42" spans="1:10" ht="16.5" thickTop="1">
      <c r="A42" s="280">
        <f t="shared" si="3"/>
        <v>41</v>
      </c>
      <c r="B42" s="72" t="s">
        <v>24</v>
      </c>
      <c r="C42" s="282" t="s">
        <v>347</v>
      </c>
      <c r="D42" s="29">
        <f aca="true" t="shared" si="4" ref="D42:J42">SUM(D15:D41)</f>
        <v>-4622.436000000001</v>
      </c>
      <c r="E42" s="29">
        <f t="shared" si="4"/>
        <v>0</v>
      </c>
      <c r="F42" s="29">
        <f t="shared" si="4"/>
        <v>0</v>
      </c>
      <c r="G42" s="29">
        <f t="shared" si="4"/>
        <v>0</v>
      </c>
      <c r="H42" s="29">
        <f t="shared" si="4"/>
        <v>0</v>
      </c>
      <c r="I42" s="29">
        <f t="shared" si="4"/>
        <v>0</v>
      </c>
      <c r="J42" s="29">
        <f t="shared" si="4"/>
        <v>-4622.436000000001</v>
      </c>
    </row>
    <row r="43" spans="1:4" ht="15.75">
      <c r="A43" s="280">
        <f t="shared" si="3"/>
        <v>42</v>
      </c>
      <c r="B43" s="74"/>
      <c r="C43" s="286"/>
      <c r="D43" s="48"/>
    </row>
    <row r="44" spans="1:10" ht="15.75">
      <c r="A44" s="280">
        <f t="shared" si="3"/>
        <v>43</v>
      </c>
      <c r="B44" s="34" t="s">
        <v>73</v>
      </c>
      <c r="C44" s="282" t="s">
        <v>348</v>
      </c>
      <c r="D44" s="49">
        <f>+D12-D42</f>
        <v>-83777.564</v>
      </c>
      <c r="E44" s="49">
        <f>+E12-E42</f>
        <v>0</v>
      </c>
      <c r="F44" s="49">
        <f>+F12-F42</f>
        <v>0</v>
      </c>
      <c r="G44" s="49">
        <f>+G12-G42</f>
        <v>0</v>
      </c>
      <c r="H44" s="49">
        <f>+H45</f>
        <v>0</v>
      </c>
      <c r="I44" s="49">
        <f>+I12-I42</f>
        <v>0</v>
      </c>
      <c r="J44" s="49">
        <f>+J12-J42</f>
        <v>-83777.564</v>
      </c>
    </row>
    <row r="45" spans="1:10" ht="15.75">
      <c r="A45" s="280">
        <f t="shared" si="3"/>
        <v>44</v>
      </c>
      <c r="B45" s="34" t="s">
        <v>72</v>
      </c>
      <c r="C45" s="282"/>
      <c r="D45" s="49">
        <f>SUM(E45:J45)</f>
        <v>0</v>
      </c>
      <c r="E45" s="49"/>
      <c r="F45" s="49"/>
      <c r="G45" s="49"/>
      <c r="H45" s="49"/>
      <c r="I45" s="49"/>
      <c r="J45" s="49"/>
    </row>
    <row r="46" spans="1:10" ht="15.75">
      <c r="A46" s="280">
        <f t="shared" si="3"/>
        <v>45</v>
      </c>
      <c r="B46" s="34" t="s">
        <v>343</v>
      </c>
      <c r="C46" s="323">
        <v>0.15</v>
      </c>
      <c r="D46" s="49">
        <f aca="true" t="shared" si="5" ref="D46:J46">+D44*$C46</f>
        <v>-12566.6346</v>
      </c>
      <c r="E46" s="49">
        <f t="shared" si="5"/>
        <v>0</v>
      </c>
      <c r="F46" s="49">
        <f t="shared" si="5"/>
        <v>0</v>
      </c>
      <c r="G46" s="49">
        <f t="shared" si="5"/>
        <v>0</v>
      </c>
      <c r="H46" s="49">
        <f t="shared" si="5"/>
        <v>0</v>
      </c>
      <c r="I46" s="49">
        <f t="shared" si="5"/>
        <v>0</v>
      </c>
      <c r="J46" s="49">
        <f t="shared" si="5"/>
        <v>-12566.6346</v>
      </c>
    </row>
    <row r="47" spans="1:10" ht="16.5" thickBot="1">
      <c r="A47" s="280">
        <f t="shared" si="3"/>
        <v>46</v>
      </c>
      <c r="B47" s="34" t="s">
        <v>70</v>
      </c>
      <c r="C47" s="282" t="s">
        <v>415</v>
      </c>
      <c r="D47" s="49">
        <f aca="true" t="shared" si="6" ref="D47:J47">+D46+D45+D42</f>
        <v>-17189.0706</v>
      </c>
      <c r="E47" s="49">
        <f t="shared" si="6"/>
        <v>0</v>
      </c>
      <c r="F47" s="49">
        <f t="shared" si="6"/>
        <v>0</v>
      </c>
      <c r="G47" s="49">
        <f t="shared" si="6"/>
        <v>0</v>
      </c>
      <c r="H47" s="49">
        <f t="shared" si="6"/>
        <v>0</v>
      </c>
      <c r="I47" s="49">
        <f t="shared" si="6"/>
        <v>0</v>
      </c>
      <c r="J47" s="49">
        <f t="shared" si="6"/>
        <v>-17189.0706</v>
      </c>
    </row>
    <row r="48" spans="1:10" ht="16.5" thickTop="1">
      <c r="A48" s="280">
        <f t="shared" si="3"/>
        <v>47</v>
      </c>
      <c r="B48" s="34" t="s">
        <v>71</v>
      </c>
      <c r="C48" s="282" t="s">
        <v>350</v>
      </c>
      <c r="D48" s="29">
        <f aca="true" t="shared" si="7" ref="D48:J48">+D12-D47</f>
        <v>-71210.9294</v>
      </c>
      <c r="E48" s="29">
        <f t="shared" si="7"/>
        <v>0</v>
      </c>
      <c r="F48" s="29">
        <f t="shared" si="7"/>
        <v>0</v>
      </c>
      <c r="G48" s="29">
        <f t="shared" si="7"/>
        <v>0</v>
      </c>
      <c r="H48" s="29">
        <f t="shared" si="7"/>
        <v>0</v>
      </c>
      <c r="I48" s="29">
        <f t="shared" si="7"/>
        <v>0</v>
      </c>
      <c r="J48" s="29">
        <f t="shared" si="7"/>
        <v>-71210.9294</v>
      </c>
    </row>
    <row r="49" spans="1:10" ht="15.75">
      <c r="A49" s="280">
        <f t="shared" si="3"/>
        <v>48</v>
      </c>
      <c r="B49" s="34" t="s">
        <v>102</v>
      </c>
      <c r="C49" s="282" t="s">
        <v>351</v>
      </c>
      <c r="D49" s="30">
        <f aca="true" t="shared" si="8" ref="D49:J49">+D48+D45</f>
        <v>-71210.9294</v>
      </c>
      <c r="E49" s="30">
        <f t="shared" si="8"/>
        <v>0</v>
      </c>
      <c r="F49" s="30">
        <f t="shared" si="8"/>
        <v>0</v>
      </c>
      <c r="G49" s="30">
        <f t="shared" si="8"/>
        <v>0</v>
      </c>
      <c r="H49" s="30">
        <f t="shared" si="8"/>
        <v>0</v>
      </c>
      <c r="I49" s="30">
        <f t="shared" si="8"/>
        <v>0</v>
      </c>
      <c r="J49" s="30">
        <f t="shared" si="8"/>
        <v>-71210.9294</v>
      </c>
    </row>
    <row r="50" spans="1:4" ht="15.75">
      <c r="A50" s="280">
        <f t="shared" si="3"/>
        <v>49</v>
      </c>
      <c r="B50" s="34"/>
      <c r="C50" s="282"/>
      <c r="D50" s="82"/>
    </row>
    <row r="51" spans="1:4" ht="15.75">
      <c r="A51" s="280">
        <f t="shared" si="3"/>
        <v>50</v>
      </c>
      <c r="B51" s="39" t="s">
        <v>79</v>
      </c>
      <c r="C51" s="282"/>
      <c r="D51" s="28"/>
    </row>
    <row r="52" spans="1:10" ht="15.75">
      <c r="A52" s="280">
        <f t="shared" si="3"/>
        <v>51</v>
      </c>
      <c r="B52" s="34" t="s">
        <v>175</v>
      </c>
      <c r="C52" s="282"/>
      <c r="D52" s="49">
        <f aca="true" t="shared" si="9" ref="D52:D57">SUM(E52:J52)</f>
        <v>-397324.3249999997</v>
      </c>
      <c r="E52" s="49">
        <f>+ROR!J53</f>
        <v>25100.67500000028</v>
      </c>
      <c r="F52" s="49"/>
      <c r="G52" s="49">
        <f>+ROR!O53</f>
        <v>-216350</v>
      </c>
      <c r="H52" s="49">
        <f>+ROR!Q53</f>
        <v>-206075</v>
      </c>
      <c r="I52" s="49"/>
      <c r="J52" s="49"/>
    </row>
    <row r="53" spans="1:10" ht="15.75">
      <c r="A53" s="280">
        <f t="shared" si="3"/>
        <v>52</v>
      </c>
      <c r="B53" s="51" t="s">
        <v>172</v>
      </c>
      <c r="C53" s="288"/>
      <c r="D53" s="49">
        <f t="shared" si="9"/>
        <v>33044.399999999965</v>
      </c>
      <c r="E53" s="49">
        <f>+ROR!J54</f>
        <v>33044.399999999965</v>
      </c>
      <c r="F53" s="49"/>
      <c r="G53" s="49"/>
      <c r="H53" s="49"/>
      <c r="I53" s="49"/>
      <c r="J53" s="49"/>
    </row>
    <row r="54" spans="1:10" ht="15.75">
      <c r="A54" s="280">
        <f t="shared" si="3"/>
        <v>53</v>
      </c>
      <c r="B54" s="75" t="s">
        <v>224</v>
      </c>
      <c r="C54" s="283"/>
      <c r="D54" s="49">
        <f t="shared" si="9"/>
        <v>62556.55</v>
      </c>
      <c r="E54" s="49"/>
      <c r="F54" s="49"/>
      <c r="G54" s="49"/>
      <c r="H54" s="49"/>
      <c r="I54" s="49">
        <f>+ROR!J55</f>
        <v>62556.55</v>
      </c>
      <c r="J54" s="49"/>
    </row>
    <row r="55" spans="1:10" ht="15.75">
      <c r="A55" s="280">
        <f t="shared" si="3"/>
        <v>54</v>
      </c>
      <c r="B55" s="34" t="s">
        <v>189</v>
      </c>
      <c r="C55" s="282"/>
      <c r="D55" s="49">
        <f t="shared" si="9"/>
        <v>-2546.8600000000006</v>
      </c>
      <c r="E55" s="49">
        <f>+ROR!J56</f>
        <v>-2546.8600000000006</v>
      </c>
      <c r="F55" s="49"/>
      <c r="G55" s="49"/>
      <c r="H55" s="49"/>
      <c r="I55" s="49"/>
      <c r="J55" s="49"/>
    </row>
    <row r="56" spans="1:10" ht="15.75">
      <c r="A56" s="280">
        <f t="shared" si="3"/>
        <v>55</v>
      </c>
      <c r="B56" s="34" t="s">
        <v>27</v>
      </c>
      <c r="C56" s="282"/>
      <c r="D56" s="49">
        <f t="shared" si="9"/>
        <v>-234016.34999999992</v>
      </c>
      <c r="E56" s="49">
        <f>+ROR!J57</f>
        <v>33644.71000000008</v>
      </c>
      <c r="F56" s="49">
        <f>+ROR!M57</f>
        <v>-267661.06</v>
      </c>
      <c r="G56" s="49"/>
      <c r="H56" s="49"/>
      <c r="I56" s="49"/>
      <c r="J56" s="49"/>
    </row>
    <row r="57" spans="1:10" ht="16.5" thickBot="1">
      <c r="A57" s="280">
        <f t="shared" si="3"/>
        <v>56</v>
      </c>
      <c r="B57" s="34" t="s">
        <v>173</v>
      </c>
      <c r="C57" s="282"/>
      <c r="D57" s="49">
        <f t="shared" si="9"/>
        <v>-10755.800000000003</v>
      </c>
      <c r="E57" s="49">
        <f>+ROR!J58</f>
        <v>-10755.800000000003</v>
      </c>
      <c r="F57" s="49"/>
      <c r="G57" s="49"/>
      <c r="H57" s="49"/>
      <c r="I57" s="49"/>
      <c r="J57" s="49"/>
    </row>
    <row r="58" spans="1:10" ht="16.5" thickTop="1">
      <c r="A58" s="280">
        <f t="shared" si="3"/>
        <v>57</v>
      </c>
      <c r="B58" s="137" t="s">
        <v>174</v>
      </c>
      <c r="C58" s="282" t="s">
        <v>416</v>
      </c>
      <c r="D58" s="29">
        <f aca="true" t="shared" si="10" ref="D58:J58">SUM(D52:D57)</f>
        <v>-549042.3849999998</v>
      </c>
      <c r="E58" s="29">
        <f t="shared" si="10"/>
        <v>78487.12500000032</v>
      </c>
      <c r="F58" s="29">
        <f t="shared" si="10"/>
        <v>-267661.06</v>
      </c>
      <c r="G58" s="29">
        <f t="shared" si="10"/>
        <v>-216350</v>
      </c>
      <c r="H58" s="29">
        <f t="shared" si="10"/>
        <v>-206075</v>
      </c>
      <c r="I58" s="29">
        <f t="shared" si="10"/>
        <v>62556.55</v>
      </c>
      <c r="J58" s="29">
        <f t="shared" si="10"/>
        <v>0</v>
      </c>
    </row>
    <row r="59" spans="1:10" ht="15.75">
      <c r="A59" s="280">
        <f t="shared" si="3"/>
        <v>58</v>
      </c>
      <c r="B59" s="179"/>
      <c r="C59" s="289"/>
      <c r="D59" s="31"/>
      <c r="E59" s="12"/>
      <c r="F59" s="12"/>
      <c r="G59" s="12"/>
      <c r="H59" s="12"/>
      <c r="I59" s="12"/>
      <c r="J59" s="12"/>
    </row>
    <row r="60" spans="1:10" ht="16.5">
      <c r="A60" s="280">
        <f t="shared" si="3"/>
        <v>59</v>
      </c>
      <c r="B60" s="300" t="s">
        <v>344</v>
      </c>
      <c r="C60" s="282"/>
      <c r="D60" s="33"/>
      <c r="E60" s="12" t="s">
        <v>439</v>
      </c>
      <c r="F60" s="12" t="s">
        <v>439</v>
      </c>
      <c r="G60" s="12" t="s">
        <v>440</v>
      </c>
      <c r="H60" s="12" t="s">
        <v>440</v>
      </c>
      <c r="I60" s="12" t="s">
        <v>440</v>
      </c>
      <c r="J60" s="12"/>
    </row>
    <row r="61" spans="1:10" ht="15.75">
      <c r="A61" s="280">
        <f t="shared" si="3"/>
        <v>60</v>
      </c>
      <c r="B61" s="34" t="s">
        <v>349</v>
      </c>
      <c r="C61" s="282"/>
      <c r="D61" s="28"/>
      <c r="E61" s="170" t="s">
        <v>409</v>
      </c>
      <c r="F61" s="170" t="s">
        <v>410</v>
      </c>
      <c r="G61" s="170" t="s">
        <v>411</v>
      </c>
      <c r="H61" s="170" t="s">
        <v>412</v>
      </c>
      <c r="I61" s="170" t="s">
        <v>413</v>
      </c>
      <c r="J61" s="170"/>
    </row>
  </sheetData>
  <printOptions/>
  <pageMargins left="0.75" right="0.5" top="1" bottom="0.75" header="0.25" footer="0.5"/>
  <pageSetup fitToHeight="1" fitToWidth="1" horizontalDpi="600" verticalDpi="600" orientation="portrait" scale="70" r:id="rId1"/>
  <headerFooter alignWithMargins="0">
    <oddHeader>&amp;RStaff's Response to Bench Request No. 3 and No. 4
Docket No. UW-031284/UW-010961/UW-031596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RowColHeaders="0" zoomScale="75" zoomScaleNormal="75" workbookViewId="0" topLeftCell="A1">
      <selection activeCell="B4" sqref="B4"/>
    </sheetView>
  </sheetViews>
  <sheetFormatPr defaultColWidth="8.88671875" defaultRowHeight="15"/>
  <cols>
    <col min="1" max="1" width="3.10546875" style="271" bestFit="1" customWidth="1"/>
    <col min="2" max="2" width="41.10546875" style="271" bestFit="1" customWidth="1"/>
    <col min="3" max="3" width="9.88671875" style="272" bestFit="1" customWidth="1"/>
    <col min="4" max="4" width="7.21484375" style="275" bestFit="1" customWidth="1"/>
    <col min="5" max="5" width="7.77734375" style="271" customWidth="1"/>
    <col min="6" max="6" width="2.6640625" style="271" customWidth="1"/>
    <col min="7" max="16384" width="8.88671875" style="271" customWidth="1"/>
  </cols>
  <sheetData>
    <row r="1" spans="2:5" ht="18">
      <c r="B1" s="293" t="s">
        <v>299</v>
      </c>
      <c r="C1" s="293" t="s">
        <v>300</v>
      </c>
      <c r="D1" s="293" t="s">
        <v>301</v>
      </c>
      <c r="E1" s="293" t="s">
        <v>302</v>
      </c>
    </row>
    <row r="2" spans="1:2" ht="18">
      <c r="A2" s="302">
        <v>1</v>
      </c>
      <c r="B2" s="271" t="s">
        <v>91</v>
      </c>
    </row>
    <row r="3" spans="1:2" ht="18">
      <c r="A3" s="302">
        <f>1+A2</f>
        <v>2</v>
      </c>
      <c r="B3" s="271" t="s">
        <v>279</v>
      </c>
    </row>
    <row r="4" spans="1:2" ht="18">
      <c r="A4" s="302">
        <f aca="true" t="shared" si="0" ref="A4:A25">1+A3</f>
        <v>3</v>
      </c>
      <c r="B4" s="271" t="s">
        <v>422</v>
      </c>
    </row>
    <row r="5" spans="1:5" ht="18">
      <c r="A5" s="302">
        <f t="shared" si="0"/>
        <v>4</v>
      </c>
      <c r="B5" s="291"/>
      <c r="C5" s="273"/>
      <c r="D5" s="301"/>
      <c r="E5" s="291"/>
    </row>
    <row r="6" spans="1:5" ht="18">
      <c r="A6" s="302">
        <f t="shared" si="0"/>
        <v>5</v>
      </c>
      <c r="B6" s="293" t="s">
        <v>273</v>
      </c>
      <c r="C6" s="274" t="s">
        <v>274</v>
      </c>
      <c r="D6" s="293" t="s">
        <v>280</v>
      </c>
      <c r="E6" s="293"/>
    </row>
    <row r="7" spans="1:5" ht="18">
      <c r="A7" s="302">
        <f t="shared" si="0"/>
        <v>6</v>
      </c>
      <c r="B7" s="291"/>
      <c r="C7" s="273"/>
      <c r="D7" s="276"/>
      <c r="E7" s="292"/>
    </row>
    <row r="8" spans="1:5" ht="18">
      <c r="A8" s="302">
        <f t="shared" si="0"/>
        <v>7</v>
      </c>
      <c r="B8" s="291" t="s">
        <v>281</v>
      </c>
      <c r="C8" s="273"/>
      <c r="D8" s="276"/>
      <c r="E8" s="294">
        <v>1</v>
      </c>
    </row>
    <row r="9" spans="1:5" ht="18">
      <c r="A9" s="302">
        <f t="shared" si="0"/>
        <v>8</v>
      </c>
      <c r="B9" s="291"/>
      <c r="C9" s="273"/>
      <c r="D9" s="276"/>
      <c r="E9" s="292"/>
    </row>
    <row r="10" spans="1:5" ht="18">
      <c r="A10" s="302">
        <f t="shared" si="0"/>
        <v>9</v>
      </c>
      <c r="B10" s="291" t="s">
        <v>282</v>
      </c>
      <c r="C10" s="273"/>
      <c r="D10" s="276"/>
      <c r="E10" s="292"/>
    </row>
    <row r="11" spans="1:5" ht="18">
      <c r="A11" s="302">
        <f t="shared" si="0"/>
        <v>10</v>
      </c>
      <c r="B11" s="291" t="s">
        <v>283</v>
      </c>
      <c r="C11" s="273"/>
      <c r="D11" s="277"/>
      <c r="E11" s="295"/>
    </row>
    <row r="12" spans="1:5" ht="18">
      <c r="A12" s="302">
        <f t="shared" si="0"/>
        <v>11</v>
      </c>
      <c r="B12" s="291" t="s">
        <v>284</v>
      </c>
      <c r="C12" s="273" t="s">
        <v>278</v>
      </c>
      <c r="D12" s="278">
        <v>0.0019</v>
      </c>
      <c r="E12" s="296">
        <f>D12*E8</f>
        <v>0.0019</v>
      </c>
    </row>
    <row r="13" spans="1:5" ht="18">
      <c r="A13" s="302">
        <f t="shared" si="0"/>
        <v>12</v>
      </c>
      <c r="B13" s="291" t="s">
        <v>290</v>
      </c>
      <c r="C13" s="273" t="s">
        <v>278</v>
      </c>
      <c r="D13" s="278">
        <v>0.050290000000000015</v>
      </c>
      <c r="E13" s="296">
        <f>D13*E8</f>
        <v>0.050290000000000015</v>
      </c>
    </row>
    <row r="14" spans="1:5" ht="18">
      <c r="A14" s="302">
        <f t="shared" si="0"/>
        <v>13</v>
      </c>
      <c r="B14" s="291"/>
      <c r="C14" s="273"/>
      <c r="D14" s="277"/>
      <c r="E14" s="295"/>
    </row>
    <row r="15" spans="1:5" ht="18">
      <c r="A15" s="302">
        <f t="shared" si="0"/>
        <v>14</v>
      </c>
      <c r="B15" s="291" t="s">
        <v>285</v>
      </c>
      <c r="C15" s="273" t="s">
        <v>425</v>
      </c>
      <c r="D15" s="277"/>
      <c r="E15" s="297">
        <f>SUM(E12:E13)</f>
        <v>0.052190000000000014</v>
      </c>
    </row>
    <row r="16" spans="1:5" ht="18">
      <c r="A16" s="302">
        <f t="shared" si="0"/>
        <v>15</v>
      </c>
      <c r="B16" s="291"/>
      <c r="C16" s="273"/>
      <c r="D16" s="277"/>
      <c r="E16" s="296"/>
    </row>
    <row r="17" spans="1:5" ht="18">
      <c r="A17" s="302">
        <f t="shared" si="0"/>
        <v>16</v>
      </c>
      <c r="B17" s="298" t="s">
        <v>286</v>
      </c>
      <c r="C17" s="273" t="s">
        <v>426</v>
      </c>
      <c r="D17" s="277"/>
      <c r="E17" s="297">
        <f>E8-E15</f>
        <v>0.94781</v>
      </c>
    </row>
    <row r="18" spans="1:5" ht="18">
      <c r="A18" s="302">
        <f t="shared" si="0"/>
        <v>17</v>
      </c>
      <c r="B18" s="291"/>
      <c r="C18" s="273"/>
      <c r="D18" s="277"/>
      <c r="E18" s="296"/>
    </row>
    <row r="19" spans="1:5" ht="18">
      <c r="A19" s="302">
        <f t="shared" si="0"/>
        <v>18</v>
      </c>
      <c r="B19" s="298" t="s">
        <v>287</v>
      </c>
      <c r="C19" s="273" t="s">
        <v>423</v>
      </c>
      <c r="D19" s="277">
        <v>0.15</v>
      </c>
      <c r="E19" s="296">
        <f>E17*D19</f>
        <v>0.1421715</v>
      </c>
    </row>
    <row r="20" spans="1:5" ht="18">
      <c r="A20" s="302">
        <f t="shared" si="0"/>
        <v>19</v>
      </c>
      <c r="B20" s="291"/>
      <c r="C20" s="273"/>
      <c r="D20" s="277"/>
      <c r="E20" s="296"/>
    </row>
    <row r="21" spans="1:5" ht="18">
      <c r="A21" s="302">
        <f t="shared" si="0"/>
        <v>20</v>
      </c>
      <c r="B21" s="291" t="s">
        <v>288</v>
      </c>
      <c r="C21" s="273" t="s">
        <v>427</v>
      </c>
      <c r="D21" s="277"/>
      <c r="E21" s="297">
        <f>E17-E19</f>
        <v>0.8056385</v>
      </c>
    </row>
    <row r="22" spans="1:5" ht="18">
      <c r="A22" s="302">
        <f t="shared" si="0"/>
        <v>21</v>
      </c>
      <c r="B22" s="291"/>
      <c r="C22" s="273"/>
      <c r="D22" s="277"/>
      <c r="E22" s="295"/>
    </row>
    <row r="23" spans="1:5" ht="18">
      <c r="A23" s="302">
        <f t="shared" si="0"/>
        <v>22</v>
      </c>
      <c r="B23" s="298" t="s">
        <v>289</v>
      </c>
      <c r="C23" s="273" t="s">
        <v>428</v>
      </c>
      <c r="D23" s="277"/>
      <c r="E23" s="299">
        <f>1/E21</f>
        <v>1.2412515042416667</v>
      </c>
    </row>
    <row r="24" spans="1:5" ht="18">
      <c r="A24" s="302">
        <f t="shared" si="0"/>
        <v>23</v>
      </c>
      <c r="B24" s="291"/>
      <c r="C24" s="273"/>
      <c r="D24" s="277"/>
      <c r="E24" s="295"/>
    </row>
    <row r="25" spans="1:5" ht="18">
      <c r="A25" s="302">
        <f t="shared" si="0"/>
        <v>24</v>
      </c>
      <c r="B25" s="300" t="s">
        <v>424</v>
      </c>
      <c r="C25" s="273"/>
      <c r="D25" s="276"/>
      <c r="E25" s="292"/>
    </row>
  </sheetData>
  <printOptions/>
  <pageMargins left="0.75" right="0.75" top="1.25" bottom="1" header="0.25" footer="0.5"/>
  <pageSetup horizontalDpi="600" verticalDpi="600" orientation="portrait" r:id="rId1"/>
  <headerFooter alignWithMargins="0">
    <oddHeader>&amp;RStaff's Response to Bench Request No. 5
Docket No. UW-031284/UW-010961/UW-031596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RowColHeaders="0" zoomScale="75" zoomScaleNormal="75" workbookViewId="0" topLeftCell="A1">
      <selection activeCell="B4" sqref="B4"/>
    </sheetView>
  </sheetViews>
  <sheetFormatPr defaultColWidth="8.88671875" defaultRowHeight="15"/>
  <cols>
    <col min="1" max="1" width="2.77734375" style="271" bestFit="1" customWidth="1"/>
    <col min="2" max="2" width="38.99609375" style="271" customWidth="1"/>
    <col min="3" max="3" width="11.88671875" style="272" bestFit="1" customWidth="1"/>
    <col min="4" max="4" width="8.99609375" style="271" bestFit="1" customWidth="1"/>
    <col min="5" max="5" width="7.10546875" style="271" customWidth="1"/>
    <col min="6" max="16384" width="8.88671875" style="271" customWidth="1"/>
  </cols>
  <sheetData>
    <row r="1" spans="2:4" ht="18">
      <c r="B1" s="293" t="s">
        <v>299</v>
      </c>
      <c r="C1" s="293" t="s">
        <v>300</v>
      </c>
      <c r="D1" s="293" t="s">
        <v>301</v>
      </c>
    </row>
    <row r="2" spans="1:2" ht="18">
      <c r="A2" s="302">
        <v>1</v>
      </c>
      <c r="B2" s="271" t="s">
        <v>91</v>
      </c>
    </row>
    <row r="3" spans="1:2" ht="18">
      <c r="A3" s="302">
        <f>1+A2</f>
        <v>2</v>
      </c>
      <c r="B3" s="271" t="s">
        <v>271</v>
      </c>
    </row>
    <row r="4" spans="1:2" ht="18">
      <c r="A4" s="302">
        <f aca="true" t="shared" si="0" ref="A4:A23">1+A3</f>
        <v>3</v>
      </c>
      <c r="B4" s="271" t="s">
        <v>325</v>
      </c>
    </row>
    <row r="5" spans="1:4" ht="18">
      <c r="A5" s="302">
        <f t="shared" si="0"/>
        <v>4</v>
      </c>
      <c r="B5" s="291"/>
      <c r="C5" s="273"/>
      <c r="D5" s="291" t="s">
        <v>272</v>
      </c>
    </row>
    <row r="6" spans="1:4" ht="18">
      <c r="A6" s="302">
        <f t="shared" si="0"/>
        <v>5</v>
      </c>
      <c r="B6" s="293" t="s">
        <v>336</v>
      </c>
      <c r="C6" s="274" t="s">
        <v>274</v>
      </c>
      <c r="D6" s="293" t="s">
        <v>275</v>
      </c>
    </row>
    <row r="7" spans="1:4" ht="18">
      <c r="A7" s="302">
        <f t="shared" si="0"/>
        <v>6</v>
      </c>
      <c r="B7" s="291"/>
      <c r="C7" s="273"/>
      <c r="D7" s="291"/>
    </row>
    <row r="8" spans="1:4" ht="18">
      <c r="A8" s="302">
        <f t="shared" si="0"/>
        <v>7</v>
      </c>
      <c r="B8" s="298" t="s">
        <v>331</v>
      </c>
      <c r="C8" s="273" t="s">
        <v>429</v>
      </c>
      <c r="D8" s="303">
        <f>+ROR!T59</f>
        <v>546513.7750000004</v>
      </c>
    </row>
    <row r="9" spans="1:4" ht="18">
      <c r="A9" s="302">
        <f t="shared" si="0"/>
        <v>8</v>
      </c>
      <c r="B9" s="298" t="s">
        <v>292</v>
      </c>
      <c r="C9" s="273" t="s">
        <v>430</v>
      </c>
      <c r="D9" s="304">
        <f>+Capital!H41</f>
        <v>0.10112307444006217</v>
      </c>
    </row>
    <row r="10" spans="1:4" ht="18">
      <c r="A10" s="302">
        <f t="shared" si="0"/>
        <v>9</v>
      </c>
      <c r="B10" s="298" t="s">
        <v>276</v>
      </c>
      <c r="C10" s="273" t="s">
        <v>324</v>
      </c>
      <c r="D10" s="307">
        <f>+D8*D9</f>
        <v>55265.153151844424</v>
      </c>
    </row>
    <row r="11" spans="1:4" ht="18">
      <c r="A11" s="302">
        <f t="shared" si="0"/>
        <v>10</v>
      </c>
      <c r="B11" s="298"/>
      <c r="C11" s="273"/>
      <c r="D11" s="305"/>
    </row>
    <row r="12" spans="1:5" ht="18">
      <c r="A12" s="302">
        <f t="shared" si="0"/>
        <v>11</v>
      </c>
      <c r="B12" s="298" t="s">
        <v>277</v>
      </c>
      <c r="C12" s="273" t="s">
        <v>431</v>
      </c>
      <c r="D12" s="303">
        <f>+ROR!K50</f>
        <v>208263.83669999999</v>
      </c>
      <c r="E12" s="279"/>
    </row>
    <row r="13" spans="1:5" ht="18">
      <c r="A13" s="302">
        <f t="shared" si="0"/>
        <v>12</v>
      </c>
      <c r="B13" s="298" t="s">
        <v>291</v>
      </c>
      <c r="C13" s="273" t="s">
        <v>432</v>
      </c>
      <c r="D13" s="303">
        <f>+ROR!S46</f>
        <v>-14044.042168178155</v>
      </c>
      <c r="E13" s="279"/>
    </row>
    <row r="14" spans="1:5" ht="18">
      <c r="A14" s="302">
        <f t="shared" si="0"/>
        <v>13</v>
      </c>
      <c r="B14" s="298" t="s">
        <v>333</v>
      </c>
      <c r="C14" s="273" t="s">
        <v>295</v>
      </c>
      <c r="D14" s="303"/>
      <c r="E14" s="279"/>
    </row>
    <row r="15" spans="1:5" ht="18">
      <c r="A15" s="302">
        <f t="shared" si="0"/>
        <v>14</v>
      </c>
      <c r="B15" s="298" t="s">
        <v>294</v>
      </c>
      <c r="C15" s="273" t="s">
        <v>296</v>
      </c>
      <c r="D15" s="303">
        <v>11462</v>
      </c>
      <c r="E15" s="279"/>
    </row>
    <row r="16" spans="1:5" ht="18.75" thickBot="1">
      <c r="A16" s="302">
        <f t="shared" si="0"/>
        <v>15</v>
      </c>
      <c r="B16" s="298" t="s">
        <v>334</v>
      </c>
      <c r="C16" s="273" t="s">
        <v>433</v>
      </c>
      <c r="D16" s="303">
        <v>-78976</v>
      </c>
      <c r="E16" s="279"/>
    </row>
    <row r="17" spans="1:6" ht="18">
      <c r="A17" s="302">
        <f t="shared" si="0"/>
        <v>16</v>
      </c>
      <c r="B17" s="291" t="s">
        <v>335</v>
      </c>
      <c r="C17" s="273" t="s">
        <v>329</v>
      </c>
      <c r="D17" s="309">
        <f>SUM(D12:D16)</f>
        <v>126705.79453182183</v>
      </c>
      <c r="F17" s="279"/>
    </row>
    <row r="18" spans="1:6" ht="18">
      <c r="A18" s="302">
        <f t="shared" si="0"/>
        <v>17</v>
      </c>
      <c r="B18" s="298" t="s">
        <v>293</v>
      </c>
      <c r="C18" s="273" t="s">
        <v>330</v>
      </c>
      <c r="D18" s="308">
        <f>+D10-D17</f>
        <v>-71440.6413799774</v>
      </c>
      <c r="E18" s="279"/>
      <c r="F18" s="279"/>
    </row>
    <row r="19" spans="1:4" ht="18">
      <c r="A19" s="302">
        <f t="shared" si="0"/>
        <v>18</v>
      </c>
      <c r="B19" s="298"/>
      <c r="C19" s="273"/>
      <c r="D19" s="303"/>
    </row>
    <row r="20" spans="1:4" ht="18">
      <c r="A20" s="302">
        <f t="shared" si="0"/>
        <v>19</v>
      </c>
      <c r="B20" s="298" t="s">
        <v>327</v>
      </c>
      <c r="C20" s="273" t="s">
        <v>434</v>
      </c>
      <c r="D20" s="306">
        <f>+NtG!E23</f>
        <v>1.2412515042416667</v>
      </c>
    </row>
    <row r="21" spans="1:5" ht="18">
      <c r="A21" s="302">
        <f t="shared" si="0"/>
        <v>20</v>
      </c>
      <c r="B21" s="298" t="s">
        <v>326</v>
      </c>
      <c r="C21" s="273" t="s">
        <v>328</v>
      </c>
      <c r="D21" s="308">
        <f>+D20*D18</f>
        <v>-88675.8035768864</v>
      </c>
      <c r="E21" s="279"/>
    </row>
    <row r="22" spans="1:4" ht="18">
      <c r="A22" s="302">
        <f t="shared" si="0"/>
        <v>21</v>
      </c>
      <c r="B22" s="291"/>
      <c r="C22" s="273"/>
      <c r="D22" s="305"/>
    </row>
    <row r="23" spans="1:4" ht="18">
      <c r="A23" s="302">
        <f t="shared" si="0"/>
        <v>22</v>
      </c>
      <c r="B23" s="300" t="s">
        <v>297</v>
      </c>
      <c r="C23" s="273"/>
      <c r="D23" s="305"/>
    </row>
    <row r="24" spans="2:4" ht="18">
      <c r="B24" s="300"/>
      <c r="C24" s="273"/>
      <c r="D24" s="291"/>
    </row>
  </sheetData>
  <printOptions/>
  <pageMargins left="0.75" right="0.75" top="1.25" bottom="1" header="0.25" footer="0.5"/>
  <pageSetup horizontalDpi="600" verticalDpi="600" orientation="portrait" r:id="rId1"/>
  <headerFooter alignWithMargins="0">
    <oddHeader>&amp;RStaff's Response to Bench Request No. 6
Docket No. UW-031284/UW-010961/UW-031596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showRowColHeaders="0" zoomScale="75" zoomScaleNormal="75" zoomScaleSheetLayoutView="75" workbookViewId="0" topLeftCell="A1">
      <selection activeCell="B4" sqref="B4"/>
    </sheetView>
  </sheetViews>
  <sheetFormatPr defaultColWidth="8.88671875" defaultRowHeight="15"/>
  <cols>
    <col min="1" max="1" width="2.77734375" style="0" bestFit="1" customWidth="1"/>
    <col min="2" max="2" width="30.77734375" style="0" customWidth="1"/>
    <col min="3" max="3" width="13.3359375" style="12" customWidth="1"/>
    <col min="4" max="4" width="10.6640625" style="0" customWidth="1"/>
  </cols>
  <sheetData>
    <row r="1" spans="2:4" ht="18">
      <c r="B1" s="293" t="s">
        <v>299</v>
      </c>
      <c r="C1" s="293" t="s">
        <v>300</v>
      </c>
      <c r="D1" s="293" t="s">
        <v>301</v>
      </c>
    </row>
    <row r="2" spans="1:2" ht="18">
      <c r="A2" s="302">
        <v>1</v>
      </c>
      <c r="B2" t="str">
        <f>+ROR!B2</f>
        <v>American Water Resources, Inc.</v>
      </c>
    </row>
    <row r="3" spans="1:2" ht="18">
      <c r="A3" s="302">
        <f>1+A2</f>
        <v>2</v>
      </c>
      <c r="B3" t="s">
        <v>291</v>
      </c>
    </row>
    <row r="4" spans="1:3" ht="18">
      <c r="A4" s="302">
        <f aca="true" t="shared" si="0" ref="A4:A19">1+A3</f>
        <v>3</v>
      </c>
      <c r="B4" t="s">
        <v>435</v>
      </c>
      <c r="C4" s="290"/>
    </row>
    <row r="5" spans="1:3" ht="18">
      <c r="A5" s="302">
        <f t="shared" si="0"/>
        <v>4</v>
      </c>
      <c r="C5" s="290"/>
    </row>
    <row r="6" spans="1:3" ht="18">
      <c r="A6" s="302">
        <f t="shared" si="0"/>
        <v>5</v>
      </c>
      <c r="C6" s="290"/>
    </row>
    <row r="7" spans="1:4" s="12" customFormat="1" ht="18">
      <c r="A7" s="302">
        <f t="shared" si="0"/>
        <v>6</v>
      </c>
      <c r="B7" s="293" t="s">
        <v>336</v>
      </c>
      <c r="C7" s="311" t="s">
        <v>274</v>
      </c>
      <c r="D7" s="293" t="s">
        <v>275</v>
      </c>
    </row>
    <row r="8" spans="1:3" ht="18">
      <c r="A8" s="302">
        <f t="shared" si="0"/>
        <v>7</v>
      </c>
      <c r="C8" s="290"/>
    </row>
    <row r="9" spans="1:4" ht="18">
      <c r="A9" s="302">
        <f t="shared" si="0"/>
        <v>8</v>
      </c>
      <c r="B9" s="298" t="s">
        <v>331</v>
      </c>
      <c r="C9" s="312" t="s">
        <v>429</v>
      </c>
      <c r="D9" s="17">
        <f>+ROR!T59</f>
        <v>546513.7750000004</v>
      </c>
    </row>
    <row r="10" spans="1:4" ht="18">
      <c r="A10" s="302">
        <f t="shared" si="0"/>
        <v>9</v>
      </c>
      <c r="B10" s="4"/>
      <c r="C10" s="290"/>
      <c r="D10" s="4"/>
    </row>
    <row r="11" spans="1:4" ht="18.75" thickBot="1">
      <c r="A11" s="302">
        <f t="shared" si="0"/>
        <v>10</v>
      </c>
      <c r="B11" s="298" t="s">
        <v>338</v>
      </c>
      <c r="C11" s="312" t="s">
        <v>436</v>
      </c>
      <c r="D11" s="5">
        <f>+Capital!H36</f>
        <v>0.03176433719684711</v>
      </c>
    </row>
    <row r="12" spans="1:5" ht="18.75" thickTop="1">
      <c r="A12" s="302">
        <f t="shared" si="0"/>
        <v>11</v>
      </c>
      <c r="B12" t="s">
        <v>221</v>
      </c>
      <c r="C12" s="290" t="s">
        <v>339</v>
      </c>
      <c r="D12" s="208">
        <f>+D11*D9</f>
        <v>17359.647831821843</v>
      </c>
      <c r="E12" s="3"/>
    </row>
    <row r="13" spans="1:5" ht="18">
      <c r="A13" s="302">
        <f t="shared" si="0"/>
        <v>12</v>
      </c>
      <c r="C13" s="290"/>
      <c r="D13" s="24"/>
      <c r="E13" s="3"/>
    </row>
    <row r="14" spans="1:5" ht="18">
      <c r="A14" s="302">
        <f t="shared" si="0"/>
        <v>13</v>
      </c>
      <c r="C14" s="290"/>
      <c r="D14" s="24"/>
      <c r="E14" s="3"/>
    </row>
    <row r="15" spans="1:5" ht="18">
      <c r="A15" s="302">
        <f t="shared" si="0"/>
        <v>14</v>
      </c>
      <c r="C15" s="290"/>
      <c r="D15" s="24"/>
      <c r="E15" s="3"/>
    </row>
    <row r="16" spans="1:5" ht="18">
      <c r="A16" s="302">
        <f t="shared" si="0"/>
        <v>15</v>
      </c>
      <c r="B16" t="str">
        <f>+B12</f>
        <v>Interest on Rate Base</v>
      </c>
      <c r="C16" s="290" t="s">
        <v>438</v>
      </c>
      <c r="D16" s="17">
        <f>+D12</f>
        <v>17359.647831821843</v>
      </c>
      <c r="E16" s="3"/>
    </row>
    <row r="17" spans="1:5" ht="18.75" thickBot="1">
      <c r="A17" s="302">
        <f t="shared" si="0"/>
        <v>16</v>
      </c>
      <c r="B17" t="s">
        <v>220</v>
      </c>
      <c r="C17" s="312" t="s">
        <v>437</v>
      </c>
      <c r="D17" s="17">
        <f>-ROR!K46</f>
        <v>-31403.69</v>
      </c>
      <c r="E17" s="3"/>
    </row>
    <row r="18" spans="1:5" ht="18">
      <c r="A18" s="302">
        <f t="shared" si="0"/>
        <v>17</v>
      </c>
      <c r="B18" s="4" t="s">
        <v>219</v>
      </c>
      <c r="C18" s="290" t="s">
        <v>340</v>
      </c>
      <c r="D18" s="313">
        <f>+D16+D17</f>
        <v>-14044.042168178155</v>
      </c>
      <c r="E18" s="3"/>
    </row>
    <row r="19" spans="1:5" ht="18">
      <c r="A19" s="302">
        <f t="shared" si="0"/>
        <v>18</v>
      </c>
      <c r="C19" s="290"/>
      <c r="D19" s="98" t="s">
        <v>162</v>
      </c>
      <c r="E19" s="3"/>
    </row>
    <row r="20" spans="3:5" ht="15">
      <c r="C20" s="290"/>
      <c r="D20" s="3"/>
      <c r="E20" s="3"/>
    </row>
    <row r="21" spans="3:5" ht="15">
      <c r="C21" s="290"/>
      <c r="D21" s="3"/>
      <c r="E21" s="3"/>
    </row>
    <row r="22" spans="4:5" ht="15">
      <c r="D22" s="3"/>
      <c r="E22" s="3"/>
    </row>
    <row r="23" spans="4:5" ht="15">
      <c r="D23" s="3"/>
      <c r="E23" s="3"/>
    </row>
    <row r="24" spans="4:5" ht="15">
      <c r="D24" s="3"/>
      <c r="E24" s="3"/>
    </row>
    <row r="25" spans="4:5" ht="15">
      <c r="D25" s="3"/>
      <c r="E25" s="3"/>
    </row>
    <row r="26" spans="4:5" ht="15">
      <c r="D26" s="3"/>
      <c r="E26" s="3"/>
    </row>
    <row r="27" spans="4:5" ht="15">
      <c r="D27" s="3"/>
      <c r="E27" s="3"/>
    </row>
  </sheetData>
  <printOptions/>
  <pageMargins left="0.75" right="0.75" top="1.25" bottom="1" header="0.25" footer="0.5"/>
  <pageSetup horizontalDpi="600" verticalDpi="600" orientation="portrait" r:id="rId1"/>
  <headerFooter alignWithMargins="0">
    <oddHeader>&amp;RStaff's Response to Bench Request No. 7
Exhibit No. 63
Docket No. UW-031284/UW-010961/UW-031596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5"/>
  <sheetViews>
    <sheetView showRowColHeaders="0" zoomScale="75" zoomScaleNormal="75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7" sqref="B7"/>
    </sheetView>
  </sheetViews>
  <sheetFormatPr defaultColWidth="8.88671875" defaultRowHeight="15"/>
  <cols>
    <col min="1" max="1" width="5.5546875" style="0" bestFit="1" customWidth="1"/>
    <col min="2" max="2" width="8.99609375" style="0" customWidth="1"/>
    <col min="3" max="3" width="19.3359375" style="0" customWidth="1"/>
    <col min="4" max="4" width="13.88671875" style="0" customWidth="1"/>
    <col min="5" max="5" width="9.99609375" style="0" bestFit="1" customWidth="1"/>
    <col min="6" max="8" width="9.10546875" style="0" bestFit="1" customWidth="1"/>
    <col min="9" max="9" width="2.10546875" style="0" customWidth="1"/>
    <col min="10" max="10" width="6.4453125" style="0" customWidth="1"/>
    <col min="11" max="11" width="8.21484375" style="0" bestFit="1" customWidth="1"/>
    <col min="12" max="12" width="4.3359375" style="0" bestFit="1" customWidth="1"/>
    <col min="13" max="13" width="9.10546875" style="0" bestFit="1" customWidth="1"/>
  </cols>
  <sheetData>
    <row r="3" ht="15">
      <c r="A3" s="142"/>
    </row>
    <row r="4" spans="2:8" ht="18">
      <c r="B4" s="293" t="s">
        <v>299</v>
      </c>
      <c r="C4" s="293" t="s">
        <v>300</v>
      </c>
      <c r="D4" s="293" t="s">
        <v>301</v>
      </c>
      <c r="E4" s="293" t="s">
        <v>302</v>
      </c>
      <c r="F4" s="293" t="s">
        <v>303</v>
      </c>
      <c r="G4" s="293" t="s">
        <v>304</v>
      </c>
      <c r="H4" s="293" t="s">
        <v>305</v>
      </c>
    </row>
    <row r="5" spans="1:13" ht="19.5">
      <c r="A5" s="302">
        <v>1</v>
      </c>
      <c r="B5" s="223" t="str">
        <f>+ROR!B2</f>
        <v>American Water Resources, Inc.</v>
      </c>
      <c r="C5" s="143"/>
      <c r="D5" s="143"/>
      <c r="E5" s="2"/>
      <c r="F5" s="185"/>
      <c r="G5" s="185"/>
      <c r="H5" s="185"/>
      <c r="I5" s="185"/>
      <c r="J5" s="185"/>
      <c r="K5" s="143"/>
      <c r="L5" s="143"/>
      <c r="M5" s="143"/>
    </row>
    <row r="6" spans="1:13" ht="18">
      <c r="A6" s="302">
        <f>1+A5</f>
        <v>2</v>
      </c>
      <c r="B6" s="318" t="s">
        <v>380</v>
      </c>
      <c r="C6" s="143"/>
      <c r="D6" s="143"/>
      <c r="E6" s="2"/>
      <c r="G6" s="148"/>
      <c r="H6" s="148" t="s">
        <v>265</v>
      </c>
      <c r="I6" s="186"/>
      <c r="J6" s="186"/>
      <c r="K6" s="143"/>
      <c r="L6" s="143"/>
      <c r="M6" s="143"/>
    </row>
    <row r="7" spans="1:13" ht="18">
      <c r="A7" s="302">
        <f aca="true" t="shared" si="0" ref="A7:A41">1+A6</f>
        <v>3</v>
      </c>
      <c r="B7" s="143" t="s">
        <v>337</v>
      </c>
      <c r="C7" s="143"/>
      <c r="D7" s="144"/>
      <c r="E7" s="2"/>
      <c r="H7" s="185"/>
      <c r="I7" s="185"/>
      <c r="J7" s="185"/>
      <c r="K7" s="143"/>
      <c r="L7" s="143"/>
      <c r="M7" s="143"/>
    </row>
    <row r="8" spans="1:13" ht="18">
      <c r="A8" s="302">
        <f t="shared" si="0"/>
        <v>4</v>
      </c>
      <c r="B8" s="143"/>
      <c r="C8" s="143"/>
      <c r="E8" s="2"/>
      <c r="F8" s="220"/>
      <c r="G8" s="185"/>
      <c r="H8" s="185"/>
      <c r="I8" s="185"/>
      <c r="J8" s="185"/>
      <c r="K8" s="143"/>
      <c r="L8" s="143"/>
      <c r="M8" s="143"/>
    </row>
    <row r="9" spans="1:13" ht="18">
      <c r="A9" s="302">
        <f t="shared" si="0"/>
        <v>5</v>
      </c>
      <c r="B9" s="143"/>
      <c r="C9" s="143"/>
      <c r="D9" s="143"/>
      <c r="E9" s="145"/>
      <c r="F9" s="187"/>
      <c r="G9" s="187"/>
      <c r="H9" s="187" t="s">
        <v>128</v>
      </c>
      <c r="I9" s="187"/>
      <c r="J9" s="187"/>
      <c r="K9" s="146"/>
      <c r="L9" s="143"/>
      <c r="M9" s="143"/>
    </row>
    <row r="10" spans="1:13" ht="18">
      <c r="A10" s="302">
        <f t="shared" si="0"/>
        <v>6</v>
      </c>
      <c r="B10" s="143"/>
      <c r="C10" s="143"/>
      <c r="D10" s="143"/>
      <c r="E10" s="145"/>
      <c r="F10" s="187" t="s">
        <v>129</v>
      </c>
      <c r="G10" s="187" t="s">
        <v>130</v>
      </c>
      <c r="H10" s="187" t="s">
        <v>130</v>
      </c>
      <c r="I10" s="187"/>
      <c r="J10" s="187"/>
      <c r="K10" s="146"/>
      <c r="L10" s="143"/>
      <c r="M10" s="143"/>
    </row>
    <row r="11" spans="1:13" ht="18">
      <c r="A11" s="302">
        <f t="shared" si="0"/>
        <v>7</v>
      </c>
      <c r="B11" s="143"/>
      <c r="C11" s="143"/>
      <c r="D11" s="147" t="s">
        <v>247</v>
      </c>
      <c r="E11" s="147" t="s">
        <v>131</v>
      </c>
      <c r="F11" s="188" t="s">
        <v>132</v>
      </c>
      <c r="G11" s="188" t="s">
        <v>133</v>
      </c>
      <c r="H11" s="188" t="s">
        <v>133</v>
      </c>
      <c r="I11" s="189"/>
      <c r="J11" s="187"/>
      <c r="K11" s="146"/>
      <c r="L11" s="143"/>
      <c r="M11" s="143"/>
    </row>
    <row r="12" spans="1:13" ht="18">
      <c r="A12" s="302">
        <f t="shared" si="0"/>
        <v>8</v>
      </c>
      <c r="B12" s="143" t="s">
        <v>134</v>
      </c>
      <c r="C12" s="143"/>
      <c r="D12" s="143"/>
      <c r="E12" s="2"/>
      <c r="F12" s="185"/>
      <c r="G12" s="185"/>
      <c r="H12" s="185"/>
      <c r="I12" s="185"/>
      <c r="J12" s="190"/>
      <c r="K12" s="143"/>
      <c r="L12" s="143"/>
      <c r="M12" s="143"/>
    </row>
    <row r="13" spans="1:13" ht="18">
      <c r="A13" s="302">
        <f t="shared" si="0"/>
        <v>9</v>
      </c>
      <c r="B13" s="143"/>
      <c r="C13" s="143" t="s">
        <v>135</v>
      </c>
      <c r="D13" s="143"/>
      <c r="E13" s="2">
        <v>57616.44</v>
      </c>
      <c r="F13" s="185">
        <f aca="true" t="shared" si="1" ref="F13:F21">+E13/E$22</f>
        <v>0.21068112531149333</v>
      </c>
      <c r="G13" s="185">
        <v>0.06</v>
      </c>
      <c r="H13" s="185">
        <f aca="true" t="shared" si="2" ref="H13:H21">+F13*G13</f>
        <v>0.0126408675186896</v>
      </c>
      <c r="I13" s="185"/>
      <c r="J13" s="2"/>
      <c r="K13" s="185"/>
      <c r="L13" s="143"/>
      <c r="M13" s="148" t="s">
        <v>140</v>
      </c>
    </row>
    <row r="14" spans="1:13" ht="18">
      <c r="A14" s="302">
        <f t="shared" si="0"/>
        <v>10</v>
      </c>
      <c r="B14" s="143"/>
      <c r="C14" s="143" t="s">
        <v>136</v>
      </c>
      <c r="D14" s="143"/>
      <c r="E14" s="2">
        <v>195741.38</v>
      </c>
      <c r="F14" s="185">
        <f t="shared" si="1"/>
        <v>0.7157508205717783</v>
      </c>
      <c r="G14" s="185">
        <v>0.0875</v>
      </c>
      <c r="H14" s="185">
        <f t="shared" si="2"/>
        <v>0.0626281968000306</v>
      </c>
      <c r="I14" s="185"/>
      <c r="J14" s="2"/>
      <c r="K14" s="185"/>
      <c r="M14" s="143">
        <v>4.45</v>
      </c>
    </row>
    <row r="15" spans="1:13" ht="18">
      <c r="A15" s="302">
        <f t="shared" si="0"/>
        <v>11</v>
      </c>
      <c r="B15" s="2"/>
      <c r="C15" s="143" t="s">
        <v>177</v>
      </c>
      <c r="D15" s="2">
        <v>267661.06</v>
      </c>
      <c r="E15" s="2">
        <v>0</v>
      </c>
      <c r="F15" s="185">
        <f t="shared" si="1"/>
        <v>0</v>
      </c>
      <c r="G15" s="185">
        <v>0</v>
      </c>
      <c r="H15" s="185">
        <f t="shared" si="2"/>
        <v>0</v>
      </c>
      <c r="I15" s="185"/>
      <c r="J15" s="2"/>
      <c r="K15" s="185"/>
      <c r="L15" s="143">
        <v>2</v>
      </c>
      <c r="M15" s="149">
        <f>+M14+L15</f>
        <v>6.45</v>
      </c>
    </row>
    <row r="16" spans="1:13" ht="18">
      <c r="A16" s="302">
        <f t="shared" si="0"/>
        <v>12</v>
      </c>
      <c r="B16" s="143"/>
      <c r="C16" s="143" t="s">
        <v>137</v>
      </c>
      <c r="E16" s="2">
        <v>9000</v>
      </c>
      <c r="F16" s="185">
        <f t="shared" si="1"/>
        <v>0.032909532900738746</v>
      </c>
      <c r="G16" s="185">
        <f>+G15</f>
        <v>0</v>
      </c>
      <c r="H16" s="185">
        <f t="shared" si="2"/>
        <v>0</v>
      </c>
      <c r="I16" s="185"/>
      <c r="J16" s="2"/>
      <c r="K16" s="185"/>
      <c r="L16" s="143">
        <v>2.5</v>
      </c>
      <c r="M16" s="143">
        <f>+L16+M14</f>
        <v>6.95</v>
      </c>
    </row>
    <row r="17" spans="1:13" ht="18">
      <c r="A17" s="302">
        <f t="shared" si="0"/>
        <v>13</v>
      </c>
      <c r="B17" s="143"/>
      <c r="C17" s="143" t="s">
        <v>138</v>
      </c>
      <c r="E17" s="2">
        <v>1666.67</v>
      </c>
      <c r="F17" s="185">
        <f t="shared" si="1"/>
        <v>0.006094370133297138</v>
      </c>
      <c r="G17" s="185">
        <f>+G16</f>
        <v>0</v>
      </c>
      <c r="H17" s="185">
        <f t="shared" si="2"/>
        <v>0</v>
      </c>
      <c r="I17" s="185"/>
      <c r="J17" s="2"/>
      <c r="K17" s="185"/>
      <c r="L17" s="143">
        <v>3</v>
      </c>
      <c r="M17" s="143">
        <f>+L17+M14</f>
        <v>7.45</v>
      </c>
    </row>
    <row r="18" spans="1:13" ht="18">
      <c r="A18" s="302">
        <f t="shared" si="0"/>
        <v>14</v>
      </c>
      <c r="B18" s="143"/>
      <c r="C18" s="143" t="s">
        <v>139</v>
      </c>
      <c r="E18" s="2">
        <v>2450</v>
      </c>
      <c r="F18" s="185">
        <f t="shared" si="1"/>
        <v>0.008958706178534436</v>
      </c>
      <c r="G18" s="185">
        <f>+G17</f>
        <v>0</v>
      </c>
      <c r="H18" s="185">
        <f t="shared" si="2"/>
        <v>0</v>
      </c>
      <c r="I18" s="185"/>
      <c r="J18" s="2"/>
      <c r="K18" s="185"/>
      <c r="M18" s="185"/>
    </row>
    <row r="19" spans="1:13" ht="18">
      <c r="A19" s="302">
        <f t="shared" si="0"/>
        <v>15</v>
      </c>
      <c r="B19" s="143"/>
      <c r="C19" s="143" t="s">
        <v>141</v>
      </c>
      <c r="E19" s="2">
        <v>7002.5</v>
      </c>
      <c r="F19" s="185">
        <f t="shared" si="1"/>
        <v>0.025605444904158118</v>
      </c>
      <c r="G19" s="185">
        <f>+G18</f>
        <v>0</v>
      </c>
      <c r="H19" s="185">
        <f t="shared" si="2"/>
        <v>0</v>
      </c>
      <c r="I19" s="185"/>
      <c r="J19" s="2"/>
      <c r="K19" s="185"/>
      <c r="M19" s="2"/>
    </row>
    <row r="20" spans="1:11" ht="18">
      <c r="A20" s="302">
        <f t="shared" si="0"/>
        <v>16</v>
      </c>
      <c r="B20" s="143"/>
      <c r="C20" s="143" t="s">
        <v>142</v>
      </c>
      <c r="D20" s="2">
        <f>10069.75+3384.37+198.59</f>
        <v>13652.71</v>
      </c>
      <c r="E20" s="2">
        <v>0</v>
      </c>
      <c r="F20" s="185">
        <f t="shared" si="1"/>
        <v>0</v>
      </c>
      <c r="G20" s="185">
        <v>0</v>
      </c>
      <c r="H20" s="185">
        <f t="shared" si="2"/>
        <v>0</v>
      </c>
      <c r="I20" s="185"/>
      <c r="J20" s="2"/>
      <c r="K20" s="185"/>
    </row>
    <row r="21" spans="1:11" ht="18.75" thickBot="1">
      <c r="A21" s="302">
        <f t="shared" si="0"/>
        <v>17</v>
      </c>
      <c r="B21" s="143"/>
      <c r="C21" s="143" t="s">
        <v>143</v>
      </c>
      <c r="D21" s="2">
        <v>72115.21</v>
      </c>
      <c r="E21" s="2">
        <v>0</v>
      </c>
      <c r="F21" s="185">
        <f t="shared" si="1"/>
        <v>0</v>
      </c>
      <c r="G21" s="185">
        <f>+G20</f>
        <v>0</v>
      </c>
      <c r="H21" s="185">
        <f t="shared" si="2"/>
        <v>0</v>
      </c>
      <c r="I21" s="185"/>
      <c r="J21" s="2"/>
      <c r="K21" s="185"/>
    </row>
    <row r="22" spans="1:11" ht="18">
      <c r="A22" s="302">
        <f t="shared" si="0"/>
        <v>18</v>
      </c>
      <c r="B22" s="143"/>
      <c r="C22" s="143"/>
      <c r="D22" s="150">
        <f>SUM(D13:D21)</f>
        <v>353428.98000000004</v>
      </c>
      <c r="E22" s="150">
        <f>SUM(E13:E21)</f>
        <v>273476.99</v>
      </c>
      <c r="F22" s="191">
        <f>SUM(F13:F21)</f>
        <v>1</v>
      </c>
      <c r="G22" s="185"/>
      <c r="H22" s="192">
        <f>SUM(H13:H21)</f>
        <v>0.0752690643187202</v>
      </c>
      <c r="I22" s="193"/>
      <c r="J22" s="2"/>
      <c r="K22" s="143"/>
    </row>
    <row r="23" spans="1:13" ht="18">
      <c r="A23" s="302">
        <f t="shared" si="0"/>
        <v>19</v>
      </c>
      <c r="B23" s="143"/>
      <c r="C23" s="143"/>
      <c r="D23" s="143"/>
      <c r="E23" s="2"/>
      <c r="F23" s="185"/>
      <c r="G23" s="185"/>
      <c r="H23" s="185"/>
      <c r="I23" s="185"/>
      <c r="J23" s="185"/>
      <c r="K23" s="143"/>
      <c r="L23" s="143"/>
      <c r="M23" s="143"/>
    </row>
    <row r="24" spans="1:13" ht="18">
      <c r="A24" s="302">
        <f t="shared" si="0"/>
        <v>20</v>
      </c>
      <c r="B24" s="143"/>
      <c r="C24" s="143" t="s">
        <v>248</v>
      </c>
      <c r="D24" s="2">
        <f>+D22+E22</f>
        <v>626905.97</v>
      </c>
      <c r="E24" s="2"/>
      <c r="F24" s="185"/>
      <c r="G24" s="185"/>
      <c r="H24" s="185"/>
      <c r="I24" s="185"/>
      <c r="J24" s="185"/>
      <c r="K24" s="143"/>
      <c r="L24" s="143"/>
      <c r="M24" s="143"/>
    </row>
    <row r="25" spans="1:13" ht="18">
      <c r="A25" s="302">
        <f t="shared" si="0"/>
        <v>21</v>
      </c>
      <c r="B25" s="143"/>
      <c r="C25" s="143"/>
      <c r="D25" s="2"/>
      <c r="E25" s="2"/>
      <c r="F25" s="185"/>
      <c r="G25" s="185"/>
      <c r="H25" s="185"/>
      <c r="I25" s="185"/>
      <c r="J25" s="185"/>
      <c r="K25" s="143"/>
      <c r="L25" s="143"/>
      <c r="M25" s="143"/>
    </row>
    <row r="26" spans="1:13" ht="18">
      <c r="A26" s="302">
        <f t="shared" si="0"/>
        <v>22</v>
      </c>
      <c r="B26" s="143" t="s">
        <v>144</v>
      </c>
      <c r="C26" s="143"/>
      <c r="D26" s="143"/>
      <c r="E26" s="2"/>
      <c r="F26" s="185"/>
      <c r="G26" s="185"/>
      <c r="H26" s="185"/>
      <c r="I26" s="185"/>
      <c r="J26" s="185"/>
      <c r="K26" s="143"/>
      <c r="L26" s="143"/>
      <c r="M26" s="143"/>
    </row>
    <row r="27" spans="1:13" ht="18">
      <c r="A27" s="302">
        <f t="shared" si="0"/>
        <v>23</v>
      </c>
      <c r="B27" s="143"/>
      <c r="C27" s="143" t="s">
        <v>145</v>
      </c>
      <c r="D27" s="143"/>
      <c r="E27" s="2">
        <v>310125</v>
      </c>
      <c r="F27" s="185">
        <f>+E27/E32</f>
        <v>0.8279790244779833</v>
      </c>
      <c r="G27" s="185"/>
      <c r="H27" s="185"/>
      <c r="I27" s="185"/>
      <c r="J27" s="185"/>
      <c r="K27" s="143"/>
      <c r="L27" s="143"/>
      <c r="M27" s="143"/>
    </row>
    <row r="28" spans="1:13" ht="18">
      <c r="A28" s="302">
        <f t="shared" si="0"/>
        <v>24</v>
      </c>
      <c r="B28" s="143"/>
      <c r="C28" s="143" t="s">
        <v>146</v>
      </c>
      <c r="D28" s="143"/>
      <c r="E28" s="2">
        <v>116180.9</v>
      </c>
      <c r="F28" s="185">
        <f>+E28/E32</f>
        <v>0.31018250139451553</v>
      </c>
      <c r="G28" s="185"/>
      <c r="H28" s="185"/>
      <c r="I28" s="185"/>
      <c r="J28" s="185"/>
      <c r="K28" s="143"/>
      <c r="L28" s="143"/>
      <c r="M28" s="143"/>
    </row>
    <row r="29" spans="1:13" ht="18">
      <c r="A29" s="302">
        <f t="shared" si="0"/>
        <v>25</v>
      </c>
      <c r="B29" s="143"/>
      <c r="C29" s="75" t="s">
        <v>224</v>
      </c>
      <c r="D29" s="143"/>
      <c r="E29" s="2">
        <f>-ESA!F29</f>
        <v>-125113.1</v>
      </c>
      <c r="F29" s="185">
        <f>+E29/E32</f>
        <v>-0.3340298991936038</v>
      </c>
      <c r="G29" s="185"/>
      <c r="H29" s="185"/>
      <c r="I29" s="185"/>
      <c r="J29" s="185"/>
      <c r="K29" s="143"/>
      <c r="L29" s="143"/>
      <c r="M29" s="143"/>
    </row>
    <row r="30" spans="1:13" ht="18">
      <c r="A30" s="302">
        <f t="shared" si="0"/>
        <v>26</v>
      </c>
      <c r="B30" s="143"/>
      <c r="C30" s="143" t="s">
        <v>147</v>
      </c>
      <c r="D30" s="143"/>
      <c r="E30" s="2">
        <v>20006</v>
      </c>
      <c r="F30" s="185">
        <f>+E30/E32</f>
        <v>0.053412489685470486</v>
      </c>
      <c r="G30" s="185"/>
      <c r="H30" s="185"/>
      <c r="I30" s="185"/>
      <c r="J30" s="185"/>
      <c r="K30" s="143"/>
      <c r="L30" s="143"/>
      <c r="M30" s="143"/>
    </row>
    <row r="31" spans="1:12" ht="18.75" thickBot="1">
      <c r="A31" s="302">
        <f t="shared" si="0"/>
        <v>27</v>
      </c>
      <c r="B31" s="143"/>
      <c r="C31" s="143"/>
      <c r="D31" s="143" t="s">
        <v>148</v>
      </c>
      <c r="E31" s="2">
        <v>53357.79</v>
      </c>
      <c r="F31" s="185">
        <f>+E31/E32</f>
        <v>0.14245588363563433</v>
      </c>
      <c r="G31" s="185"/>
      <c r="H31" s="185"/>
      <c r="I31" s="185"/>
      <c r="J31" s="185"/>
      <c r="K31" s="2">
        <f>+E32</f>
        <v>374556.59</v>
      </c>
      <c r="L31" s="143"/>
    </row>
    <row r="32" spans="1:12" ht="18.75" thickBot="1">
      <c r="A32" s="302">
        <f t="shared" si="0"/>
        <v>28</v>
      </c>
      <c r="B32" s="143"/>
      <c r="C32" s="143"/>
      <c r="D32" s="2"/>
      <c r="E32" s="150">
        <f>SUM(E27:E31)</f>
        <v>374556.59</v>
      </c>
      <c r="F32" s="191">
        <f>SUM(F27:F31)</f>
        <v>0.9999999999999999</v>
      </c>
      <c r="G32" s="185">
        <v>0.12</v>
      </c>
      <c r="H32" s="192">
        <f>+F32*G32</f>
        <v>0.11999999999999998</v>
      </c>
      <c r="I32" s="193"/>
      <c r="J32" s="193"/>
      <c r="K32" s="240">
        <f>+G32</f>
        <v>0.12</v>
      </c>
      <c r="L32" s="143"/>
    </row>
    <row r="33" spans="1:12" ht="18">
      <c r="A33" s="302">
        <f t="shared" si="0"/>
        <v>29</v>
      </c>
      <c r="B33" s="143"/>
      <c r="C33" s="143"/>
      <c r="D33" s="143"/>
      <c r="E33" s="151"/>
      <c r="F33" s="194"/>
      <c r="G33" s="185"/>
      <c r="H33" s="193"/>
      <c r="I33" s="193"/>
      <c r="J33" s="193"/>
      <c r="K33" s="150">
        <f>+K32*K31</f>
        <v>44946.7908</v>
      </c>
      <c r="L33" s="143"/>
    </row>
    <row r="34" spans="1:17" ht="18">
      <c r="A34" s="302">
        <f t="shared" si="0"/>
        <v>30</v>
      </c>
      <c r="B34" s="143"/>
      <c r="C34" s="143"/>
      <c r="D34" s="143"/>
      <c r="E34" s="2"/>
      <c r="F34" s="185"/>
      <c r="G34" s="185"/>
      <c r="H34" s="185"/>
      <c r="I34" s="185"/>
      <c r="J34" s="185"/>
      <c r="K34" s="185"/>
      <c r="L34" s="143"/>
      <c r="M34" s="310"/>
      <c r="N34" s="151"/>
      <c r="O34" s="151"/>
      <c r="P34" s="128"/>
      <c r="Q34" s="128"/>
    </row>
    <row r="35" spans="1:17" ht="18">
      <c r="A35" s="302">
        <f t="shared" si="0"/>
        <v>31</v>
      </c>
      <c r="B35" s="143"/>
      <c r="C35" s="143" t="s">
        <v>263</v>
      </c>
      <c r="D35" s="143"/>
      <c r="E35" s="2"/>
      <c r="F35" s="185"/>
      <c r="G35" s="185"/>
      <c r="H35" s="185"/>
      <c r="I35" s="185"/>
      <c r="J35" s="185"/>
      <c r="K35" s="185"/>
      <c r="L35" s="143"/>
      <c r="M35" s="310"/>
      <c r="N35" s="151"/>
      <c r="O35" s="151"/>
      <c r="P35" s="24"/>
      <c r="Q35" s="24"/>
    </row>
    <row r="36" spans="1:17" ht="18">
      <c r="A36" s="302">
        <f t="shared" si="0"/>
        <v>32</v>
      </c>
      <c r="B36" s="143"/>
      <c r="C36" s="143" t="s">
        <v>149</v>
      </c>
      <c r="E36" s="2">
        <f>+E22</f>
        <v>273476.99</v>
      </c>
      <c r="F36" s="185">
        <f>+E36/E39</f>
        <v>0.42201052297320757</v>
      </c>
      <c r="G36" s="185">
        <f>+H22</f>
        <v>0.0752690643187202</v>
      </c>
      <c r="H36" s="187">
        <f>+F36*G36</f>
        <v>0.03176433719684711</v>
      </c>
      <c r="I36" s="187"/>
      <c r="J36" s="185"/>
      <c r="K36" s="185"/>
      <c r="L36" s="143"/>
      <c r="M36" s="151"/>
      <c r="N36" s="151"/>
      <c r="O36" s="151"/>
      <c r="P36" s="151"/>
      <c r="Q36" s="128"/>
    </row>
    <row r="37" spans="1:17" ht="18">
      <c r="A37" s="302">
        <f t="shared" si="0"/>
        <v>33</v>
      </c>
      <c r="B37" s="143"/>
      <c r="C37" s="143"/>
      <c r="E37" s="2"/>
      <c r="F37" s="185"/>
      <c r="G37" s="185"/>
      <c r="H37" s="187"/>
      <c r="I37" s="187"/>
      <c r="J37" s="185"/>
      <c r="K37" s="185"/>
      <c r="L37" s="143"/>
      <c r="M37" s="310"/>
      <c r="N37" s="151"/>
      <c r="O37" s="151"/>
      <c r="P37" s="151"/>
      <c r="Q37" s="128"/>
    </row>
    <row r="38" spans="1:17" ht="18.75" thickBot="1">
      <c r="A38" s="302">
        <f t="shared" si="0"/>
        <v>34</v>
      </c>
      <c r="B38" s="143"/>
      <c r="C38" s="143" t="s">
        <v>150</v>
      </c>
      <c r="E38" s="2">
        <f>+E32</f>
        <v>374556.59</v>
      </c>
      <c r="F38" s="185">
        <f>+E38/E39</f>
        <v>0.5779894770267923</v>
      </c>
      <c r="G38" s="185">
        <f>+H32</f>
        <v>0.11999999999999998</v>
      </c>
      <c r="H38" s="187">
        <f>+F38*G38</f>
        <v>0.06935873724321506</v>
      </c>
      <c r="I38" s="187"/>
      <c r="J38" s="195"/>
      <c r="K38" s="185"/>
      <c r="L38" s="143"/>
      <c r="M38" s="151"/>
      <c r="N38" s="151"/>
      <c r="O38" s="151"/>
      <c r="P38" s="151"/>
      <c r="Q38" s="128"/>
    </row>
    <row r="39" spans="1:17" ht="18">
      <c r="A39" s="302">
        <f t="shared" si="0"/>
        <v>35</v>
      </c>
      <c r="B39" s="143"/>
      <c r="C39" s="143"/>
      <c r="D39" s="143"/>
      <c r="E39" s="150">
        <f>SUM(E36:E38)</f>
        <v>648033.5800000001</v>
      </c>
      <c r="F39" s="191">
        <f>SUM(F36:F38)</f>
        <v>0.9999999999999998</v>
      </c>
      <c r="G39" s="185"/>
      <c r="H39" s="185"/>
      <c r="I39" s="185"/>
      <c r="J39" s="185"/>
      <c r="K39" s="185"/>
      <c r="L39" s="143"/>
      <c r="M39" s="151"/>
      <c r="N39" s="151"/>
      <c r="O39" s="151"/>
      <c r="P39" s="151"/>
      <c r="Q39" s="128"/>
    </row>
    <row r="40" spans="1:17" ht="18.75" thickBot="1">
      <c r="A40" s="302">
        <f t="shared" si="0"/>
        <v>36</v>
      </c>
      <c r="B40" s="143"/>
      <c r="C40" s="143"/>
      <c r="D40" s="143"/>
      <c r="E40" s="2"/>
      <c r="F40" s="185"/>
      <c r="G40" s="185"/>
      <c r="H40" s="185"/>
      <c r="I40" s="185"/>
      <c r="J40" s="185"/>
      <c r="K40" s="185"/>
      <c r="L40" s="143"/>
      <c r="M40" s="310"/>
      <c r="N40" s="151"/>
      <c r="O40" s="151"/>
      <c r="P40" s="128"/>
      <c r="Q40" s="128"/>
    </row>
    <row r="41" spans="1:17" ht="19.5">
      <c r="A41" s="302">
        <f t="shared" si="0"/>
        <v>37</v>
      </c>
      <c r="B41" s="143"/>
      <c r="C41" s="143"/>
      <c r="D41" s="143"/>
      <c r="E41" s="2"/>
      <c r="F41" s="185"/>
      <c r="G41" s="196" t="s">
        <v>332</v>
      </c>
      <c r="H41" s="152">
        <f>SUM(H35:H38)</f>
        <v>0.10112307444006217</v>
      </c>
      <c r="I41" s="152"/>
      <c r="J41" s="185"/>
      <c r="K41" s="185"/>
      <c r="L41" s="143"/>
      <c r="M41" s="310"/>
      <c r="N41" s="128"/>
      <c r="O41" s="128"/>
      <c r="P41" s="128"/>
      <c r="Q41" s="128"/>
    </row>
    <row r="42" spans="2:17" ht="15">
      <c r="B42" s="143"/>
      <c r="C42" s="143"/>
      <c r="D42" s="143"/>
      <c r="E42" s="2"/>
      <c r="F42" s="185"/>
      <c r="G42" s="185"/>
      <c r="H42" s="185"/>
      <c r="I42" s="185"/>
      <c r="J42" s="185"/>
      <c r="K42" s="185"/>
      <c r="L42" s="143"/>
      <c r="M42" s="310"/>
      <c r="N42" s="128"/>
      <c r="O42" s="128"/>
      <c r="P42" s="128"/>
      <c r="Q42" s="128"/>
    </row>
    <row r="43" spans="2:13" ht="15">
      <c r="B43" s="143"/>
      <c r="C43" s="143"/>
      <c r="D43" s="143"/>
      <c r="E43" s="2"/>
      <c r="F43" s="185"/>
      <c r="G43" s="185"/>
      <c r="H43" s="185"/>
      <c r="I43" s="185"/>
      <c r="J43" s="185"/>
      <c r="K43" s="185"/>
      <c r="L43" s="143"/>
      <c r="M43" s="143"/>
    </row>
    <row r="44" spans="2:13" ht="15">
      <c r="B44" s="143"/>
      <c r="C44" s="143"/>
      <c r="D44" s="143"/>
      <c r="E44" s="2"/>
      <c r="F44" s="185"/>
      <c r="G44" s="185"/>
      <c r="H44" s="185"/>
      <c r="I44" s="185"/>
      <c r="J44" s="185"/>
      <c r="K44" s="143"/>
      <c r="L44" s="143"/>
      <c r="M44" s="143"/>
    </row>
    <row r="45" spans="2:13" ht="15">
      <c r="B45" s="143"/>
      <c r="C45" s="143"/>
      <c r="D45" s="143"/>
      <c r="E45" s="2"/>
      <c r="F45" s="185"/>
      <c r="G45" s="185"/>
      <c r="H45" s="185"/>
      <c r="I45" s="185"/>
      <c r="J45" s="185"/>
      <c r="K45" s="143"/>
      <c r="L45" s="143"/>
      <c r="M45" s="143"/>
    </row>
  </sheetData>
  <printOptions/>
  <pageMargins left="0.75" right="0.75" top="1.25" bottom="1" header="0.25" footer="0.5"/>
  <pageSetup fitToHeight="1" fitToWidth="1" horizontalDpi="600" verticalDpi="600" orientation="portrait" scale="87" r:id="rId1"/>
  <headerFooter alignWithMargins="0">
    <oddHeader>&amp;RStaff's Response to Bench Request No. 8
Docket No. UW-031284/UW-010961/UW-031596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0"/>
  <sheetViews>
    <sheetView view="pageBreakPreview" zoomScale="60" zoomScaleNormal="75" workbookViewId="0" topLeftCell="B3">
      <pane xSplit="1" ySplit="6" topLeftCell="C9" activePane="bottomRight" state="frozen"/>
      <selection pane="topLeft" activeCell="B3" sqref="B3"/>
      <selection pane="topRight" activeCell="C3" sqref="C3"/>
      <selection pane="bottomLeft" activeCell="B8" sqref="B8"/>
      <selection pane="bottomRight" activeCell="B6" sqref="B6"/>
    </sheetView>
  </sheetViews>
  <sheetFormatPr defaultColWidth="8.88671875" defaultRowHeight="15"/>
  <cols>
    <col min="1" max="1" width="8.88671875" style="24" customWidth="1"/>
    <col min="2" max="2" width="24.10546875" style="24" bestFit="1" customWidth="1"/>
    <col min="3" max="3" width="11.6640625" style="24" customWidth="1"/>
    <col min="4" max="4" width="12.5546875" style="24" bestFit="1" customWidth="1"/>
    <col min="5" max="5" width="9.77734375" style="24" bestFit="1" customWidth="1"/>
    <col min="6" max="6" width="2.3359375" style="24" customWidth="1"/>
    <col min="7" max="7" width="8.99609375" style="24" bestFit="1" customWidth="1"/>
    <col min="8" max="8" width="9.77734375" style="24" bestFit="1" customWidth="1"/>
    <col min="9" max="16384" width="8.88671875" style="24" customWidth="1"/>
  </cols>
  <sheetData>
    <row r="3" ht="15">
      <c r="B3" s="24" t="str">
        <f>+ROR!B2</f>
        <v>American Water Resources, Inc.</v>
      </c>
    </row>
    <row r="4" ht="15">
      <c r="B4" s="24" t="str">
        <f>+ROR!B3</f>
        <v>UW-031284</v>
      </c>
    </row>
    <row r="5" ht="15.75">
      <c r="B5" s="226" t="s">
        <v>79</v>
      </c>
    </row>
    <row r="7" spans="3:7" s="99" customFormat="1" ht="15">
      <c r="C7" s="99" t="s">
        <v>112</v>
      </c>
      <c r="D7" s="99" t="s">
        <v>113</v>
      </c>
      <c r="E7" s="99" t="s">
        <v>105</v>
      </c>
      <c r="G7" s="99" t="s">
        <v>5</v>
      </c>
    </row>
    <row r="8" spans="3:7" s="99" customFormat="1" ht="15">
      <c r="C8" s="118">
        <v>37438</v>
      </c>
      <c r="D8" s="118">
        <v>37802</v>
      </c>
      <c r="G8" s="99" t="s">
        <v>178</v>
      </c>
    </row>
    <row r="9" spans="2:8" ht="15.75">
      <c r="B9" s="51" t="s">
        <v>25</v>
      </c>
      <c r="C9" s="24">
        <v>2294821.91</v>
      </c>
      <c r="D9" s="24">
        <v>2244620.56</v>
      </c>
      <c r="E9" s="24">
        <f aca="true" t="shared" si="0" ref="E9:E14">SUM(C9:D9)/2</f>
        <v>2269721.2350000003</v>
      </c>
      <c r="G9" s="24">
        <f aca="true" t="shared" si="1" ref="G9:G14">+E9-D9</f>
        <v>25100.67500000028</v>
      </c>
      <c r="H9" s="24">
        <f aca="true" t="shared" si="2" ref="H9:H14">+D9+G9</f>
        <v>2269721.2350000003</v>
      </c>
    </row>
    <row r="10" spans="2:8" ht="15.75">
      <c r="B10" s="51" t="s">
        <v>26</v>
      </c>
      <c r="C10" s="24">
        <v>-456708.36</v>
      </c>
      <c r="D10" s="24">
        <v>-522797.16</v>
      </c>
      <c r="E10" s="24">
        <f t="shared" si="0"/>
        <v>-489752.76</v>
      </c>
      <c r="G10" s="24">
        <f t="shared" si="1"/>
        <v>33044.399999999965</v>
      </c>
      <c r="H10" s="24">
        <f t="shared" si="2"/>
        <v>-489752.76</v>
      </c>
    </row>
    <row r="11" spans="2:8" ht="15.75">
      <c r="B11" s="51" t="s">
        <v>80</v>
      </c>
      <c r="C11" s="24">
        <v>-193833.76</v>
      </c>
      <c r="D11" s="24">
        <v>-193833.76</v>
      </c>
      <c r="E11" s="24">
        <f t="shared" si="0"/>
        <v>-193833.76</v>
      </c>
      <c r="G11" s="24">
        <f t="shared" si="1"/>
        <v>0</v>
      </c>
      <c r="H11" s="24">
        <f t="shared" si="2"/>
        <v>-193833.76</v>
      </c>
    </row>
    <row r="12" spans="2:8" ht="15.75">
      <c r="B12" s="51" t="s">
        <v>28</v>
      </c>
      <c r="C12" s="24">
        <v>14313.24</v>
      </c>
      <c r="D12" s="24">
        <v>19406.96</v>
      </c>
      <c r="E12" s="24">
        <f t="shared" si="0"/>
        <v>16860.1</v>
      </c>
      <c r="G12" s="24">
        <f t="shared" si="1"/>
        <v>-2546.8600000000006</v>
      </c>
      <c r="H12" s="24">
        <f t="shared" si="2"/>
        <v>16860.1</v>
      </c>
    </row>
    <row r="13" spans="2:8" ht="15.75">
      <c r="B13" s="51" t="s">
        <v>27</v>
      </c>
      <c r="C13" s="24">
        <v>-727368.5</v>
      </c>
      <c r="D13" s="24">
        <v>-794657.92</v>
      </c>
      <c r="E13" s="24">
        <f t="shared" si="0"/>
        <v>-761013.21</v>
      </c>
      <c r="G13" s="24">
        <f t="shared" si="1"/>
        <v>33644.71000000008</v>
      </c>
      <c r="H13" s="24">
        <f t="shared" si="2"/>
        <v>-761013.21</v>
      </c>
    </row>
    <row r="14" spans="2:8" ht="16.5" thickBot="1">
      <c r="B14" s="51" t="s">
        <v>28</v>
      </c>
      <c r="C14" s="24">
        <v>67197.66</v>
      </c>
      <c r="D14" s="24">
        <v>88709.26</v>
      </c>
      <c r="E14" s="24">
        <f t="shared" si="0"/>
        <v>77953.45999999999</v>
      </c>
      <c r="G14" s="24">
        <f t="shared" si="1"/>
        <v>-10755.800000000003</v>
      </c>
      <c r="H14" s="24">
        <f t="shared" si="2"/>
        <v>77953.45999999999</v>
      </c>
    </row>
    <row r="15" spans="2:8" ht="15.75">
      <c r="B15" s="51" t="s">
        <v>29</v>
      </c>
      <c r="C15" s="100">
        <f>SUM(C9:C14)</f>
        <v>998422.1900000003</v>
      </c>
      <c r="D15" s="134">
        <f>SUM(D9:D14)</f>
        <v>841447.9400000001</v>
      </c>
      <c r="E15" s="100">
        <f>SUM(E9:E14)</f>
        <v>919935.0650000004</v>
      </c>
      <c r="G15" s="100">
        <f>SUM(G9:G14)</f>
        <v>78487.12500000032</v>
      </c>
      <c r="H15" s="100">
        <f>SUM(H9:H14)</f>
        <v>919935.0650000004</v>
      </c>
    </row>
    <row r="17" spans="2:5" ht="15">
      <c r="B17" s="24" t="s">
        <v>120</v>
      </c>
      <c r="C17" s="24">
        <f>+C9+C10</f>
        <v>1838113.5500000003</v>
      </c>
      <c r="D17" s="24">
        <f>+D9+D10</f>
        <v>1721823.4000000001</v>
      </c>
      <c r="E17" s="24">
        <f>+E9+E10</f>
        <v>1779968.4750000003</v>
      </c>
    </row>
    <row r="18" spans="2:5" ht="15">
      <c r="B18" s="24" t="s">
        <v>121</v>
      </c>
      <c r="C18" s="24">
        <f>+C11+C12</f>
        <v>-179520.52000000002</v>
      </c>
      <c r="D18" s="24">
        <f>+D11+D12</f>
        <v>-174426.80000000002</v>
      </c>
      <c r="E18" s="24">
        <f>+E11+E12</f>
        <v>-176973.66</v>
      </c>
    </row>
    <row r="19" spans="2:5" ht="15.75" thickBot="1">
      <c r="B19" s="24" t="s">
        <v>122</v>
      </c>
      <c r="C19" s="24">
        <f>+C13+C14</f>
        <v>-660170.84</v>
      </c>
      <c r="D19" s="24">
        <f>+D13+D14</f>
        <v>-705948.66</v>
      </c>
      <c r="E19" s="24">
        <f>+E13+E14</f>
        <v>-683059.75</v>
      </c>
    </row>
    <row r="20" spans="3:5" ht="15">
      <c r="C20" s="100">
        <f>SUM(C17:C19)</f>
        <v>998422.1900000003</v>
      </c>
      <c r="D20" s="100">
        <f>SUM(D17:D19)</f>
        <v>841447.9400000001</v>
      </c>
      <c r="E20" s="100">
        <f>SUM(E17:E19)</f>
        <v>919935.0650000004</v>
      </c>
    </row>
  </sheetData>
  <printOptions/>
  <pageMargins left="0.75" right="0.75" top="1.25" bottom="1" header="0.25" footer="0.5"/>
  <pageSetup fitToHeight="1" fitToWidth="1" horizontalDpi="600" verticalDpi="600" orientation="portrait" r:id="rId1"/>
  <headerFooter alignWithMargins="0">
    <oddHeader>&amp;RExhibit No. __ (JAW-11)
Docket No. UW-031284/UW-010961
Witness: James A. Ward
Page 1 of 1</oddHeader>
    <oddFooter>&amp;C&amp;F /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KLinley</cp:lastModifiedBy>
  <cp:lastPrinted>2004-04-23T19:27:05Z</cp:lastPrinted>
  <dcterms:created xsi:type="dcterms:W3CDTF">2000-05-31T19:57:14Z</dcterms:created>
  <dcterms:modified xsi:type="dcterms:W3CDTF">2004-04-23T21:13:13Z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010961</vt:lpwstr>
  </property>
  <property fmtid="{D5CDD505-2E9C-101B-9397-08002B2CF9AE}" pid="6" name="IsConfidenti">
    <vt:lpwstr>0</vt:lpwstr>
  </property>
  <property fmtid="{D5CDD505-2E9C-101B-9397-08002B2CF9AE}" pid="7" name="Dat">
    <vt:lpwstr>2004-04-29T00:00:00Z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2001-07-03T00:00:00Z</vt:lpwstr>
  </property>
  <property fmtid="{D5CDD505-2E9C-101B-9397-08002B2CF9AE}" pid="10" name="Pref">
    <vt:lpwstr>UW</vt:lpwstr>
  </property>
  <property fmtid="{D5CDD505-2E9C-101B-9397-08002B2CF9AE}" pid="11" name="CaseCompanyNam">
    <vt:lpwstr>American Water Resources,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