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BKA_INITIALORDERAPPENDICES" sheetId="1" r:id="rId1"/>
  </sheets>
  <definedNames>
    <definedName name="\C">'BKA_INITIALORDERAPPENDICES'!$E$532:$E$532</definedName>
    <definedName name="\D">'BKA_INITIALORDERAPPENDICES'!$J$532:$J$532</definedName>
    <definedName name="\P">'BKA_INITIALORDERAPPENDICES'!$B$532:$B$532</definedName>
    <definedName name="\U">'BKA_INITIALORDERAPPENDICES'!$O$532:$O$532</definedName>
    <definedName name="A_INPUT_FACTORS">'BKA_INITIALORDERAPPENDICES'!$B$254:$H$283</definedName>
    <definedName name="A_MACROS">'BKA_INITIALORDERAPPENDICES'!$C$529:$H$561</definedName>
    <definedName name="AFFILRENT">'BKA_INITIALORDERAPPENDICES'!$E$486:$Q$524</definedName>
    <definedName name="DECISION">'BKA_INITIALORDERAPPENDICES'!$E$437:$G$481</definedName>
    <definedName name="FACTORS">'BKA_INITIALORDERAPPENDICES'!$E$254:$H$276</definedName>
    <definedName name="NET_GROSS">'BKA_INITIALORDERAPPENDICES'!$E$286:$H$314</definedName>
    <definedName name="P1_A">'BKA_INITIALORDERAPPENDICES'!$E$171:$J$248</definedName>
    <definedName name="P2_A">'BKA_INITIALORDERAPPENDICES'!$K$171:$P$248</definedName>
    <definedName name="P3_A">'BKA_INITIALORDERAPPENDICES'!$Q$171:$V$248</definedName>
    <definedName name="P4_A">'BKA_INITIALORDERAPPENDICES'!$W$171:$AB$248</definedName>
    <definedName name="P5_A">'BKA_INITIALORDERAPPENDICES'!$AC$171:$AH$248</definedName>
    <definedName name="_xlnm.Print_Area" localSheetId="0">'BKA_INITIALORDERAPPENDICES'!$E$352:$H$432</definedName>
    <definedName name="_xlnm.Print_Titles" localSheetId="0">'BKA_INITIALORDERAPPENDICES'!$B:$D</definedName>
    <definedName name="RA1A">'BKA_INITIALORDERAPPENDICES'!$E$88:$J$166</definedName>
    <definedName name="RA2A">'BKA_INITIALORDERAPPENDICES'!$K$88:$P$166</definedName>
    <definedName name="RA3A">'BKA_INITIALORDERAPPENDICES'!$Q$88:$V$166</definedName>
    <definedName name="RA4A">'BKA_INITIALORDERAPPENDICES'!$W$88:$AB$166</definedName>
    <definedName name="RA5A">'BKA_INITIALORDERAPPENDICES'!$AC$88:$AH$166</definedName>
    <definedName name="REVENUE_REQUIRE">'BKA_INITIALORDERAPPENDICES'!$E$320:$F$347</definedName>
    <definedName name="SEPARATION">'BKA_INITIALORDERAPPENDICES'!$E$352:$H$432</definedName>
    <definedName name="SUMMARY1">'BKA_INITIALORDERAPPENDICES'!$E$3:$K$83</definedName>
    <definedName name="UNCONTESTED">'BKA_INITIALORDERAPPENDICES'!$D$554:$G$596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<sst xmlns="http://schemas.openxmlformats.org/spreadsheetml/2006/main" count="1050" uniqueCount="441">
  <si>
    <t>CTRL-P COMPANY   CTRL-B STAFF  CTRL-C CASECOMPARE</t>
  </si>
  <si>
    <t>SUMMARY1</t>
  </si>
  <si>
    <t>Summary Page 1</t>
  </si>
  <si>
    <t>PER DECISION</t>
  </si>
  <si>
    <t>Adjusted</t>
  </si>
  <si>
    <t>Total</t>
  </si>
  <si>
    <t>Pro forma</t>
  </si>
  <si>
    <t>Revenue</t>
  </si>
  <si>
    <t>Pro Forma</t>
  </si>
  <si>
    <t>Line</t>
  </si>
  <si>
    <t>Per</t>
  </si>
  <si>
    <t>Restating</t>
  </si>
  <si>
    <t>Per Books</t>
  </si>
  <si>
    <t>Results of</t>
  </si>
  <si>
    <t>(Excess) or</t>
  </si>
  <si>
    <t>No.</t>
  </si>
  <si>
    <t>Description</t>
  </si>
  <si>
    <t>Source</t>
  </si>
  <si>
    <t>Books</t>
  </si>
  <si>
    <t>Adustments</t>
  </si>
  <si>
    <t>Restated</t>
  </si>
  <si>
    <t>Adjustments</t>
  </si>
  <si>
    <t>Operations</t>
  </si>
  <si>
    <t>Deficiency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</si>
  <si>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</si>
  <si>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</si>
  <si>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</si>
  <si>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</si>
  <si>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</si>
  <si>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</si>
  <si>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</si>
  <si>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</si>
  <si>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</si>
  <si>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 xml:space="preserve">  REVENUE</t>
  </si>
  <si>
    <t xml:space="preserve">    Passengers - Bremerton &amp; Tacoma</t>
  </si>
  <si>
    <t>Input</t>
  </si>
  <si>
    <t xml:space="preserve">    Passengers - Ft. Lewis &amp; McChord</t>
  </si>
  <si>
    <t xml:space="preserve">    Refunds</t>
  </si>
  <si>
    <t xml:space="preserve">    Charter Income</t>
  </si>
  <si>
    <t xml:space="preserve">    ROTC - Charter</t>
  </si>
  <si>
    <t xml:space="preserve">    Baggage Income</t>
  </si>
  <si>
    <t xml:space="preserve">      TOTAL REVENUE</t>
  </si>
  <si>
    <t xml:space="preserve">  EXPENSES</t>
  </si>
  <si>
    <t xml:space="preserve">    Advertising</t>
  </si>
  <si>
    <t xml:space="preserve">    Concessions-Sea Tac</t>
  </si>
  <si>
    <t xml:space="preserve">    Radio Maintenance</t>
  </si>
  <si>
    <t xml:space="preserve">    Fuel</t>
  </si>
  <si>
    <t xml:space="preserve">    Fuel Taxes</t>
  </si>
  <si>
    <t xml:space="preserve">    Insurance</t>
  </si>
  <si>
    <t xml:space="preserve">    Licenses</t>
  </si>
  <si>
    <t xml:space="preserve">    Parts &amp; Maintenance</t>
  </si>
  <si>
    <t xml:space="preserve">    Salaries</t>
  </si>
  <si>
    <t xml:space="preserve">    PayRoll Taxes</t>
  </si>
  <si>
    <t xml:space="preserve">    Taxes-PU</t>
  </si>
  <si>
    <t xml:space="preserve">    Taxes-UTC</t>
  </si>
  <si>
    <t xml:space="preserve">    Legal &amp; Accounting</t>
  </si>
  <si>
    <t xml:space="preserve">    Bad Debts</t>
  </si>
  <si>
    <t xml:space="preserve">    Bank Charges</t>
  </si>
  <si>
    <t xml:space="preserve">    Baggage Deliver - Taxi</t>
  </si>
  <si>
    <t xml:space="preserve">    Handicap Transport - Taxi</t>
  </si>
  <si>
    <t xml:space="preserve">    Computer</t>
  </si>
  <si>
    <t xml:space="preserve">    Credit Card Fees</t>
  </si>
  <si>
    <t xml:space="preserve">    Depreciation</t>
  </si>
  <si>
    <t xml:space="preserve">    Drug Screening</t>
  </si>
  <si>
    <t xml:space="preserve">    Dues &amp; Publications</t>
  </si>
  <si>
    <t xml:space="preserve">    Education &amp; Training</t>
  </si>
  <si>
    <t xml:space="preserve">    Janitorial</t>
  </si>
  <si>
    <t xml:space="preserve">    Laundry</t>
  </si>
  <si>
    <t xml:space="preserve">    Miscellaneous</t>
  </si>
  <si>
    <t xml:space="preserve">    Office Supplies</t>
  </si>
  <si>
    <t xml:space="preserve">    Postage/Printing</t>
  </si>
  <si>
    <t xml:space="preserve">    Rent</t>
  </si>
  <si>
    <t xml:space="preserve">    Repair &amp; Maintenance</t>
  </si>
  <si>
    <t xml:space="preserve">    Taxes &amp; Licenses</t>
  </si>
  <si>
    <t xml:space="preserve">    Telephone</t>
  </si>
  <si>
    <t xml:space="preserve">    Travel &amp; Meetings</t>
  </si>
  <si>
    <t xml:space="preserve">    Utilities</t>
  </si>
  <si>
    <t xml:space="preserve">    Officer Salary</t>
  </si>
  <si>
    <t xml:space="preserve">    (Gain)/Loss on Sale</t>
  </si>
  <si>
    <t xml:space="preserve">      TOTAL OPERATING EXPENSES</t>
  </si>
  <si>
    <t xml:space="preserve">  NET OPERATING INCOME</t>
  </si>
  <si>
    <t xml:space="preserve">  OTHER INCOME/(EXPENSE)</t>
  </si>
  <si>
    <t xml:space="preserve">    Fuel Tax Refunds</t>
  </si>
  <si>
    <t xml:space="preserve">    Interest Income</t>
  </si>
  <si>
    <t xml:space="preserve">    Dividend Income</t>
  </si>
  <si>
    <t xml:space="preserve">    Cap. Gain Distributions</t>
  </si>
  <si>
    <t xml:space="preserve">    Investment Management Fee</t>
  </si>
  <si>
    <t xml:space="preserve">    Interest Expense</t>
  </si>
  <si>
    <t xml:space="preserve">    Gain/Loss-Assets</t>
  </si>
  <si>
    <t xml:space="preserve">    Gain/Loss-Investment</t>
  </si>
  <si>
    <t xml:space="preserve">    ROTC - Charters</t>
  </si>
  <si>
    <t xml:space="preserve">      TOTAL OTHER INCOME/EXPENSE</t>
  </si>
  <si>
    <t xml:space="preserve">  NET INCOME BEFORE FED. INCOME TAXES</t>
  </si>
  <si>
    <t xml:space="preserve">  OPERATING RATIO - %</t>
  </si>
  <si>
    <t>RESTATING1</t>
  </si>
  <si>
    <t>RESTATING ADJUSTMENTS TO INCOME</t>
  </si>
  <si>
    <t>Restating Adj.  Page 1</t>
  </si>
  <si>
    <t>Restating Adj.  Page 3</t>
  </si>
  <si>
    <t>Restating Adj.  Page 5</t>
  </si>
  <si>
    <t>Restating Adj.  Page 7</t>
  </si>
  <si>
    <t>Restating Adj.  Page 9</t>
  </si>
  <si>
    <t>RA-8</t>
  </si>
  <si>
    <t>Part of RA-1</t>
  </si>
  <si>
    <t>RA-9</t>
  </si>
  <si>
    <t>RA-1</t>
  </si>
  <si>
    <t>RA-2</t>
  </si>
  <si>
    <t>RA-3</t>
  </si>
  <si>
    <t>RA-4</t>
  </si>
  <si>
    <t>RA-5</t>
  </si>
  <si>
    <t>RA-6</t>
  </si>
  <si>
    <t>RA-7</t>
  </si>
  <si>
    <t>RA-10</t>
  </si>
  <si>
    <t>RA-11</t>
  </si>
  <si>
    <t>RA-12</t>
  </si>
  <si>
    <t>RA-13</t>
  </si>
  <si>
    <t>RA-14</t>
  </si>
  <si>
    <t>RA-15</t>
  </si>
  <si>
    <t>RA-16</t>
  </si>
  <si>
    <t>RA-17</t>
  </si>
  <si>
    <t>RA-18</t>
  </si>
  <si>
    <t>RA-19</t>
  </si>
  <si>
    <t>RA-##</t>
  </si>
  <si>
    <t>RA-PC-01</t>
  </si>
  <si>
    <t>RA-PC-02</t>
  </si>
  <si>
    <t>RA-PC-03</t>
  </si>
  <si>
    <t>RA-PC-05</t>
  </si>
  <si>
    <t>RA-PC-06</t>
  </si>
  <si>
    <t>Remove</t>
  </si>
  <si>
    <t>Adjust Depr</t>
  </si>
  <si>
    <t xml:space="preserve">Remove out </t>
  </si>
  <si>
    <t>Adjust</t>
  </si>
  <si>
    <t>Reclass</t>
  </si>
  <si>
    <t>Federal</t>
  </si>
  <si>
    <t>Reclassify</t>
  </si>
  <si>
    <t>Non-Operating</t>
  </si>
  <si>
    <t>Sch &amp; Gain on</t>
  </si>
  <si>
    <t>of Period</t>
  </si>
  <si>
    <t>Shareholder</t>
  </si>
  <si>
    <t>Affiliated</t>
  </si>
  <si>
    <t>Capitalized</t>
  </si>
  <si>
    <t>Adjust Fuel</t>
  </si>
  <si>
    <t>Investment</t>
  </si>
  <si>
    <t>Income</t>
  </si>
  <si>
    <t>Sale of Assets</t>
  </si>
  <si>
    <t>L&amp;I Refund</t>
  </si>
  <si>
    <t>Salary</t>
  </si>
  <si>
    <t>Rent</t>
  </si>
  <si>
    <t>Items</t>
  </si>
  <si>
    <t>Tax Credit</t>
  </si>
  <si>
    <t>Loss</t>
  </si>
  <si>
    <t>Tax</t>
  </si>
  <si>
    <t>(J)</t>
  </si>
  <si>
    <t>(K)</t>
  </si>
  <si>
    <t>(L)</t>
  </si>
  <si>
    <t>(M)</t>
  </si>
  <si>
    <t>(N)</t>
  </si>
  <si>
    <t>(P)</t>
  </si>
  <si>
    <t>(Q)</t>
  </si>
  <si>
    <t>(R)</t>
  </si>
  <si>
    <t>(S)</t>
  </si>
  <si>
    <t>(Z)</t>
  </si>
  <si>
    <t>(Y)</t>
  </si>
  <si>
    <t>(AA)</t>
  </si>
  <si>
    <t>(AB)</t>
  </si>
  <si>
    <t>(AC)</t>
  </si>
  <si>
    <t>(AD)</t>
  </si>
  <si>
    <t>(AE)</t>
  </si>
  <si>
    <t>(AF)</t>
  </si>
  <si>
    <t>PROFORMA1</t>
  </si>
  <si>
    <t>PROFORMA ADJUSTMENTS TO INCOME</t>
  </si>
  <si>
    <t>Pro Forma Adj.  Page 1</t>
  </si>
  <si>
    <t>Pro Forma Adj.  Page 3</t>
  </si>
  <si>
    <t>Pro Forma Adj.  Page 5</t>
  </si>
  <si>
    <t>Pro Forma Adj.  Page 7</t>
  </si>
  <si>
    <t>Pro Forma Adj.  Page 9</t>
  </si>
  <si>
    <t>BKA</t>
  </si>
  <si>
    <t>Staff</t>
  </si>
  <si>
    <t>PA-1</t>
  </si>
  <si>
    <t>PA-2</t>
  </si>
  <si>
    <t>PA-3</t>
  </si>
  <si>
    <t>PA-4</t>
  </si>
  <si>
    <t>PA-6</t>
  </si>
  <si>
    <t>PA-7</t>
  </si>
  <si>
    <t>PA-8</t>
  </si>
  <si>
    <t>PA-9</t>
  </si>
  <si>
    <t>PA-10</t>
  </si>
  <si>
    <t>PA-11</t>
  </si>
  <si>
    <t>PA-12</t>
  </si>
  <si>
    <t>PA-13</t>
  </si>
  <si>
    <t>PA-14</t>
  </si>
  <si>
    <t>PA-15</t>
  </si>
  <si>
    <t>PA-16</t>
  </si>
  <si>
    <t>PA-17</t>
  </si>
  <si>
    <t>PA-18</t>
  </si>
  <si>
    <t>PA-19</t>
  </si>
  <si>
    <t>PA-##</t>
  </si>
  <si>
    <t>Current</t>
  </si>
  <si>
    <t>Cost of</t>
  </si>
  <si>
    <t>Staff Federal</t>
  </si>
  <si>
    <t>Fuel S/C</t>
  </si>
  <si>
    <t>B-K Pay</t>
  </si>
  <si>
    <t>Average</t>
  </si>
  <si>
    <t>Rate</t>
  </si>
  <si>
    <t>Income Tax</t>
  </si>
  <si>
    <t>Increases</t>
  </si>
  <si>
    <t>Fuel Price</t>
  </si>
  <si>
    <t>Case</t>
  </si>
  <si>
    <t>Adjustment</t>
  </si>
  <si>
    <t xml:space="preserve">    Postage/Pmtg</t>
  </si>
  <si>
    <t xml:space="preserve">  TOTAL OPERATING EXPENSES</t>
  </si>
  <si>
    <t>FACTOR INPUT SHEET</t>
  </si>
  <si>
    <t>BREMERTON-KITSAP AIRPORTER, INC. C-903</t>
  </si>
  <si>
    <t>Initial Order Decision</t>
  </si>
  <si>
    <t>FACTOR INPUT</t>
  </si>
  <si>
    <t>PRO FORMA INCOME STATEMENT</t>
  </si>
  <si>
    <t>Docket No. TC-001846</t>
  </si>
  <si>
    <t>FOR THE 12 MONTHS ENDED SEPTEMBER 30, 2000</t>
  </si>
  <si>
    <t>Page 1 of 1</t>
  </si>
  <si>
    <t>Percent</t>
  </si>
  <si>
    <t>Ln #</t>
  </si>
  <si>
    <t>Recommended</t>
  </si>
  <si>
    <t xml:space="preserve">  Decimal Factor</t>
  </si>
  <si>
    <t xml:space="preserve">   Test Period 12 Months Ending Year</t>
  </si>
  <si>
    <t>N/a</t>
  </si>
  <si>
    <t xml:space="preserve">   Net-To-Gross Revenue Conversion Factor</t>
  </si>
  <si>
    <t xml:space="preserve">   Uncollectible Factor</t>
  </si>
  <si>
    <t xml:space="preserve">   B&amp;O Tax</t>
  </si>
  <si>
    <t xml:space="preserve">   WUTC Regulatory Fee</t>
  </si>
  <si>
    <t xml:space="preserve">   Federal Tax Rate</t>
  </si>
  <si>
    <t xml:space="preserve">   Recommended Operating Ratio</t>
  </si>
  <si>
    <t>CONVERSION FACTOR</t>
  </si>
  <si>
    <t>GROSS REVENUE CONVERSION FACTOR</t>
  </si>
  <si>
    <t>REVENUE</t>
  </si>
  <si>
    <t>SENSITIVE</t>
  </si>
  <si>
    <t>STATUTORY</t>
  </si>
  <si>
    <t>DESCRIPTION</t>
  </si>
  <si>
    <t>SOURCE</t>
  </si>
  <si>
    <t>RATES</t>
  </si>
  <si>
    <t>TAX RATE</t>
  </si>
  <si>
    <t xml:space="preserve">  REVENUES</t>
  </si>
  <si>
    <t>Constant</t>
  </si>
  <si>
    <t xml:space="preserve">  EXPENSES:</t>
  </si>
  <si>
    <t xml:space="preserve">  LESS: PROVISION FOR UNCOLLECTIBLES</t>
  </si>
  <si>
    <t xml:space="preserve">            WUTC REGULATORY FEE</t>
  </si>
  <si>
    <t xml:space="preserve">            UTILITY TAX</t>
  </si>
  <si>
    <t xml:space="preserve">              TOTAL REVENUE SENSITIVE EXPENSES</t>
  </si>
  <si>
    <t>+ Ln 2...Ln 6</t>
  </si>
  <si>
    <t xml:space="preserve">  TAXABLE INCOME BEFORE FIT</t>
  </si>
  <si>
    <t>Ln 1 - Ln 7</t>
  </si>
  <si>
    <t xml:space="preserve">  LESS: FEDERAL INCOME TAX</t>
  </si>
  <si>
    <t>Ln 8 - Ln 9</t>
  </si>
  <si>
    <t xml:space="preserve">  GROSS REVENUE CONVERSION FACTOR - MULTIPLIER</t>
  </si>
  <si>
    <t>1/Ln 9</t>
  </si>
  <si>
    <t>REVENUE REQUIREMENT</t>
  </si>
  <si>
    <t>CALCULATION OF REVENUE REQUIREMENT</t>
  </si>
  <si>
    <t>LN #</t>
  </si>
  <si>
    <t>AMOUNT</t>
  </si>
  <si>
    <t xml:space="preserve">   Total Pro Forma Operating Expenses</t>
  </si>
  <si>
    <t xml:space="preserve">   Proposed Operating Ratio</t>
  </si>
  <si>
    <t xml:space="preserve">   Operating Revenue Requirement</t>
  </si>
  <si>
    <t>Ln 1 x (Ln 2/100)</t>
  </si>
  <si>
    <t xml:space="preserve">   Pro Forma Operating Revenue</t>
  </si>
  <si>
    <t xml:space="preserve">   Revenue (Excess) or Deficiency</t>
  </si>
  <si>
    <t>Ln 3 - Ln 4</t>
  </si>
  <si>
    <t xml:space="preserve">   Pre-FIT Conversion Factor</t>
  </si>
  <si>
    <t xml:space="preserve">  Revenue (Excess) or Deficiency after rounding</t>
  </si>
  <si>
    <t>Ln 5 / Ln 6</t>
  </si>
  <si>
    <t xml:space="preserve">  After Allocation and Rounding Rates</t>
  </si>
  <si>
    <t>From Allocations</t>
  </si>
  <si>
    <t xml:space="preserve">  Percent increase (decrease) in overall rates</t>
  </si>
  <si>
    <t>SEPARATIONS1</t>
  </si>
  <si>
    <t>PRO FORMA INCOME STATEMENT SEPARATED BY COUNTY</t>
  </si>
  <si>
    <t>Pierce</t>
  </si>
  <si>
    <t>County</t>
  </si>
  <si>
    <t>Total Co.</t>
  </si>
  <si>
    <t>Bremerton</t>
  </si>
  <si>
    <t>Ft Lewis</t>
  </si>
  <si>
    <t>Separation</t>
  </si>
  <si>
    <t>@ Present</t>
  </si>
  <si>
    <t>Kitsap</t>
  </si>
  <si>
    <t>McChord</t>
  </si>
  <si>
    <t>Basis</t>
  </si>
  <si>
    <t>Rates</t>
  </si>
  <si>
    <t>Factor</t>
  </si>
  <si>
    <t>Psgrs</t>
  </si>
  <si>
    <t>Dvr P/R</t>
  </si>
  <si>
    <t>Actual</t>
  </si>
  <si>
    <t>Fuel</t>
  </si>
  <si>
    <t>P/R Study</t>
  </si>
  <si>
    <t>Salaries</t>
  </si>
  <si>
    <t>Total Revenue</t>
  </si>
  <si>
    <t>Psgr Rev</t>
  </si>
  <si>
    <t>GA</t>
  </si>
  <si>
    <t>Pax Rev</t>
  </si>
  <si>
    <t>Worksheet</t>
  </si>
  <si>
    <t xml:space="preserve">  Passengers</t>
  </si>
  <si>
    <t xml:space="preserve">  Revenue (Excess)/Deficency</t>
  </si>
  <si>
    <t xml:space="preserve">  Pre-FIT Conversion Factor</t>
  </si>
  <si>
    <t xml:space="preserve">  Revenue (Excess)/Deficency w/ Revenue Sen Fac</t>
  </si>
  <si>
    <t xml:space="preserve">  Revenue Per Passenger</t>
  </si>
  <si>
    <t xml:space="preserve">  Rounding Adjustment</t>
  </si>
  <si>
    <t>Direct Input</t>
  </si>
  <si>
    <t xml:space="preserve">  Recommended (Decrease)/Increase in Rates</t>
  </si>
  <si>
    <t xml:space="preserve">  Recommended Operating Ratio</t>
  </si>
  <si>
    <t xml:space="preserve">  Recommended Revenue Reduction</t>
  </si>
  <si>
    <t xml:space="preserve">  BREMERTON-KITSAP AIRPORTER, INC. C-903</t>
  </si>
  <si>
    <t xml:space="preserve">  RESULTS OF OPERATIONS</t>
  </si>
  <si>
    <t xml:space="preserve">  FOR THE 12 MONTHS ENDED SEPTEMBER 30, 2000</t>
  </si>
  <si>
    <t>DECISION</t>
  </si>
  <si>
    <t xml:space="preserve">  SUMMARY OF COMMISSION'S DECISION</t>
  </si>
  <si>
    <t>Net</t>
  </si>
  <si>
    <t>Operating</t>
  </si>
  <si>
    <t>Expenses</t>
  </si>
  <si>
    <t>Ratio - %</t>
  </si>
  <si>
    <t xml:space="preserve">  ACTUAL RESULTS OF OPERATIONS</t>
  </si>
  <si>
    <t>RESTATING ADJUSTMENTS</t>
  </si>
  <si>
    <t xml:space="preserve"> RA-01 Reclassify Income/Correct Mispostings</t>
  </si>
  <si>
    <t xml:space="preserve"> RA-02 Remove Non-Operating Income</t>
  </si>
  <si>
    <t xml:space="preserve"> RA-03 Adj Depr Sch &amp; Gain on Sale of Assets</t>
  </si>
  <si>
    <t xml:space="preserve"> RA-04 Remove out of Period L&amp;I Refund</t>
  </si>
  <si>
    <t>Contested</t>
  </si>
  <si>
    <t xml:space="preserve"> RA-05 Adjust Owner/Shareholder Salary</t>
  </si>
  <si>
    <t xml:space="preserve"> RA-06 Affiliated Rent</t>
  </si>
  <si>
    <t xml:space="preserve"> RA-07 Capitalized Items</t>
  </si>
  <si>
    <t xml:space="preserve"> RA-08 Adjust Fuel Tax Credit  (RA-8 / RA-10)</t>
  </si>
  <si>
    <t xml:space="preserve"> RA-1B Reclassify Investment Loss (RA-1 / RA-9)</t>
  </si>
  <si>
    <t xml:space="preserve"> RA-09 Federal Income Tax (RA-9 / RA -8)</t>
  </si>
  <si>
    <t xml:space="preserve"> TOTAL RESTATING ADJUSTMENTS</t>
  </si>
  <si>
    <t xml:space="preserve"> RESTATED RESULTS OF OPERATIONS</t>
  </si>
  <si>
    <t xml:space="preserve"> PRO FORMA ADJUSTMENTS</t>
  </si>
  <si>
    <t xml:space="preserve"> PA-01 Remove Fuel S/C Revenue</t>
  </si>
  <si>
    <t xml:space="preserve"> PA-02 B-K Pay Increases</t>
  </si>
  <si>
    <t xml:space="preserve"> PA-03 Current Average Fuel</t>
  </si>
  <si>
    <t xml:space="preserve">           Cost of Rate Case  (None / PA-4)</t>
  </si>
  <si>
    <t xml:space="preserve"> PA-04 Federal Income Tax  (PA-4 / None)</t>
  </si>
  <si>
    <t xml:space="preserve"> TOTAL PRO FORMA ADJUSTMENTS</t>
  </si>
  <si>
    <t xml:space="preserve"> PRO FORMA RESULTS OF OPERATIONS</t>
  </si>
  <si>
    <t xml:space="preserve"> OPERATING REV. (EXCESS) OR DEFICIENCY</t>
  </si>
  <si>
    <t xml:space="preserve"> RESULTS AT DECISION RATE LEVEL</t>
  </si>
  <si>
    <t>REVIEW OF WUTC STAFF ADJUSTMENT S-RA-06</t>
  </si>
  <si>
    <t>DEPRECIATION SCHEDULE</t>
  </si>
  <si>
    <t xml:space="preserve">LIFE TO </t>
  </si>
  <si>
    <t>FIRST DAY OF</t>
  </si>
  <si>
    <t>ANNUAL</t>
  </si>
  <si>
    <t>RESERVE AT</t>
  </si>
  <si>
    <t>TEST PERIOD</t>
  </si>
  <si>
    <t>AVERAGE</t>
  </si>
  <si>
    <t>CALCULATION</t>
  </si>
  <si>
    <t>FACILITY'S</t>
  </si>
  <si>
    <t>ACQUISITION</t>
  </si>
  <si>
    <t>ORIGINAL</t>
  </si>
  <si>
    <t>SALVAGE</t>
  </si>
  <si>
    <t>NET TO</t>
  </si>
  <si>
    <t>DEPRECIATION</t>
  </si>
  <si>
    <t>BEGIN OF TP</t>
  </si>
  <si>
    <t xml:space="preserve"> DEPRECIATION</t>
  </si>
  <si>
    <t>END OF TP</t>
  </si>
  <si>
    <t>OF</t>
  </si>
  <si>
    <t>DEBT/EQUITY</t>
  </si>
  <si>
    <t>Asset Description</t>
  </si>
  <si>
    <t>LIFE</t>
  </si>
  <si>
    <t>DATE</t>
  </si>
  <si>
    <t>10/01/99</t>
  </si>
  <si>
    <t>COST</t>
  </si>
  <si>
    <t>VALUE</t>
  </si>
  <si>
    <t>DEPRECIATE</t>
  </si>
  <si>
    <t>EXPENSE</t>
  </si>
  <si>
    <t>RETIREMENTS</t>
  </si>
  <si>
    <t>09/30/00</t>
  </si>
  <si>
    <t>RATE BASE</t>
  </si>
  <si>
    <t>ADJ. RA-06</t>
  </si>
  <si>
    <t>PORTIONS</t>
  </si>
  <si>
    <t xml:space="preserve">  BUILDING ADDITION</t>
  </si>
  <si>
    <t>NOV-00   1/</t>
  </si>
  <si>
    <t xml:space="preserve">  BUILDING ADDITION -- SHOP/GARAGE</t>
  </si>
  <si>
    <t>12/01/98</t>
  </si>
  <si>
    <t xml:space="preserve">  MAIN BUILDING</t>
  </si>
  <si>
    <t>12/26/86</t>
  </si>
  <si>
    <t xml:space="preserve">  LAND</t>
  </si>
  <si>
    <t xml:space="preserve">  ADJOINING LAND</t>
  </si>
  <si>
    <t>11/03/95</t>
  </si>
  <si>
    <t xml:space="preserve">  LOT B DEVELOPMENT</t>
  </si>
  <si>
    <t>12/31/95</t>
  </si>
  <si>
    <t xml:space="preserve">  LOAN FEES</t>
  </si>
  <si>
    <t>12/26/986</t>
  </si>
  <si>
    <t xml:space="preserve">      TOTALS</t>
  </si>
  <si>
    <t xml:space="preserve">  ADJUSTMENT S-RA-06</t>
  </si>
  <si>
    <t xml:space="preserve">  ORIGINAL COSTS:</t>
  </si>
  <si>
    <t xml:space="preserve">     TOTAL DEPRECIATION EXPENSE</t>
  </si>
  <si>
    <t xml:space="preserve">     TOTAL INTEREST EXPENSE A 5%</t>
  </si>
  <si>
    <t xml:space="preserve">     TOTAL EQUITY RETURN AT 15%</t>
  </si>
  <si>
    <t xml:space="preserve">     LEGAL COSTS</t>
  </si>
  <si>
    <t xml:space="preserve">        TOTAL TEST PERIOD ORIGINAL COST</t>
  </si>
  <si>
    <t xml:space="preserve">    PER BOOKS AFFILIATED RENT</t>
  </si>
  <si>
    <t xml:space="preserve">       TOTAL STAFF ADJUSTMENT S-RA-06</t>
  </si>
  <si>
    <t xml:space="preserve">SWITCH ==&gt;  </t>
  </si>
  <si>
    <t>COMMISSION</t>
  </si>
  <si>
    <t>MACROS</t>
  </si>
  <si>
    <t>CTRL-P - PRINT MACRO</t>
  </si>
  <si>
    <t>CTRL-C - PRINT MACRO</t>
  </si>
  <si>
    <t>CTRL-D - PRINT MACRO</t>
  </si>
  <si>
    <t>CTRL-U - PRINT MACRO</t>
  </si>
  <si>
    <t>{SET "PRINT-ORIENTATION";"PORTRAIT"}</t>
  </si>
  <si>
    <t>{SET "PRINT-ORIENTATION";"LANDSCAPE"}</t>
  </si>
  <si>
    <t>{SET "PRINT-HEADER-RIGHT-TEXT";"APPENDIX A, PAGE # OF %"}</t>
  </si>
  <si>
    <t>{SET "PRINT-SIZE";"FIT-ALL"}</t>
  </si>
  <si>
    <t>{SET "PRINT-HEADER-RIGHT-TEXT";"APPENDIX A,  PAGE 1 OF 1"}</t>
  </si>
  <si>
    <t>{SET "PRINT-HEADER-RIGHT-TEXT";"APPENDIX C, PAGE 1 OF 1"}</t>
  </si>
  <si>
    <t>{SET "PRINT-HEADER-RIGHT-TEXT";""}</t>
  </si>
  <si>
    <t>{SET "PRINT-HEADER-RIGHT-TEXT";"APPENDIX E, PAGE 1 OF 1"}</t>
  </si>
  <si>
    <t>{SET "PRINT-CENTERED","HORIZONTAL"}</t>
  </si>
  <si>
    <t>{SET "PRINT-MARGIN-TOP";"1.0in"}</t>
  </si>
  <si>
    <t>{SET "PRINT-MARGIN-TOP";"0.5in"}</t>
  </si>
  <si>
    <t>{SET "PRINT-MARGIN-TOP";"1.5in"}</t>
  </si>
  <si>
    <t>{SET "PRINT-MARGIN-BOTTOM";"1.0in"}</t>
  </si>
  <si>
    <t>{SET "PRINT-MARGIN-BOTTOM";"0.5in"}</t>
  </si>
  <si>
    <t>{SET "PRINT-MARGIN-LEFT";"0.75in"}</t>
  </si>
  <si>
    <t>{SET "PRINT-MARGIN-LEFT";"1.00in"}</t>
  </si>
  <si>
    <t>{SELECT "SUMMARY1"}</t>
  </si>
  <si>
    <t>{SET "PRINT-MARGIN-RIGHT";"0.75in"}</t>
  </si>
  <si>
    <t>{SELECT-APPEND "RA1A"}</t>
  </si>
  <si>
    <t>{SELECT "DECISION"}</t>
  </si>
  <si>
    <t>{SELECT "AFFILRENT"}</t>
  </si>
  <si>
    <t>{SELECT "UNCONTESTED"}</t>
  </si>
  <si>
    <t>{SELECT-APPEND "RA2A"}</t>
  </si>
  <si>
    <t>{PRINT "SELECTION"}</t>
  </si>
  <si>
    <t>{SELECT-APPEND "CASECOMPARE2"}</t>
  </si>
  <si>
    <t>{SELECT-APPEND "P1_A"}</t>
  </si>
  <si>
    <t>{GOTO}A:A1~</t>
  </si>
  <si>
    <t>{SET "PRINT-HEADER-RIGHT-TEXT";"APPENDIX B, PAGE # OF %"}</t>
  </si>
  <si>
    <t>{SELECT "SEPARATION"}</t>
  </si>
  <si>
    <t>{SET "PRINT-HEADER-RIGHT-TEXT";"APPENDIX D, PAGE # OF %"}</t>
  </si>
  <si>
    <t>{SELECT "REVENUE_REQUIRE"}</t>
  </si>
  <si>
    <t xml:space="preserve">  UNCONTESTED &amp; DECISION ON CONTESTED ADJUSTMENTS</t>
  </si>
  <si>
    <t>{SELECT "NET_GROSS"}</t>
  </si>
  <si>
    <t>TOTAL UNCONTESTED ADJUSTMENTS</t>
  </si>
  <si>
    <t>{SELECT-APPEND "P2_A"}</t>
  </si>
  <si>
    <t>{SELECT-APPEND "P2_B"}</t>
  </si>
  <si>
    <t xml:space="preserve"> TOTAL UNCONTESTED ADJUSTMENTS</t>
  </si>
  <si>
    <t>CONTESTED ADJUSTMENTS</t>
  </si>
  <si>
    <t xml:space="preserve">  TOTAL CONTESTED ADJUSTMENTS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</si>
</sst>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"/>
    <numFmt numFmtId="166" formatCode="#,##0.000"/>
    <numFmt numFmtId="167" formatCode="#,##0.000000"/>
    <numFmt numFmtId="168" formatCode="#,##0.00000000"/>
    <numFmt numFmtId="169" formatCode="&quot;$&quot;#,##0"/>
    <numFmt numFmtId="170" formatCode="&quot;$&quot;#,##0.00"/>
  </numFmts>
  <fonts count="10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u val="single"/>
      <sz val="12"/>
      <color indexed="8"/>
      <name val="SWISS"/>
      <family val="0"/>
    </font>
    <font>
      <b/>
      <sz val="12"/>
      <name val="SWISS"/>
      <family val="0"/>
    </font>
    <font>
      <b/>
      <i/>
      <u val="single"/>
      <sz val="12"/>
      <name val="SWISS"/>
      <family val="0"/>
    </font>
    <font>
      <b/>
      <sz val="18"/>
      <color indexed="8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94">
    <xf numFmtId="3" fontId="0" fillId="0" borderId="0" xfId="0" applyFont="1" applyAlignment="1">
      <alignment/>
    </xf>
    <xf numFmtId="3" fontId="0" fillId="0" borderId="1" xfId="0" applyAlignment="1">
      <alignment/>
    </xf>
    <xf numFmtId="3" fontId="4" fillId="0" borderId="1" xfId="0" applyFont="1" applyAlignment="1">
      <alignment/>
    </xf>
    <xf numFmtId="10" fontId="5" fillId="0" borderId="2" xfId="0" applyNumberFormat="1" applyFont="1" applyAlignment="1">
      <alignment/>
    </xf>
    <xf numFmtId="3" fontId="5" fillId="0" borderId="2" xfId="0" applyNumberFormat="1" applyFont="1" applyAlignment="1">
      <alignment/>
    </xf>
    <xf numFmtId="10" fontId="5" fillId="0" borderId="3" xfId="0" applyNumberFormat="1" applyFont="1" applyAlignment="1">
      <alignment/>
    </xf>
    <xf numFmtId="3" fontId="5" fillId="0" borderId="1" xfId="0" applyNumberFormat="1" applyFont="1" applyAlignment="1">
      <alignment/>
    </xf>
    <xf numFmtId="3" fontId="5" fillId="0" borderId="0" xfId="0" applyNumberFormat="1" applyFont="1" applyAlignment="1">
      <alignment/>
    </xf>
    <xf numFmtId="10" fontId="4" fillId="0" borderId="4" xfId="0" applyNumberFormat="1" applyFont="1" applyAlignment="1">
      <alignment/>
    </xf>
    <xf numFmtId="164" fontId="4" fillId="0" borderId="4" xfId="0" applyNumberFormat="1" applyFont="1" applyAlignment="1">
      <alignment/>
    </xf>
    <xf numFmtId="3" fontId="4" fillId="0" borderId="4" xfId="0" applyFont="1" applyAlignment="1">
      <alignment/>
    </xf>
    <xf numFmtId="3" fontId="4" fillId="0" borderId="4" xfId="0" applyNumberFormat="1" applyFont="1" applyAlignment="1">
      <alignment/>
    </xf>
    <xf numFmtId="165" fontId="4" fillId="0" borderId="3" xfId="0" applyNumberFormat="1" applyFont="1" applyAlignment="1">
      <alignment/>
    </xf>
    <xf numFmtId="3" fontId="4" fillId="0" borderId="1" xfId="0" applyFont="1" applyAlignment="1">
      <alignment/>
    </xf>
    <xf numFmtId="3" fontId="4" fillId="0" borderId="1" xfId="0" applyNumberFormat="1" applyFont="1" applyAlignment="1">
      <alignment/>
    </xf>
    <xf numFmtId="10" fontId="4" fillId="0" borderId="5" xfId="0" applyNumberFormat="1" applyFont="1" applyAlignment="1">
      <alignment/>
    </xf>
    <xf numFmtId="3" fontId="4" fillId="0" borderId="5" xfId="0" applyFont="1" applyAlignment="1">
      <alignment/>
    </xf>
    <xf numFmtId="3" fontId="4" fillId="0" borderId="5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6" xfId="0" applyNumberFormat="1" applyFont="1" applyAlignment="1">
      <alignment/>
    </xf>
    <xf numFmtId="3" fontId="5" fillId="0" borderId="6" xfId="0" applyNumberFormat="1" applyFont="1" applyAlignment="1">
      <alignment/>
    </xf>
    <xf numFmtId="3" fontId="5" fillId="0" borderId="4" xfId="0" applyFont="1" applyAlignment="1">
      <alignment/>
    </xf>
    <xf numFmtId="3" fontId="5" fillId="0" borderId="4" xfId="0" applyNumberFormat="1" applyFont="1" applyAlignment="1">
      <alignment/>
    </xf>
    <xf numFmtId="164" fontId="5" fillId="0" borderId="2" xfId="0" applyNumberFormat="1" applyFont="1" applyAlignment="1">
      <alignment/>
    </xf>
    <xf numFmtId="3" fontId="5" fillId="0" borderId="2" xfId="0" applyNumberFormat="1" applyFont="1" applyAlignment="1">
      <alignment/>
    </xf>
    <xf numFmtId="4" fontId="5" fillId="0" borderId="2" xfId="0" applyNumberFormat="1" applyFont="1" applyAlignment="1">
      <alignment/>
    </xf>
    <xf numFmtId="165" fontId="5" fillId="0" borderId="2" xfId="0" applyNumberFormat="1" applyFont="1" applyAlignment="1">
      <alignment/>
    </xf>
    <xf numFmtId="10" fontId="5" fillId="0" borderId="2" xfId="0" applyNumberFormat="1" applyFont="1" applyAlignment="1">
      <alignment/>
    </xf>
    <xf numFmtId="164" fontId="5" fillId="0" borderId="2" xfId="0" applyNumberFormat="1" applyFont="1" applyAlignment="1">
      <alignment/>
    </xf>
    <xf numFmtId="3" fontId="5" fillId="0" borderId="2" xfId="0" applyNumberFormat="1" applyFont="1" applyAlignment="1">
      <alignment/>
    </xf>
    <xf numFmtId="167" fontId="5" fillId="0" borderId="2" xfId="0" applyNumberFormat="1" applyFont="1" applyAlignment="1">
      <alignment/>
    </xf>
    <xf numFmtId="168" fontId="5" fillId="0" borderId="2" xfId="0" applyNumberFormat="1" applyFont="1" applyAlignment="1">
      <alignment/>
    </xf>
    <xf numFmtId="3" fontId="5" fillId="0" borderId="2" xfId="0" applyFont="1" applyAlignment="1">
      <alignment/>
    </xf>
    <xf numFmtId="169" fontId="5" fillId="0" borderId="2" xfId="0" applyNumberFormat="1" applyFont="1" applyAlignment="1">
      <alignment/>
    </xf>
    <xf numFmtId="169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65" fontId="5" fillId="0" borderId="3" xfId="0" applyNumberFormat="1" applyFont="1" applyAlignment="1">
      <alignment/>
    </xf>
    <xf numFmtId="169" fontId="5" fillId="0" borderId="3" xfId="0" applyNumberFormat="1" applyFont="1" applyAlignment="1">
      <alignment/>
    </xf>
    <xf numFmtId="3" fontId="5" fillId="0" borderId="7" xfId="0" applyFont="1" applyAlignment="1">
      <alignment/>
    </xf>
    <xf numFmtId="169" fontId="5" fillId="0" borderId="7" xfId="0" applyNumberFormat="1" applyFont="1" applyAlignment="1">
      <alignment/>
    </xf>
    <xf numFmtId="3" fontId="5" fillId="0" borderId="1" xfId="0" applyNumberFormat="1" applyFont="1" applyAlignment="1">
      <alignment/>
    </xf>
    <xf numFmtId="1" fontId="5" fillId="0" borderId="1" xfId="0" applyNumberFormat="1" applyFont="1" applyAlignment="1">
      <alignment/>
    </xf>
    <xf numFmtId="3" fontId="5" fillId="0" borderId="1" xfId="0" applyFont="1" applyAlignment="1">
      <alignment/>
    </xf>
    <xf numFmtId="3" fontId="5" fillId="0" borderId="1" xfId="0" applyNumberFormat="1" applyFont="1" applyAlignment="1">
      <alignment/>
    </xf>
    <xf numFmtId="3" fontId="5" fillId="0" borderId="8" xfId="0" applyFont="1" applyAlignment="1">
      <alignment/>
    </xf>
    <xf numFmtId="3" fontId="5" fillId="0" borderId="5" xfId="0" applyFont="1" applyAlignment="1">
      <alignment/>
    </xf>
    <xf numFmtId="170" fontId="5" fillId="0" borderId="1" xfId="0" applyNumberFormat="1" applyFont="1" applyAlignment="1">
      <alignment/>
    </xf>
    <xf numFmtId="10" fontId="5" fillId="0" borderId="2" xfId="0" applyNumberFormat="1" applyFont="1" applyAlignment="1">
      <alignment/>
    </xf>
    <xf numFmtId="4" fontId="5" fillId="0" borderId="2" xfId="0" applyNumberFormat="1" applyFont="1" applyAlignment="1">
      <alignment/>
    </xf>
    <xf numFmtId="4" fontId="5" fillId="0" borderId="9" xfId="0" applyNumberFormat="1" applyFont="1" applyAlignment="1">
      <alignment/>
    </xf>
    <xf numFmtId="10" fontId="5" fillId="0" borderId="1" xfId="0" applyNumberFormat="1" applyFont="1" applyAlignment="1">
      <alignment/>
    </xf>
    <xf numFmtId="169" fontId="5" fillId="0" borderId="1" xfId="0" applyNumberFormat="1" applyFont="1" applyAlignment="1">
      <alignment/>
    </xf>
    <xf numFmtId="4" fontId="5" fillId="0" borderId="3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169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3" fontId="0" fillId="0" borderId="6" xfId="0" applyNumberFormat="1" applyFont="1" applyAlignment="1">
      <alignment/>
    </xf>
    <xf numFmtId="3" fontId="0" fillId="0" borderId="2" xfId="0" applyNumberFormat="1" applyFont="1" applyAlignment="1">
      <alignment/>
    </xf>
    <xf numFmtId="169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169" fontId="0" fillId="0" borderId="9" xfId="0" applyNumberFormat="1" applyFont="1" applyAlignment="1">
      <alignment/>
    </xf>
    <xf numFmtId="3" fontId="0" fillId="0" borderId="1" xfId="0" applyNumberFormat="1" applyFont="1" applyAlignment="1">
      <alignment/>
    </xf>
    <xf numFmtId="169" fontId="0" fillId="0" borderId="1" xfId="0" applyNumberFormat="1" applyFont="1" applyAlignment="1">
      <alignment/>
    </xf>
    <xf numFmtId="169" fontId="0" fillId="0" borderId="8" xfId="0" applyNumberFormat="1" applyFont="1" applyAlignment="1">
      <alignment/>
    </xf>
    <xf numFmtId="3" fontId="0" fillId="0" borderId="5" xfId="0" applyNumberFormat="1" applyFont="1" applyAlignment="1">
      <alignment/>
    </xf>
    <xf numFmtId="169" fontId="0" fillId="0" borderId="5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1" xfId="0" applyNumberFormat="1" applyFont="1" applyAlignment="1">
      <alignment/>
    </xf>
    <xf numFmtId="169" fontId="7" fillId="0" borderId="2" xfId="0" applyNumberFormat="1" applyFont="1" applyAlignment="1">
      <alignment/>
    </xf>
    <xf numFmtId="3" fontId="7" fillId="0" borderId="0" xfId="0" applyFont="1" applyAlignment="1">
      <alignment/>
    </xf>
    <xf numFmtId="3" fontId="7" fillId="0" borderId="0" xfId="0" applyNumberFormat="1" applyFont="1" applyAlignment="1">
      <alignment/>
    </xf>
    <xf numFmtId="169" fontId="0" fillId="0" borderId="10" xfId="0" applyNumberFormat="1" applyFont="1" applyAlignment="1">
      <alignment/>
    </xf>
    <xf numFmtId="3" fontId="0" fillId="0" borderId="4" xfId="0" applyFont="1" applyAlignment="1">
      <alignment/>
    </xf>
    <xf numFmtId="3" fontId="0" fillId="0" borderId="4" xfId="0" applyNumberFormat="1" applyFont="1" applyAlignment="1">
      <alignment/>
    </xf>
    <xf numFmtId="3" fontId="0" fillId="0" borderId="0" xfId="0" applyFont="1" applyAlignment="1">
      <alignment/>
    </xf>
    <xf numFmtId="165" fontId="0" fillId="0" borderId="1" xfId="0" applyNumberFormat="1" applyFont="1" applyAlignment="1">
      <alignment/>
    </xf>
    <xf numFmtId="10" fontId="0" fillId="0" borderId="1" xfId="0" applyNumberFormat="1" applyFont="1" applyAlignment="1">
      <alignment/>
    </xf>
    <xf numFmtId="3" fontId="0" fillId="0" borderId="1" xfId="0" applyFont="1" applyAlignment="1">
      <alignment/>
    </xf>
    <xf numFmtId="3" fontId="0" fillId="0" borderId="1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1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5" xfId="0" applyFont="1" applyAlignment="1">
      <alignment/>
    </xf>
    <xf numFmtId="3" fontId="5" fillId="0" borderId="4" xfId="0" applyFont="1" applyAlignment="1">
      <alignment/>
    </xf>
    <xf numFmtId="169" fontId="5" fillId="0" borderId="10" xfId="0" applyNumberFormat="1" applyFont="1" applyAlignment="1">
      <alignment/>
    </xf>
    <xf numFmtId="3" fontId="5" fillId="0" borderId="0" xfId="0" applyFont="1" applyAlignment="1">
      <alignment/>
    </xf>
    <xf numFmtId="164" fontId="5" fillId="0" borderId="2" xfId="0" applyNumberFormat="1" applyFont="1" applyAlignment="1">
      <alignment/>
    </xf>
    <xf numFmtId="3" fontId="5" fillId="0" borderId="2" xfId="0" applyFont="1" applyAlignment="1">
      <alignment/>
    </xf>
    <xf numFmtId="3" fontId="5" fillId="0" borderId="1" xfId="0" applyFont="1" applyAlignment="1">
      <alignment/>
    </xf>
    <xf numFmtId="3" fontId="5" fillId="0" borderId="1" xfId="0" applyNumberFormat="1" applyFont="1" applyAlignment="1">
      <alignment/>
    </xf>
    <xf numFmtId="4" fontId="5" fillId="0" borderId="2" xfId="0" applyNumberFormat="1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3" fontId="5" fillId="0" borderId="2" xfId="0" applyFont="1" applyAlignment="1">
      <alignment horizontal="right"/>
    </xf>
    <xf numFmtId="3" fontId="5" fillId="0" borderId="2" xfId="0" applyNumberFormat="1" applyFont="1" applyAlignment="1">
      <alignment horizontal="right"/>
    </xf>
    <xf numFmtId="3" fontId="5" fillId="0" borderId="3" xfId="0" applyNumberFormat="1" applyFont="1" applyAlignment="1">
      <alignment horizontal="right"/>
    </xf>
    <xf numFmtId="169" fontId="5" fillId="0" borderId="1" xfId="0" applyNumberFormat="1" applyFont="1" applyAlignment="1">
      <alignment horizontal="fill"/>
    </xf>
    <xf numFmtId="169" fontId="5" fillId="0" borderId="11" xfId="0" applyNumberFormat="1" applyFont="1" applyAlignment="1">
      <alignment horizontal="fill"/>
    </xf>
    <xf numFmtId="3" fontId="0" fillId="0" borderId="4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9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5" fillId="0" borderId="4" xfId="0" applyNumberFormat="1" applyFont="1" applyAlignment="1">
      <alignment horizontal="center"/>
    </xf>
    <xf numFmtId="3" fontId="5" fillId="0" borderId="2" xfId="0" applyFont="1" applyAlignment="1">
      <alignment horizontal="center"/>
    </xf>
    <xf numFmtId="3" fontId="5" fillId="0" borderId="3" xfId="0" applyFont="1" applyAlignment="1">
      <alignment horizontal="center"/>
    </xf>
    <xf numFmtId="3" fontId="5" fillId="0" borderId="9" xfId="0" applyFont="1" applyAlignment="1">
      <alignment horizontal="center"/>
    </xf>
    <xf numFmtId="3" fontId="5" fillId="0" borderId="1" xfId="0" applyFont="1" applyAlignment="1">
      <alignment horizontal="center"/>
    </xf>
    <xf numFmtId="3" fontId="5" fillId="0" borderId="5" xfId="0" applyFont="1" applyAlignment="1">
      <alignment horizontal="center"/>
    </xf>
    <xf numFmtId="3" fontId="5" fillId="0" borderId="8" xfId="0" applyFont="1" applyAlignment="1">
      <alignment horizontal="center"/>
    </xf>
    <xf numFmtId="3" fontId="5" fillId="0" borderId="0" xfId="0" applyFont="1" applyAlignment="1">
      <alignment horizontal="center"/>
    </xf>
    <xf numFmtId="3" fontId="4" fillId="0" borderId="2" xfId="0" applyFont="1" applyAlignment="1">
      <alignment/>
    </xf>
    <xf numFmtId="3" fontId="4" fillId="0" borderId="3" xfId="0" applyFont="1" applyAlignment="1">
      <alignment/>
    </xf>
    <xf numFmtId="3" fontId="4" fillId="0" borderId="9" xfId="0" applyFont="1" applyAlignment="1">
      <alignment/>
    </xf>
    <xf numFmtId="3" fontId="4" fillId="0" borderId="1" xfId="0" applyFont="1" applyAlignment="1">
      <alignment/>
    </xf>
    <xf numFmtId="3" fontId="4" fillId="0" borderId="8" xfId="0" applyFont="1" applyAlignment="1">
      <alignment/>
    </xf>
    <xf numFmtId="3" fontId="4" fillId="0" borderId="5" xfId="0" applyFont="1" applyAlignment="1">
      <alignment/>
    </xf>
    <xf numFmtId="3" fontId="4" fillId="0" borderId="0" xfId="0" applyFont="1" applyAlignment="1">
      <alignment/>
    </xf>
    <xf numFmtId="3" fontId="0" fillId="0" borderId="0" xfId="0" applyFont="1" applyAlignment="1">
      <alignment horizontal="right"/>
    </xf>
    <xf numFmtId="3" fontId="4" fillId="0" borderId="9" xfId="0" applyFont="1" applyAlignment="1">
      <alignment horizontal="center"/>
    </xf>
    <xf numFmtId="3" fontId="4" fillId="0" borderId="5" xfId="0" applyFont="1" applyAlignment="1">
      <alignment horizontal="center"/>
    </xf>
    <xf numFmtId="3" fontId="5" fillId="0" borderId="1" xfId="0" applyFont="1" applyAlignment="1">
      <alignment horizontal="center"/>
    </xf>
    <xf numFmtId="3" fontId="4" fillId="0" borderId="6" xfId="0" applyFont="1" applyAlignment="1">
      <alignment horizontal="center"/>
    </xf>
    <xf numFmtId="3" fontId="4" fillId="0" borderId="4" xfId="0" applyFont="1" applyAlignment="1">
      <alignment horizontal="center"/>
    </xf>
    <xf numFmtId="3" fontId="4" fillId="0" borderId="3" xfId="0" applyFont="1" applyAlignment="1">
      <alignment horizontal="center"/>
    </xf>
    <xf numFmtId="3" fontId="4" fillId="0" borderId="9" xfId="0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8" xfId="0" applyFont="1" applyAlignment="1">
      <alignment horizontal="center"/>
    </xf>
    <xf numFmtId="3" fontId="4" fillId="0" borderId="5" xfId="0" applyFont="1" applyAlignment="1">
      <alignment horizontal="center"/>
    </xf>
    <xf numFmtId="3" fontId="4" fillId="0" borderId="0" xfId="0" applyFont="1" applyAlignment="1">
      <alignment horizontal="center"/>
    </xf>
    <xf numFmtId="3" fontId="7" fillId="0" borderId="4" xfId="0" applyFont="1" applyAlignment="1">
      <alignment horizontal="center"/>
    </xf>
    <xf numFmtId="3" fontId="7" fillId="0" borderId="0" xfId="0" applyFont="1" applyAlignment="1">
      <alignment horizontal="center"/>
    </xf>
    <xf numFmtId="3" fontId="7" fillId="0" borderId="9" xfId="0" applyFont="1" applyAlignment="1">
      <alignment horizontal="center"/>
    </xf>
    <xf numFmtId="3" fontId="7" fillId="0" borderId="2" xfId="0" applyFont="1" applyAlignment="1">
      <alignment horizontal="center"/>
    </xf>
    <xf numFmtId="3" fontId="7" fillId="0" borderId="1" xfId="0" applyFont="1" applyAlignment="1">
      <alignment horizontal="center"/>
    </xf>
    <xf numFmtId="3" fontId="7" fillId="0" borderId="5" xfId="0" applyFont="1" applyAlignment="1">
      <alignment horizontal="center"/>
    </xf>
    <xf numFmtId="3" fontId="7" fillId="0" borderId="0" xfId="0" applyFont="1" applyAlignment="1">
      <alignment/>
    </xf>
    <xf numFmtId="3" fontId="7" fillId="0" borderId="0" xfId="0" applyFont="1" applyAlignment="1">
      <alignment horizontal="left"/>
    </xf>
    <xf numFmtId="3" fontId="5" fillId="0" borderId="1" xfId="0" applyFont="1" applyAlignment="1">
      <alignment/>
    </xf>
    <xf numFmtId="3" fontId="8" fillId="0" borderId="0" xfId="0" applyFont="1" applyAlignment="1">
      <alignment/>
    </xf>
    <xf numFmtId="3" fontId="7" fillId="0" borderId="3" xfId="0" applyFont="1" applyAlignment="1">
      <alignment/>
    </xf>
    <xf numFmtId="3" fontId="7" fillId="0" borderId="9" xfId="0" applyFont="1" applyAlignment="1">
      <alignment/>
    </xf>
    <xf numFmtId="3" fontId="7" fillId="0" borderId="1" xfId="0" applyFont="1" applyAlignment="1">
      <alignment/>
    </xf>
    <xf numFmtId="3" fontId="7" fillId="0" borderId="8" xfId="0" applyFont="1" applyAlignment="1">
      <alignment/>
    </xf>
    <xf numFmtId="3" fontId="7" fillId="0" borderId="5" xfId="0" applyFont="1" applyAlignment="1">
      <alignment/>
    </xf>
    <xf numFmtId="3" fontId="7" fillId="0" borderId="0" xfId="0" applyFont="1" applyAlignment="1">
      <alignment/>
    </xf>
    <xf numFmtId="3" fontId="5" fillId="0" borderId="1" xfId="0" applyFont="1" applyAlignment="1">
      <alignment/>
    </xf>
    <xf numFmtId="3" fontId="7" fillId="0" borderId="2" xfId="0" applyFont="1" applyAlignment="1">
      <alignment horizontal="center"/>
    </xf>
    <xf numFmtId="3" fontId="7" fillId="0" borderId="9" xfId="0" applyFont="1" applyAlignment="1">
      <alignment horizontal="center"/>
    </xf>
    <xf numFmtId="3" fontId="7" fillId="0" borderId="1" xfId="0" applyFont="1" applyAlignment="1">
      <alignment horizontal="center"/>
    </xf>
    <xf numFmtId="3" fontId="7" fillId="0" borderId="5" xfId="0" applyFont="1" applyAlignment="1">
      <alignment horizontal="center"/>
    </xf>
    <xf numFmtId="3" fontId="7" fillId="0" borderId="0" xfId="0" applyFont="1" applyAlignment="1">
      <alignment horizontal="center"/>
    </xf>
    <xf numFmtId="3" fontId="7" fillId="0" borderId="1" xfId="0" applyFont="1" applyAlignment="1">
      <alignment/>
    </xf>
    <xf numFmtId="3" fontId="4" fillId="0" borderId="1" xfId="0" applyFont="1" applyAlignment="1">
      <alignment/>
    </xf>
    <xf numFmtId="3" fontId="6" fillId="0" borderId="1" xfId="0" applyFont="1" applyAlignment="1">
      <alignment/>
    </xf>
    <xf numFmtId="3" fontId="5" fillId="0" borderId="1" xfId="0" applyFont="1" applyAlignment="1">
      <alignment/>
    </xf>
    <xf numFmtId="3" fontId="4" fillId="0" borderId="1" xfId="0" applyFont="1" applyAlignment="1">
      <alignment/>
    </xf>
    <xf numFmtId="3" fontId="6" fillId="0" borderId="1" xfId="0" applyFont="1" applyAlignment="1">
      <alignment/>
    </xf>
    <xf numFmtId="3" fontId="0" fillId="0" borderId="1" xfId="0" applyFont="1" applyAlignment="1">
      <alignment/>
    </xf>
    <xf numFmtId="3" fontId="7" fillId="0" borderId="0" xfId="0" applyFont="1" applyAlignment="1">
      <alignment horizontal="left"/>
    </xf>
    <xf numFmtId="3" fontId="9" fillId="0" borderId="4" xfId="0" applyFont="1" applyAlignment="1">
      <alignment/>
    </xf>
    <xf numFmtId="3" fontId="7" fillId="0" borderId="2" xfId="0" applyFont="1" applyAlignment="1">
      <alignment/>
    </xf>
    <xf numFmtId="3" fontId="7" fillId="0" borderId="1" xfId="0" applyFont="1" applyAlignment="1">
      <alignment/>
    </xf>
    <xf numFmtId="3" fontId="4" fillId="0" borderId="1" xfId="0" applyFont="1" applyAlignment="1">
      <alignment/>
    </xf>
    <xf numFmtId="3" fontId="4" fillId="0" borderId="0" xfId="0" applyFont="1" applyAlignment="1">
      <alignment/>
    </xf>
    <xf numFmtId="3" fontId="5" fillId="0" borderId="1" xfId="0" applyFont="1" applyAlignment="1">
      <alignment/>
    </xf>
    <xf numFmtId="3" fontId="4" fillId="0" borderId="2" xfId="0" applyFont="1" applyAlignment="1">
      <alignment/>
    </xf>
    <xf numFmtId="3" fontId="5" fillId="2" borderId="10" xfId="0" applyFont="1" applyFill="1" applyAlignment="1">
      <alignment/>
    </xf>
    <xf numFmtId="3" fontId="5" fillId="2" borderId="11" xfId="0" applyFont="1" applyFill="1" applyAlignment="1">
      <alignment/>
    </xf>
    <xf numFmtId="3" fontId="4" fillId="2" borderId="4" xfId="0" applyFont="1" applyFill="1" applyAlignment="1">
      <alignment/>
    </xf>
    <xf numFmtId="3" fontId="4" fillId="2" borderId="5" xfId="0" applyFont="1" applyFill="1" applyAlignment="1">
      <alignment/>
    </xf>
    <xf numFmtId="3" fontId="8" fillId="0" borderId="0" xfId="0" applyFont="1" applyAlignment="1">
      <alignment/>
    </xf>
    <xf numFmtId="3" fontId="0" fillId="0" borderId="6" xfId="0" applyAlignment="1">
      <alignment/>
    </xf>
    <xf numFmtId="3" fontId="0" fillId="0" borderId="4" xfId="0" applyAlignment="1">
      <alignment/>
    </xf>
    <xf numFmtId="3" fontId="0" fillId="0" borderId="2" xfId="0" applyAlignment="1">
      <alignment/>
    </xf>
    <xf numFmtId="3" fontId="0" fillId="0" borderId="9" xfId="0" applyAlignment="1">
      <alignment/>
    </xf>
    <xf numFmtId="3" fontId="0" fillId="0" borderId="1" xfId="0" applyAlignment="1">
      <alignment/>
    </xf>
    <xf numFmtId="3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97"/>
  <sheetViews>
    <sheetView tabSelected="1" showOutlineSymbols="0" zoomScale="87" zoomScaleNormal="87" workbookViewId="0" topLeftCell="A1">
      <selection activeCell="A1" sqref="A1"/>
    </sheetView>
  </sheetViews>
  <sheetFormatPr defaultColWidth="13.796875" defaultRowHeight="15"/>
  <sheetData>
    <row r="1" spans="2:5" ht="15.75">
      <c r="B1" s="193"/>
      <c r="C1" s="152" t="s">
        <v>0</v>
      </c>
      <c r="D1" s="193"/>
      <c r="E1" s="117" t="str">
        <f>"Year "&amp;FIXED(+$E$264,0,TRUE)</f>
        <v>Year 2000</v>
      </c>
    </row>
    <row r="2" ht="15.75">
      <c r="B2" s="81"/>
    </row>
    <row r="3" spans="1:12" ht="15.75">
      <c r="A3" t="s">
        <v>1</v>
      </c>
      <c r="B3" s="16" t="str">
        <f>$B$254</f>
        <v>BREMERTON-KITSAP AIRPORTER, INC. C-903</v>
      </c>
      <c r="C3" s="22"/>
      <c r="D3" s="22"/>
      <c r="E3" s="96"/>
      <c r="F3" s="22"/>
      <c r="G3" s="22"/>
      <c r="H3" s="8"/>
      <c r="I3" s="23"/>
      <c r="J3" s="10" t="str">
        <f>$G$254</f>
        <v>Initial Order Decision</v>
      </c>
      <c r="K3" s="23"/>
      <c r="L3" s="192"/>
    </row>
    <row r="4" spans="2:12" ht="15.75">
      <c r="B4" s="13" t="str">
        <f>$B$255</f>
        <v>PRO FORMA INCOME STATEMENT</v>
      </c>
      <c r="E4" s="81"/>
      <c r="F4" s="59"/>
      <c r="H4" s="18"/>
      <c r="J4" s="76" t="str">
        <f>$G$255</f>
        <v>Docket No. TC-001846</v>
      </c>
      <c r="K4" s="56"/>
      <c r="L4" s="192"/>
    </row>
    <row r="5" spans="2:38" ht="15.75">
      <c r="B5" s="14" t="str">
        <f>$B$256</f>
        <v>FOR THE 12 MONTHS ENDED SEPTEMBER 30, 2000</v>
      </c>
      <c r="E5" s="98"/>
      <c r="F5" s="60"/>
      <c r="J5" s="152" t="s">
        <v>2</v>
      </c>
      <c r="K5" s="56"/>
      <c r="L5" s="192"/>
      <c r="AL5" s="155"/>
    </row>
    <row r="6" spans="2:38" ht="15.75">
      <c r="B6" s="92" t="s">
        <v>3</v>
      </c>
      <c r="C6" s="187"/>
      <c r="E6" s="98"/>
      <c r="F6" s="60"/>
      <c r="J6" s="89"/>
      <c r="K6" s="56"/>
      <c r="L6" s="192"/>
      <c r="AL6" s="155"/>
    </row>
    <row r="7" spans="2:38" ht="15.75">
      <c r="B7" s="192"/>
      <c r="E7" s="98"/>
      <c r="F7" s="60"/>
      <c r="J7" s="89"/>
      <c r="K7" s="117"/>
      <c r="L7" s="192"/>
      <c r="AL7" s="155"/>
    </row>
    <row r="8" spans="2:38" ht="15.75">
      <c r="B8" s="74"/>
      <c r="C8" s="77"/>
      <c r="D8" s="77"/>
      <c r="E8" s="147"/>
      <c r="F8" s="77"/>
      <c r="G8" s="147"/>
      <c r="H8" s="77"/>
      <c r="I8" s="147"/>
      <c r="J8" s="77"/>
      <c r="K8" s="145" t="s">
        <v>4</v>
      </c>
      <c r="L8" s="192"/>
      <c r="O8" s="89"/>
      <c r="P8" s="89"/>
      <c r="AL8" s="81"/>
    </row>
    <row r="9" spans="2:16" ht="15.75">
      <c r="B9" s="14"/>
      <c r="C9" s="77"/>
      <c r="D9" s="77"/>
      <c r="E9" s="147"/>
      <c r="F9" s="147" t="s">
        <v>5</v>
      </c>
      <c r="G9" s="147"/>
      <c r="H9" s="147" t="s">
        <v>5</v>
      </c>
      <c r="I9" s="147" t="s">
        <v>6</v>
      </c>
      <c r="J9" s="147" t="s">
        <v>7</v>
      </c>
      <c r="K9" s="145" t="s">
        <v>8</v>
      </c>
      <c r="L9" s="192"/>
      <c r="O9" s="89"/>
      <c r="P9" s="89"/>
    </row>
    <row r="10" spans="2:38" ht="15.75">
      <c r="B10" s="142" t="s">
        <v>9</v>
      </c>
      <c r="C10" s="77"/>
      <c r="D10" s="77"/>
      <c r="E10" s="147" t="s">
        <v>10</v>
      </c>
      <c r="F10" s="147" t="s">
        <v>11</v>
      </c>
      <c r="G10" s="147" t="s">
        <v>12</v>
      </c>
      <c r="H10" s="147" t="s">
        <v>8</v>
      </c>
      <c r="I10" s="147" t="s">
        <v>13</v>
      </c>
      <c r="J10" s="147" t="s">
        <v>14</v>
      </c>
      <c r="K10" s="145" t="s">
        <v>13</v>
      </c>
      <c r="L10" s="192"/>
      <c r="O10" s="89"/>
      <c r="AL10" s="81"/>
    </row>
    <row r="11" spans="2:15" ht="15.75">
      <c r="B11" s="142" t="s">
        <v>15</v>
      </c>
      <c r="C11" s="147" t="s">
        <v>16</v>
      </c>
      <c r="D11" s="147" t="s">
        <v>17</v>
      </c>
      <c r="E11" s="147" t="s">
        <v>18</v>
      </c>
      <c r="F11" s="147" t="s">
        <v>19</v>
      </c>
      <c r="G11" s="147" t="s">
        <v>20</v>
      </c>
      <c r="H11" s="147" t="s">
        <v>21</v>
      </c>
      <c r="I11" s="147" t="s">
        <v>22</v>
      </c>
      <c r="J11" s="147" t="s">
        <v>23</v>
      </c>
      <c r="K11" s="145" t="s">
        <v>22</v>
      </c>
      <c r="L11" s="85"/>
      <c r="O11" s="89"/>
    </row>
    <row r="12" spans="2:38" ht="15.75">
      <c r="B12" s="144"/>
      <c r="C12" s="144" t="s">
        <v>24</v>
      </c>
      <c r="D12" s="144" t="s">
        <v>25</v>
      </c>
      <c r="E12" s="144" t="s">
        <v>26</v>
      </c>
      <c r="F12" s="146" t="s">
        <v>27</v>
      </c>
      <c r="G12" s="146" t="s">
        <v>28</v>
      </c>
      <c r="H12" s="146" t="s">
        <v>29</v>
      </c>
      <c r="I12" s="146" t="s">
        <v>30</v>
      </c>
      <c r="J12" s="146" t="s">
        <v>31</v>
      </c>
      <c r="K12" s="139" t="s">
        <v>32</v>
      </c>
      <c r="L12" s="85"/>
      <c r="O12" s="89"/>
      <c r="AL12" s="81"/>
    </row>
    <row r="13" spans="2:38" ht="15.75">
      <c r="B13" s="123"/>
      <c r="C13" s="123"/>
      <c r="D13" s="123"/>
      <c r="E13" s="123"/>
      <c r="F13" s="118"/>
      <c r="G13" s="118"/>
      <c r="H13" s="118"/>
      <c r="I13" s="118"/>
      <c r="J13" s="118"/>
      <c r="K13" s="126"/>
      <c r="L13" s="85"/>
      <c r="O13" s="81"/>
      <c r="AL13" s="81"/>
    </row>
    <row r="14" spans="2:38" ht="15.75">
      <c r="B14" s="123"/>
      <c r="C14" s="1" t="s">
        <v>33</v>
      </c>
      <c r="D14" s="44"/>
      <c r="E14" s="44"/>
      <c r="K14" s="56"/>
      <c r="L14" s="85"/>
      <c r="O14" s="89"/>
      <c r="AL14" s="81"/>
    </row>
    <row r="15" spans="2:38" ht="15.75">
      <c r="B15" s="123">
        <v>1</v>
      </c>
      <c r="C15" s="101" t="s">
        <v>34</v>
      </c>
      <c r="D15" s="123" t="s">
        <v>35</v>
      </c>
      <c r="E15" s="41">
        <v>1456090</v>
      </c>
      <c r="F15">
        <f aca="true" t="shared" si="0" ref="F15:F20">E99</f>
        <v>0</v>
      </c>
      <c r="G15">
        <f aca="true" t="shared" si="1" ref="G15:G20">E15+F15</f>
        <v>1456090</v>
      </c>
      <c r="H15">
        <f aca="true" t="shared" si="2" ref="H15:H20">E182</f>
        <v>-12736</v>
      </c>
      <c r="I15">
        <f aca="true" t="shared" si="3" ref="I15:I20">G15+H15</f>
        <v>1443354</v>
      </c>
      <c r="J15" s="193">
        <f>G430</f>
        <v>-196493.36025603785</v>
      </c>
      <c r="K15" s="56">
        <f aca="true" t="shared" si="4" ref="K15:K20">I15+J15</f>
        <v>1246860.639743962</v>
      </c>
      <c r="L15" s="83" t="e">
        <f>L21/L16</f>
        <v>#DIV/0!</v>
      </c>
      <c r="O15" s="89"/>
      <c r="AL15" s="81"/>
    </row>
    <row r="16" spans="2:38" ht="15.75">
      <c r="B16" s="123">
        <f aca="true" t="shared" si="5" ref="B16:B21">B15+1</f>
        <v>2</v>
      </c>
      <c r="C16" s="101" t="s">
        <v>36</v>
      </c>
      <c r="D16" s="123" t="s">
        <v>35</v>
      </c>
      <c r="E16" s="41">
        <v>199447</v>
      </c>
      <c r="F16">
        <f t="shared" si="0"/>
        <v>0</v>
      </c>
      <c r="G16">
        <f t="shared" si="1"/>
        <v>199447</v>
      </c>
      <c r="H16">
        <f t="shared" si="2"/>
        <v>-2297</v>
      </c>
      <c r="I16">
        <f t="shared" si="3"/>
        <v>197150</v>
      </c>
      <c r="J16" s="193">
        <f>H430</f>
        <v>46441.70996258998</v>
      </c>
      <c r="K16" s="56">
        <f t="shared" si="4"/>
        <v>243591.70996259</v>
      </c>
      <c r="L16" s="84"/>
      <c r="O16" s="89"/>
      <c r="AL16" s="81"/>
    </row>
    <row r="17" spans="2:38" ht="15.75">
      <c r="B17" s="123">
        <f t="shared" si="5"/>
        <v>3</v>
      </c>
      <c r="C17" s="101" t="s">
        <v>37</v>
      </c>
      <c r="D17" s="123" t="s">
        <v>35</v>
      </c>
      <c r="E17" s="41">
        <v>-2466</v>
      </c>
      <c r="F17">
        <f t="shared" si="0"/>
        <v>0</v>
      </c>
      <c r="G17">
        <f t="shared" si="1"/>
        <v>-2466</v>
      </c>
      <c r="H17">
        <f t="shared" si="2"/>
        <v>0</v>
      </c>
      <c r="I17">
        <f t="shared" si="3"/>
        <v>-2466</v>
      </c>
      <c r="J17" s="193">
        <v>0</v>
      </c>
      <c r="K17" s="56">
        <f t="shared" si="4"/>
        <v>-2466</v>
      </c>
      <c r="L17" s="85"/>
      <c r="O17" s="89"/>
      <c r="AL17" s="81"/>
    </row>
    <row r="18" spans="2:38" ht="15.75">
      <c r="B18" s="123">
        <f t="shared" si="5"/>
        <v>4</v>
      </c>
      <c r="C18" s="101" t="s">
        <v>38</v>
      </c>
      <c r="D18" s="123" t="s">
        <v>35</v>
      </c>
      <c r="E18" s="41">
        <v>0</v>
      </c>
      <c r="F18">
        <f t="shared" si="0"/>
        <v>8203</v>
      </c>
      <c r="G18">
        <f t="shared" si="1"/>
        <v>8203</v>
      </c>
      <c r="H18">
        <f t="shared" si="2"/>
        <v>0</v>
      </c>
      <c r="I18">
        <f t="shared" si="3"/>
        <v>8203</v>
      </c>
      <c r="J18" s="193">
        <v>0</v>
      </c>
      <c r="K18" s="56">
        <f t="shared" si="4"/>
        <v>8203</v>
      </c>
      <c r="L18" s="85"/>
      <c r="O18" s="89"/>
      <c r="AL18" s="81"/>
    </row>
    <row r="19" spans="2:38" ht="15.75">
      <c r="B19" s="123">
        <f t="shared" si="5"/>
        <v>5</v>
      </c>
      <c r="C19" s="101" t="s">
        <v>39</v>
      </c>
      <c r="D19" s="123" t="s">
        <v>35</v>
      </c>
      <c r="E19" s="41">
        <v>0</v>
      </c>
      <c r="F19">
        <f t="shared" si="0"/>
        <v>2300</v>
      </c>
      <c r="G19">
        <f t="shared" si="1"/>
        <v>2300</v>
      </c>
      <c r="H19">
        <f t="shared" si="2"/>
        <v>0</v>
      </c>
      <c r="I19">
        <f t="shared" si="3"/>
        <v>2300</v>
      </c>
      <c r="J19" s="193">
        <v>0</v>
      </c>
      <c r="K19" s="56">
        <f t="shared" si="4"/>
        <v>2300</v>
      </c>
      <c r="L19" s="85"/>
      <c r="M19" s="193"/>
      <c r="N19" s="134"/>
      <c r="O19" s="89"/>
      <c r="AL19" s="81"/>
    </row>
    <row r="20" spans="2:38" ht="15.75">
      <c r="B20" s="123">
        <f t="shared" si="5"/>
        <v>6</v>
      </c>
      <c r="C20" s="101" t="s">
        <v>40</v>
      </c>
      <c r="D20" s="123" t="s">
        <v>35</v>
      </c>
      <c r="E20" s="41">
        <v>0</v>
      </c>
      <c r="F20">
        <f t="shared" si="0"/>
        <v>5420</v>
      </c>
      <c r="G20">
        <f t="shared" si="1"/>
        <v>5420</v>
      </c>
      <c r="H20">
        <f t="shared" si="2"/>
        <v>0</v>
      </c>
      <c r="I20">
        <f t="shared" si="3"/>
        <v>5420</v>
      </c>
      <c r="J20" s="193">
        <v>0</v>
      </c>
      <c r="K20" s="56">
        <f t="shared" si="4"/>
        <v>5420</v>
      </c>
      <c r="L20" s="192"/>
      <c r="M20" s="89"/>
      <c r="O20" s="89"/>
      <c r="AL20" s="81"/>
    </row>
    <row r="21" spans="2:15" ht="15.75">
      <c r="B21" s="123">
        <f t="shared" si="5"/>
        <v>7</v>
      </c>
      <c r="C21" s="92" t="s">
        <v>41</v>
      </c>
      <c r="D21" s="123" t="str">
        <f>"+Ln "&amp;FIXED(+B15,0,TRUE)&amp;" thru "&amp;FIXED(+B20,0,TRUE)</f>
        <v>+Ln 1 thru 6</v>
      </c>
      <c r="E21" s="186">
        <f aca="true" t="shared" si="6" ref="E21:K21">SUM(E15:E20)</f>
        <v>1653071</v>
      </c>
      <c r="F21" s="185">
        <f t="shared" si="6"/>
        <v>15923</v>
      </c>
      <c r="G21" s="185">
        <f t="shared" si="6"/>
        <v>1668994</v>
      </c>
      <c r="H21" s="185">
        <f t="shared" si="6"/>
        <v>-15033</v>
      </c>
      <c r="I21" s="185">
        <f t="shared" si="6"/>
        <v>1653961</v>
      </c>
      <c r="J21" s="185">
        <f t="shared" si="6"/>
        <v>-150051.65029344786</v>
      </c>
      <c r="K21" s="185">
        <f t="shared" si="6"/>
        <v>1503909.349706552</v>
      </c>
      <c r="L21" s="192"/>
      <c r="M21" s="81"/>
      <c r="O21" s="81"/>
    </row>
    <row r="22" spans="2:17" ht="15.75">
      <c r="B22" s="123"/>
      <c r="C22" s="92"/>
      <c r="D22" s="123"/>
      <c r="E22" s="16"/>
      <c r="F22" s="10"/>
      <c r="G22" s="10"/>
      <c r="H22" s="10"/>
      <c r="I22" s="10"/>
      <c r="J22" s="10"/>
      <c r="K22" s="10"/>
      <c r="L22" s="192"/>
      <c r="N22" s="81"/>
      <c r="O22" s="86"/>
      <c r="P22" s="193"/>
      <c r="Q22" s="193"/>
    </row>
    <row r="23" spans="2:17" ht="15.75">
      <c r="B23" s="114"/>
      <c r="C23" s="1" t="s">
        <v>42</v>
      </c>
      <c r="D23" s="44"/>
      <c r="E23" s="44"/>
      <c r="K23" s="56"/>
      <c r="L23" s="192"/>
      <c r="O23" s="81"/>
      <c r="Q23" s="193"/>
    </row>
    <row r="24" spans="2:15" ht="15.75">
      <c r="B24" s="123">
        <f>B21+1</f>
        <v>8</v>
      </c>
      <c r="C24" s="101" t="s">
        <v>43</v>
      </c>
      <c r="D24" s="123" t="s">
        <v>35</v>
      </c>
      <c r="E24" s="41">
        <v>10774</v>
      </c>
      <c r="F24">
        <f aca="true" t="shared" si="7" ref="F24:F60">E108</f>
        <v>0</v>
      </c>
      <c r="G24">
        <f aca="true" t="shared" si="8" ref="G24:G60">E24+F24</f>
        <v>10774</v>
      </c>
      <c r="H24">
        <f aca="true" t="shared" si="9" ref="H24:H60">E191</f>
        <v>0</v>
      </c>
      <c r="I24">
        <f aca="true" t="shared" si="10" ref="I24:I60">G24+H24</f>
        <v>10774</v>
      </c>
      <c r="J24">
        <v>0</v>
      </c>
      <c r="K24" s="56">
        <f aca="true" t="shared" si="11" ref="K24:K60">I24+J24</f>
        <v>10774</v>
      </c>
      <c r="L24" s="192"/>
      <c r="O24" s="81"/>
    </row>
    <row r="25" spans="2:15" ht="15.75">
      <c r="B25" s="123">
        <f aca="true" t="shared" si="12" ref="B25:B61">B24+1</f>
        <v>9</v>
      </c>
      <c r="C25" s="101" t="s">
        <v>44</v>
      </c>
      <c r="D25" s="123" t="s">
        <v>35</v>
      </c>
      <c r="E25" s="41">
        <v>13634</v>
      </c>
      <c r="F25">
        <f t="shared" si="7"/>
        <v>0</v>
      </c>
      <c r="G25">
        <f t="shared" si="8"/>
        <v>13634</v>
      </c>
      <c r="H25">
        <f t="shared" si="9"/>
        <v>0</v>
      </c>
      <c r="I25">
        <f t="shared" si="10"/>
        <v>13634</v>
      </c>
      <c r="J25">
        <v>0</v>
      </c>
      <c r="K25" s="56">
        <f t="shared" si="11"/>
        <v>13634</v>
      </c>
      <c r="L25" s="192"/>
      <c r="O25" s="81"/>
    </row>
    <row r="26" spans="2:15" ht="15.75">
      <c r="B26" s="123">
        <f t="shared" si="12"/>
        <v>10</v>
      </c>
      <c r="C26" s="101" t="s">
        <v>45</v>
      </c>
      <c r="D26" s="123" t="s">
        <v>35</v>
      </c>
      <c r="E26" s="41">
        <v>13415</v>
      </c>
      <c r="F26">
        <f t="shared" si="7"/>
        <v>0</v>
      </c>
      <c r="G26">
        <f t="shared" si="8"/>
        <v>13415</v>
      </c>
      <c r="H26">
        <f t="shared" si="9"/>
        <v>0</v>
      </c>
      <c r="I26">
        <f t="shared" si="10"/>
        <v>13415</v>
      </c>
      <c r="J26" s="81">
        <v>0</v>
      </c>
      <c r="K26" s="56">
        <f t="shared" si="11"/>
        <v>13415</v>
      </c>
      <c r="L26" s="192"/>
      <c r="M26" s="81"/>
      <c r="O26" s="89"/>
    </row>
    <row r="27" spans="2:15" ht="15.75">
      <c r="B27" s="123">
        <f t="shared" si="12"/>
        <v>11</v>
      </c>
      <c r="C27" s="101" t="s">
        <v>46</v>
      </c>
      <c r="D27" s="123" t="s">
        <v>35</v>
      </c>
      <c r="E27" s="41">
        <v>189282</v>
      </c>
      <c r="F27">
        <f t="shared" si="7"/>
        <v>-22984</v>
      </c>
      <c r="G27">
        <f t="shared" si="8"/>
        <v>166298</v>
      </c>
      <c r="H27">
        <f t="shared" si="9"/>
        <v>11168</v>
      </c>
      <c r="I27">
        <f t="shared" si="10"/>
        <v>177466</v>
      </c>
      <c r="J27">
        <v>0</v>
      </c>
      <c r="K27" s="56">
        <f t="shared" si="11"/>
        <v>177466</v>
      </c>
      <c r="L27" s="192"/>
      <c r="O27" s="89"/>
    </row>
    <row r="28" spans="2:15" ht="15.75">
      <c r="B28" s="123">
        <f t="shared" si="12"/>
        <v>12</v>
      </c>
      <c r="C28" s="101" t="s">
        <v>47</v>
      </c>
      <c r="D28" s="123" t="s">
        <v>35</v>
      </c>
      <c r="E28" s="43">
        <v>0</v>
      </c>
      <c r="F28">
        <f t="shared" si="7"/>
        <v>0</v>
      </c>
      <c r="G28">
        <f t="shared" si="8"/>
        <v>0</v>
      </c>
      <c r="H28">
        <f t="shared" si="9"/>
        <v>0</v>
      </c>
      <c r="I28">
        <f t="shared" si="10"/>
        <v>0</v>
      </c>
      <c r="J28">
        <v>0</v>
      </c>
      <c r="K28" s="56">
        <f t="shared" si="11"/>
        <v>0</v>
      </c>
      <c r="L28" s="192"/>
      <c r="O28" s="89"/>
    </row>
    <row r="29" spans="2:15" ht="15.75">
      <c r="B29" s="123">
        <f t="shared" si="12"/>
        <v>13</v>
      </c>
      <c r="C29" s="101" t="s">
        <v>48</v>
      </c>
      <c r="D29" s="123" t="s">
        <v>35</v>
      </c>
      <c r="E29" s="43">
        <v>75278</v>
      </c>
      <c r="F29">
        <f t="shared" si="7"/>
        <v>0</v>
      </c>
      <c r="G29">
        <f t="shared" si="8"/>
        <v>75278</v>
      </c>
      <c r="H29">
        <f t="shared" si="9"/>
        <v>0</v>
      </c>
      <c r="I29">
        <f t="shared" si="10"/>
        <v>75278</v>
      </c>
      <c r="J29">
        <v>0</v>
      </c>
      <c r="K29" s="56">
        <f t="shared" si="11"/>
        <v>75278</v>
      </c>
      <c r="L29" s="192"/>
      <c r="N29" s="89"/>
      <c r="O29" s="89"/>
    </row>
    <row r="30" spans="2:15" ht="15.75">
      <c r="B30" s="123">
        <f t="shared" si="12"/>
        <v>14</v>
      </c>
      <c r="C30" s="101" t="s">
        <v>49</v>
      </c>
      <c r="D30" s="123" t="s">
        <v>35</v>
      </c>
      <c r="E30" s="41">
        <v>2632</v>
      </c>
      <c r="F30">
        <f t="shared" si="7"/>
        <v>0</v>
      </c>
      <c r="G30">
        <f t="shared" si="8"/>
        <v>2632</v>
      </c>
      <c r="H30">
        <f t="shared" si="9"/>
        <v>0</v>
      </c>
      <c r="I30">
        <f t="shared" si="10"/>
        <v>2632</v>
      </c>
      <c r="J30" s="81">
        <v>0</v>
      </c>
      <c r="K30" s="56">
        <f t="shared" si="11"/>
        <v>2632</v>
      </c>
      <c r="L30" s="192"/>
      <c r="M30" s="81"/>
      <c r="O30" s="89"/>
    </row>
    <row r="31" spans="2:14" ht="15.75">
      <c r="B31" s="123">
        <f t="shared" si="12"/>
        <v>15</v>
      </c>
      <c r="C31" s="101" t="s">
        <v>50</v>
      </c>
      <c r="D31" s="123" t="s">
        <v>35</v>
      </c>
      <c r="E31" s="43">
        <v>52506</v>
      </c>
      <c r="F31">
        <f t="shared" si="7"/>
        <v>0</v>
      </c>
      <c r="G31">
        <f t="shared" si="8"/>
        <v>52506</v>
      </c>
      <c r="H31">
        <f t="shared" si="9"/>
        <v>0</v>
      </c>
      <c r="I31">
        <f t="shared" si="10"/>
        <v>52506</v>
      </c>
      <c r="J31" s="81">
        <v>0</v>
      </c>
      <c r="K31" s="56">
        <f t="shared" si="11"/>
        <v>52506</v>
      </c>
      <c r="L31" s="192"/>
      <c r="N31" s="81"/>
    </row>
    <row r="32" spans="2:14" ht="15.75">
      <c r="B32" s="123">
        <f t="shared" si="12"/>
        <v>16</v>
      </c>
      <c r="C32" s="101" t="s">
        <v>51</v>
      </c>
      <c r="D32" s="123" t="s">
        <v>35</v>
      </c>
      <c r="E32" s="43">
        <v>608421</v>
      </c>
      <c r="F32">
        <f t="shared" si="7"/>
        <v>0</v>
      </c>
      <c r="G32">
        <f t="shared" si="8"/>
        <v>608421</v>
      </c>
      <c r="H32">
        <f t="shared" si="9"/>
        <v>15833</v>
      </c>
      <c r="I32">
        <f t="shared" si="10"/>
        <v>624254</v>
      </c>
      <c r="J32">
        <v>0</v>
      </c>
      <c r="K32" s="56">
        <f t="shared" si="11"/>
        <v>624254</v>
      </c>
      <c r="L32" s="192"/>
      <c r="N32" s="81"/>
    </row>
    <row r="33" spans="2:14" ht="15.75">
      <c r="B33" s="123">
        <f t="shared" si="12"/>
        <v>17</v>
      </c>
      <c r="C33" s="101" t="s">
        <v>52</v>
      </c>
      <c r="D33" s="123" t="s">
        <v>35</v>
      </c>
      <c r="E33" s="43">
        <v>81892</v>
      </c>
      <c r="F33">
        <f t="shared" si="7"/>
        <v>5619.5</v>
      </c>
      <c r="G33">
        <f t="shared" si="8"/>
        <v>87511.5</v>
      </c>
      <c r="H33">
        <f t="shared" si="9"/>
        <v>2101</v>
      </c>
      <c r="I33">
        <f t="shared" si="10"/>
        <v>89612.5</v>
      </c>
      <c r="J33">
        <v>0</v>
      </c>
      <c r="K33" s="56">
        <f t="shared" si="11"/>
        <v>89612.5</v>
      </c>
      <c r="L33" s="192"/>
      <c r="N33" s="81"/>
    </row>
    <row r="34" spans="2:14" ht="15.75">
      <c r="B34" s="123">
        <f t="shared" si="12"/>
        <v>18</v>
      </c>
      <c r="C34" s="101" t="s">
        <v>53</v>
      </c>
      <c r="D34" s="123" t="s">
        <v>35</v>
      </c>
      <c r="E34" s="43">
        <v>32112</v>
      </c>
      <c r="F34">
        <f t="shared" si="7"/>
        <v>0</v>
      </c>
      <c r="G34">
        <f t="shared" si="8"/>
        <v>32112</v>
      </c>
      <c r="H34">
        <f t="shared" si="9"/>
        <v>-290</v>
      </c>
      <c r="I34">
        <f t="shared" si="10"/>
        <v>31822</v>
      </c>
      <c r="J34" s="81">
        <f>J21*E270</f>
        <v>-2889.9947846518057</v>
      </c>
      <c r="K34" s="56">
        <f t="shared" si="11"/>
        <v>28932.005215348196</v>
      </c>
      <c r="L34" s="192"/>
      <c r="M34" s="81"/>
      <c r="N34" s="81"/>
    </row>
    <row r="35" spans="2:14" ht="15.75">
      <c r="B35" s="123">
        <f t="shared" si="12"/>
        <v>19</v>
      </c>
      <c r="C35" s="101" t="s">
        <v>54</v>
      </c>
      <c r="D35" s="123" t="s">
        <v>35</v>
      </c>
      <c r="E35" s="43">
        <v>9263</v>
      </c>
      <c r="F35">
        <f t="shared" si="7"/>
        <v>0</v>
      </c>
      <c r="G35">
        <f t="shared" si="8"/>
        <v>9263</v>
      </c>
      <c r="H35">
        <f t="shared" si="9"/>
        <v>-60</v>
      </c>
      <c r="I35">
        <f t="shared" si="10"/>
        <v>9203</v>
      </c>
      <c r="J35" s="81">
        <f>J21*E272</f>
        <v>-600.2066011737915</v>
      </c>
      <c r="K35" s="56">
        <f t="shared" si="11"/>
        <v>8602.793398826208</v>
      </c>
      <c r="L35" s="192"/>
      <c r="M35" s="81"/>
      <c r="N35" s="81"/>
    </row>
    <row r="36" spans="2:14" ht="15.75">
      <c r="B36" s="123">
        <f t="shared" si="12"/>
        <v>20</v>
      </c>
      <c r="C36" s="101" t="s">
        <v>55</v>
      </c>
      <c r="D36" s="123" t="s">
        <v>35</v>
      </c>
      <c r="E36" s="43">
        <v>8555</v>
      </c>
      <c r="F36">
        <f t="shared" si="7"/>
        <v>0</v>
      </c>
      <c r="G36">
        <f t="shared" si="8"/>
        <v>8555</v>
      </c>
      <c r="H36">
        <f t="shared" si="9"/>
        <v>12561</v>
      </c>
      <c r="I36">
        <f t="shared" si="10"/>
        <v>21116</v>
      </c>
      <c r="J36">
        <v>0</v>
      </c>
      <c r="K36" s="56">
        <f t="shared" si="11"/>
        <v>21116</v>
      </c>
      <c r="L36" s="192"/>
      <c r="N36" s="81"/>
    </row>
    <row r="37" spans="2:14" ht="15.75">
      <c r="B37" s="123">
        <f t="shared" si="12"/>
        <v>21</v>
      </c>
      <c r="C37" s="101" t="s">
        <v>56</v>
      </c>
      <c r="D37" s="123" t="s">
        <v>35</v>
      </c>
      <c r="E37" s="43">
        <v>1805</v>
      </c>
      <c r="F37">
        <f t="shared" si="7"/>
        <v>0</v>
      </c>
      <c r="G37">
        <f t="shared" si="8"/>
        <v>1805</v>
      </c>
      <c r="H37">
        <f t="shared" si="9"/>
        <v>0</v>
      </c>
      <c r="I37">
        <f t="shared" si="10"/>
        <v>1805</v>
      </c>
      <c r="J37">
        <v>0</v>
      </c>
      <c r="K37" s="56">
        <f t="shared" si="11"/>
        <v>1805</v>
      </c>
      <c r="L37" s="192"/>
      <c r="N37" s="81"/>
    </row>
    <row r="38" spans="2:14" ht="15.75">
      <c r="B38" s="123">
        <f t="shared" si="12"/>
        <v>22</v>
      </c>
      <c r="C38" s="101" t="s">
        <v>57</v>
      </c>
      <c r="D38" s="123" t="s">
        <v>35</v>
      </c>
      <c r="E38" s="43">
        <v>201</v>
      </c>
      <c r="F38">
        <f t="shared" si="7"/>
        <v>0</v>
      </c>
      <c r="G38">
        <f t="shared" si="8"/>
        <v>201</v>
      </c>
      <c r="H38">
        <f t="shared" si="9"/>
        <v>0</v>
      </c>
      <c r="I38">
        <f t="shared" si="10"/>
        <v>201</v>
      </c>
      <c r="J38">
        <v>0</v>
      </c>
      <c r="K38" s="56">
        <f t="shared" si="11"/>
        <v>201</v>
      </c>
      <c r="L38" s="192"/>
      <c r="N38" s="81"/>
    </row>
    <row r="39" spans="2:14" ht="15.75">
      <c r="B39" s="123">
        <f t="shared" si="12"/>
        <v>23</v>
      </c>
      <c r="C39" s="101" t="s">
        <v>58</v>
      </c>
      <c r="D39" s="123" t="s">
        <v>35</v>
      </c>
      <c r="E39" s="43">
        <v>1160</v>
      </c>
      <c r="F39">
        <f t="shared" si="7"/>
        <v>0</v>
      </c>
      <c r="G39">
        <f t="shared" si="8"/>
        <v>1160</v>
      </c>
      <c r="H39">
        <f t="shared" si="9"/>
        <v>0</v>
      </c>
      <c r="I39">
        <f t="shared" si="10"/>
        <v>1160</v>
      </c>
      <c r="J39" s="81">
        <v>0</v>
      </c>
      <c r="K39" s="56">
        <f t="shared" si="11"/>
        <v>1160</v>
      </c>
      <c r="L39" s="192"/>
      <c r="N39" s="81"/>
    </row>
    <row r="40" spans="2:14" ht="15.75">
      <c r="B40" s="123">
        <f t="shared" si="12"/>
        <v>24</v>
      </c>
      <c r="C40" s="101" t="s">
        <v>59</v>
      </c>
      <c r="D40" s="123" t="s">
        <v>35</v>
      </c>
      <c r="E40" s="43">
        <v>549</v>
      </c>
      <c r="F40">
        <f t="shared" si="7"/>
        <v>0</v>
      </c>
      <c r="G40">
        <f t="shared" si="8"/>
        <v>549</v>
      </c>
      <c r="H40">
        <f t="shared" si="9"/>
        <v>0</v>
      </c>
      <c r="I40">
        <f t="shared" si="10"/>
        <v>549</v>
      </c>
      <c r="J40" s="81">
        <v>0</v>
      </c>
      <c r="K40" s="56">
        <f t="shared" si="11"/>
        <v>549</v>
      </c>
      <c r="L40" s="192"/>
      <c r="N40" s="81"/>
    </row>
    <row r="41" spans="2:14" ht="15.75">
      <c r="B41" s="123">
        <f t="shared" si="12"/>
        <v>25</v>
      </c>
      <c r="C41" s="101" t="s">
        <v>60</v>
      </c>
      <c r="D41" s="123" t="s">
        <v>35</v>
      </c>
      <c r="E41" s="43">
        <v>6718</v>
      </c>
      <c r="F41">
        <f t="shared" si="7"/>
        <v>-1842</v>
      </c>
      <c r="G41">
        <f t="shared" si="8"/>
        <v>4876</v>
      </c>
      <c r="H41">
        <f t="shared" si="9"/>
        <v>0</v>
      </c>
      <c r="I41">
        <f t="shared" si="10"/>
        <v>4876</v>
      </c>
      <c r="J41">
        <v>0</v>
      </c>
      <c r="K41" s="56">
        <f t="shared" si="11"/>
        <v>4876</v>
      </c>
      <c r="L41" s="192"/>
      <c r="N41" s="81"/>
    </row>
    <row r="42" spans="2:14" ht="15.75">
      <c r="B42" s="123">
        <f t="shared" si="12"/>
        <v>26</v>
      </c>
      <c r="C42" s="101" t="s">
        <v>61</v>
      </c>
      <c r="D42" s="123" t="s">
        <v>35</v>
      </c>
      <c r="E42" s="43">
        <v>11531</v>
      </c>
      <c r="F42">
        <f t="shared" si="7"/>
        <v>0</v>
      </c>
      <c r="G42">
        <f t="shared" si="8"/>
        <v>11531</v>
      </c>
      <c r="H42">
        <f t="shared" si="9"/>
        <v>0</v>
      </c>
      <c r="I42">
        <f t="shared" si="10"/>
        <v>11531</v>
      </c>
      <c r="J42">
        <v>0</v>
      </c>
      <c r="K42" s="56">
        <f t="shared" si="11"/>
        <v>11531</v>
      </c>
      <c r="L42" s="192"/>
      <c r="N42" s="81"/>
    </row>
    <row r="43" spans="2:14" ht="15.75">
      <c r="B43" s="123">
        <f t="shared" si="12"/>
        <v>27</v>
      </c>
      <c r="C43" s="101" t="s">
        <v>62</v>
      </c>
      <c r="D43" s="123" t="s">
        <v>35</v>
      </c>
      <c r="E43" s="43">
        <v>124076</v>
      </c>
      <c r="F43">
        <f t="shared" si="7"/>
        <v>-33086</v>
      </c>
      <c r="G43">
        <f t="shared" si="8"/>
        <v>90990</v>
      </c>
      <c r="H43">
        <f t="shared" si="9"/>
        <v>0</v>
      </c>
      <c r="I43">
        <f t="shared" si="10"/>
        <v>90990</v>
      </c>
      <c r="J43">
        <v>0</v>
      </c>
      <c r="K43" s="56">
        <f t="shared" si="11"/>
        <v>90990</v>
      </c>
      <c r="L43" s="192"/>
      <c r="N43" s="81"/>
    </row>
    <row r="44" spans="2:14" ht="15.75">
      <c r="B44" s="123">
        <f t="shared" si="12"/>
        <v>28</v>
      </c>
      <c r="C44" s="101" t="s">
        <v>63</v>
      </c>
      <c r="D44" s="123" t="s">
        <v>35</v>
      </c>
      <c r="E44" s="43">
        <v>1566</v>
      </c>
      <c r="F44">
        <f t="shared" si="7"/>
        <v>0</v>
      </c>
      <c r="G44">
        <f t="shared" si="8"/>
        <v>1566</v>
      </c>
      <c r="H44">
        <f t="shared" si="9"/>
        <v>0</v>
      </c>
      <c r="I44">
        <f t="shared" si="10"/>
        <v>1566</v>
      </c>
      <c r="J44">
        <v>0</v>
      </c>
      <c r="K44" s="56">
        <f t="shared" si="11"/>
        <v>1566</v>
      </c>
      <c r="L44" s="192"/>
      <c r="N44" s="81"/>
    </row>
    <row r="45" spans="2:14" ht="15.75">
      <c r="B45" s="123">
        <f t="shared" si="12"/>
        <v>29</v>
      </c>
      <c r="C45" s="101" t="s">
        <v>64</v>
      </c>
      <c r="D45" s="123" t="s">
        <v>35</v>
      </c>
      <c r="E45" s="43">
        <v>3694</v>
      </c>
      <c r="F45">
        <f t="shared" si="7"/>
        <v>0</v>
      </c>
      <c r="G45">
        <f t="shared" si="8"/>
        <v>3694</v>
      </c>
      <c r="H45">
        <f t="shared" si="9"/>
        <v>0</v>
      </c>
      <c r="I45">
        <f t="shared" si="10"/>
        <v>3694</v>
      </c>
      <c r="J45">
        <v>0</v>
      </c>
      <c r="K45" s="56">
        <f t="shared" si="11"/>
        <v>3694</v>
      </c>
      <c r="L45" s="192"/>
      <c r="N45" s="81"/>
    </row>
    <row r="46" spans="2:14" ht="15.75">
      <c r="B46" s="123">
        <f t="shared" si="12"/>
        <v>30</v>
      </c>
      <c r="C46" s="101" t="s">
        <v>65</v>
      </c>
      <c r="D46" s="123" t="s">
        <v>35</v>
      </c>
      <c r="E46" s="43">
        <v>2406</v>
      </c>
      <c r="F46">
        <f t="shared" si="7"/>
        <v>0</v>
      </c>
      <c r="G46">
        <f t="shared" si="8"/>
        <v>2406</v>
      </c>
      <c r="H46">
        <f t="shared" si="9"/>
        <v>0</v>
      </c>
      <c r="I46">
        <f t="shared" si="10"/>
        <v>2406</v>
      </c>
      <c r="J46">
        <v>0</v>
      </c>
      <c r="K46" s="56">
        <f t="shared" si="11"/>
        <v>2406</v>
      </c>
      <c r="L46" s="192"/>
      <c r="N46" s="81"/>
    </row>
    <row r="47" spans="2:14" ht="15.75">
      <c r="B47" s="123">
        <f t="shared" si="12"/>
        <v>31</v>
      </c>
      <c r="C47" s="101" t="s">
        <v>48</v>
      </c>
      <c r="D47" s="123" t="s">
        <v>35</v>
      </c>
      <c r="E47" s="43">
        <v>2383</v>
      </c>
      <c r="F47">
        <f t="shared" si="7"/>
        <v>0</v>
      </c>
      <c r="G47">
        <f t="shared" si="8"/>
        <v>2383</v>
      </c>
      <c r="H47">
        <f t="shared" si="9"/>
        <v>0</v>
      </c>
      <c r="I47">
        <f t="shared" si="10"/>
        <v>2383</v>
      </c>
      <c r="J47">
        <v>0</v>
      </c>
      <c r="K47" s="56">
        <f t="shared" si="11"/>
        <v>2383</v>
      </c>
      <c r="L47" s="192"/>
      <c r="N47" s="81"/>
    </row>
    <row r="48" spans="2:14" ht="15.75">
      <c r="B48" s="123">
        <f t="shared" si="12"/>
        <v>32</v>
      </c>
      <c r="C48" s="101" t="s">
        <v>66</v>
      </c>
      <c r="D48" s="123" t="s">
        <v>35</v>
      </c>
      <c r="E48" s="43">
        <v>1018</v>
      </c>
      <c r="F48">
        <f t="shared" si="7"/>
        <v>0</v>
      </c>
      <c r="G48">
        <f t="shared" si="8"/>
        <v>1018</v>
      </c>
      <c r="H48">
        <f t="shared" si="9"/>
        <v>0</v>
      </c>
      <c r="I48">
        <f t="shared" si="10"/>
        <v>1018</v>
      </c>
      <c r="J48">
        <v>0</v>
      </c>
      <c r="K48" s="56">
        <f t="shared" si="11"/>
        <v>1018</v>
      </c>
      <c r="L48" s="192"/>
      <c r="N48" s="81"/>
    </row>
    <row r="49" spans="2:14" ht="15.75">
      <c r="B49" s="123">
        <f t="shared" si="12"/>
        <v>33</v>
      </c>
      <c r="C49" s="101" t="s">
        <v>67</v>
      </c>
      <c r="D49" s="123" t="s">
        <v>35</v>
      </c>
      <c r="E49" s="43">
        <v>1803</v>
      </c>
      <c r="F49">
        <f t="shared" si="7"/>
        <v>0</v>
      </c>
      <c r="G49">
        <f t="shared" si="8"/>
        <v>1803</v>
      </c>
      <c r="H49">
        <f t="shared" si="9"/>
        <v>0</v>
      </c>
      <c r="I49">
        <f t="shared" si="10"/>
        <v>1803</v>
      </c>
      <c r="J49">
        <v>0</v>
      </c>
      <c r="K49" s="56">
        <f t="shared" si="11"/>
        <v>1803</v>
      </c>
      <c r="L49" s="192"/>
      <c r="N49" s="81"/>
    </row>
    <row r="50" spans="2:14" ht="15.75">
      <c r="B50" s="123">
        <f t="shared" si="12"/>
        <v>34</v>
      </c>
      <c r="C50" s="101" t="s">
        <v>68</v>
      </c>
      <c r="D50" s="123" t="s">
        <v>35</v>
      </c>
      <c r="E50" s="43">
        <v>937</v>
      </c>
      <c r="F50">
        <f t="shared" si="7"/>
        <v>0</v>
      </c>
      <c r="G50">
        <f t="shared" si="8"/>
        <v>937</v>
      </c>
      <c r="H50">
        <f t="shared" si="9"/>
        <v>0</v>
      </c>
      <c r="I50">
        <f t="shared" si="10"/>
        <v>937</v>
      </c>
      <c r="J50">
        <v>0</v>
      </c>
      <c r="K50" s="56">
        <f t="shared" si="11"/>
        <v>937</v>
      </c>
      <c r="L50" s="192"/>
      <c r="N50" s="81"/>
    </row>
    <row r="51" spans="2:14" ht="15.75">
      <c r="B51" s="123">
        <f t="shared" si="12"/>
        <v>35</v>
      </c>
      <c r="C51" s="101" t="s">
        <v>69</v>
      </c>
      <c r="D51" s="123" t="s">
        <v>35</v>
      </c>
      <c r="E51" s="43">
        <v>3139</v>
      </c>
      <c r="F51">
        <f t="shared" si="7"/>
        <v>0</v>
      </c>
      <c r="G51">
        <f t="shared" si="8"/>
        <v>3139</v>
      </c>
      <c r="H51">
        <f t="shared" si="9"/>
        <v>0</v>
      </c>
      <c r="I51">
        <f t="shared" si="10"/>
        <v>3139</v>
      </c>
      <c r="J51">
        <v>0</v>
      </c>
      <c r="K51" s="56">
        <f t="shared" si="11"/>
        <v>3139</v>
      </c>
      <c r="L51" s="192"/>
      <c r="N51" s="81"/>
    </row>
    <row r="52" spans="2:14" ht="15.75">
      <c r="B52" s="123">
        <f t="shared" si="12"/>
        <v>36</v>
      </c>
      <c r="C52" s="101" t="s">
        <v>70</v>
      </c>
      <c r="D52" s="123" t="s">
        <v>35</v>
      </c>
      <c r="E52" s="43">
        <v>5142</v>
      </c>
      <c r="F52">
        <f t="shared" si="7"/>
        <v>0</v>
      </c>
      <c r="G52">
        <f t="shared" si="8"/>
        <v>5142</v>
      </c>
      <c r="H52">
        <f t="shared" si="9"/>
        <v>0</v>
      </c>
      <c r="I52">
        <f t="shared" si="10"/>
        <v>5142</v>
      </c>
      <c r="J52">
        <v>0</v>
      </c>
      <c r="K52" s="56">
        <f t="shared" si="11"/>
        <v>5142</v>
      </c>
      <c r="L52" s="192"/>
      <c r="N52" s="81"/>
    </row>
    <row r="53" spans="2:14" ht="15.75">
      <c r="B53" s="123">
        <f t="shared" si="12"/>
        <v>37</v>
      </c>
      <c r="C53" s="101" t="s">
        <v>71</v>
      </c>
      <c r="D53" s="123" t="s">
        <v>35</v>
      </c>
      <c r="E53" s="43">
        <v>60000</v>
      </c>
      <c r="F53">
        <f t="shared" si="7"/>
        <v>-17884.53687671233</v>
      </c>
      <c r="G53">
        <f t="shared" si="8"/>
        <v>42115.46312328767</v>
      </c>
      <c r="H53">
        <f t="shared" si="9"/>
        <v>0</v>
      </c>
      <c r="I53">
        <f t="shared" si="10"/>
        <v>42115.46312328767</v>
      </c>
      <c r="J53">
        <v>0</v>
      </c>
      <c r="K53" s="56">
        <f t="shared" si="11"/>
        <v>42115.46312328767</v>
      </c>
      <c r="L53" s="192"/>
      <c r="N53" s="81"/>
    </row>
    <row r="54" spans="2:14" ht="15.75">
      <c r="B54" s="123">
        <f t="shared" si="12"/>
        <v>38</v>
      </c>
      <c r="C54" s="101" t="s">
        <v>72</v>
      </c>
      <c r="D54" s="123" t="s">
        <v>35</v>
      </c>
      <c r="E54" s="43">
        <v>4120</v>
      </c>
      <c r="F54">
        <f t="shared" si="7"/>
        <v>-1642</v>
      </c>
      <c r="G54">
        <f t="shared" si="8"/>
        <v>2478</v>
      </c>
      <c r="H54">
        <f t="shared" si="9"/>
        <v>0</v>
      </c>
      <c r="I54">
        <f t="shared" si="10"/>
        <v>2478</v>
      </c>
      <c r="J54">
        <v>0</v>
      </c>
      <c r="K54" s="56">
        <f t="shared" si="11"/>
        <v>2478</v>
      </c>
      <c r="L54" s="192"/>
      <c r="N54" s="81"/>
    </row>
    <row r="55" spans="2:14" ht="15.75">
      <c r="B55" s="123">
        <f t="shared" si="12"/>
        <v>39</v>
      </c>
      <c r="C55" s="101" t="s">
        <v>73</v>
      </c>
      <c r="D55" s="123" t="s">
        <v>35</v>
      </c>
      <c r="E55" s="43">
        <v>7112</v>
      </c>
      <c r="F55">
        <f t="shared" si="7"/>
        <v>0</v>
      </c>
      <c r="G55">
        <f t="shared" si="8"/>
        <v>7112</v>
      </c>
      <c r="H55">
        <f t="shared" si="9"/>
        <v>0</v>
      </c>
      <c r="I55">
        <f t="shared" si="10"/>
        <v>7112</v>
      </c>
      <c r="J55">
        <v>0</v>
      </c>
      <c r="K55" s="56">
        <f t="shared" si="11"/>
        <v>7112</v>
      </c>
      <c r="L55" s="192"/>
      <c r="N55" s="81"/>
    </row>
    <row r="56" spans="2:14" ht="15.75">
      <c r="B56" s="123">
        <f t="shared" si="12"/>
        <v>40</v>
      </c>
      <c r="C56" s="101" t="s">
        <v>74</v>
      </c>
      <c r="D56" s="123" t="s">
        <v>35</v>
      </c>
      <c r="E56" s="43">
        <v>16660</v>
      </c>
      <c r="F56">
        <f t="shared" si="7"/>
        <v>0</v>
      </c>
      <c r="G56">
        <f t="shared" si="8"/>
        <v>16660</v>
      </c>
      <c r="H56">
        <f t="shared" si="9"/>
        <v>0</v>
      </c>
      <c r="I56">
        <f t="shared" si="10"/>
        <v>16660</v>
      </c>
      <c r="J56">
        <v>0</v>
      </c>
      <c r="K56" s="56">
        <f t="shared" si="11"/>
        <v>16660</v>
      </c>
      <c r="L56" s="192"/>
      <c r="N56" s="81"/>
    </row>
    <row r="57" spans="2:14" ht="15.75">
      <c r="B57" s="123">
        <f t="shared" si="12"/>
        <v>41</v>
      </c>
      <c r="C57" s="101" t="s">
        <v>75</v>
      </c>
      <c r="D57" s="123" t="s">
        <v>35</v>
      </c>
      <c r="E57" s="43">
        <v>3376</v>
      </c>
      <c r="F57">
        <f t="shared" si="7"/>
        <v>-1000</v>
      </c>
      <c r="G57">
        <f t="shared" si="8"/>
        <v>2376</v>
      </c>
      <c r="H57">
        <f t="shared" si="9"/>
        <v>0</v>
      </c>
      <c r="I57">
        <f t="shared" si="10"/>
        <v>2376</v>
      </c>
      <c r="J57">
        <v>0</v>
      </c>
      <c r="K57" s="56">
        <f t="shared" si="11"/>
        <v>2376</v>
      </c>
      <c r="L57" s="192"/>
      <c r="N57" s="81"/>
    </row>
    <row r="58" spans="2:14" ht="15.75">
      <c r="B58" s="123">
        <f t="shared" si="12"/>
        <v>42</v>
      </c>
      <c r="C58" s="101" t="s">
        <v>76</v>
      </c>
      <c r="D58" s="123" t="s">
        <v>35</v>
      </c>
      <c r="E58" s="43">
        <v>5672</v>
      </c>
      <c r="F58">
        <f t="shared" si="7"/>
        <v>0</v>
      </c>
      <c r="G58">
        <f t="shared" si="8"/>
        <v>5672</v>
      </c>
      <c r="H58">
        <f t="shared" si="9"/>
        <v>0</v>
      </c>
      <c r="I58">
        <f t="shared" si="10"/>
        <v>5672</v>
      </c>
      <c r="J58">
        <v>0</v>
      </c>
      <c r="K58" s="56">
        <f t="shared" si="11"/>
        <v>5672</v>
      </c>
      <c r="L58" s="192"/>
      <c r="N58" s="81"/>
    </row>
    <row r="59" spans="2:14" ht="15.75">
      <c r="B59" s="123">
        <f t="shared" si="12"/>
        <v>43</v>
      </c>
      <c r="C59" s="101" t="s">
        <v>77</v>
      </c>
      <c r="D59" s="123" t="s">
        <v>35</v>
      </c>
      <c r="E59" s="43">
        <v>421000</v>
      </c>
      <c r="F59">
        <f t="shared" si="7"/>
        <v>-355000</v>
      </c>
      <c r="G59">
        <f t="shared" si="8"/>
        <v>66000</v>
      </c>
      <c r="H59">
        <f t="shared" si="9"/>
        <v>0</v>
      </c>
      <c r="I59">
        <f t="shared" si="10"/>
        <v>66000</v>
      </c>
      <c r="J59">
        <v>0</v>
      </c>
      <c r="K59" s="56">
        <f t="shared" si="11"/>
        <v>66000</v>
      </c>
      <c r="L59" s="192"/>
      <c r="N59" s="81"/>
    </row>
    <row r="60" spans="2:14" ht="15.75">
      <c r="B60" s="123">
        <f t="shared" si="12"/>
        <v>44</v>
      </c>
      <c r="C60" s="101" t="s">
        <v>78</v>
      </c>
      <c r="D60" s="123" t="s">
        <v>35</v>
      </c>
      <c r="E60" s="41">
        <v>0</v>
      </c>
      <c r="F60">
        <f t="shared" si="7"/>
        <v>-5579</v>
      </c>
      <c r="G60">
        <f t="shared" si="8"/>
        <v>-5579</v>
      </c>
      <c r="H60">
        <f t="shared" si="9"/>
        <v>0</v>
      </c>
      <c r="I60">
        <f t="shared" si="10"/>
        <v>-5579</v>
      </c>
      <c r="J60">
        <v>0</v>
      </c>
      <c r="K60" s="56">
        <f t="shared" si="11"/>
        <v>-5579</v>
      </c>
      <c r="L60" s="192"/>
      <c r="N60" s="81"/>
    </row>
    <row r="61" spans="2:12" ht="15.75">
      <c r="B61" s="123">
        <f t="shared" si="12"/>
        <v>45</v>
      </c>
      <c r="C61" s="92" t="s">
        <v>79</v>
      </c>
      <c r="D61" s="123" t="str">
        <f>"+Ln "&amp;FIXED(+B24,0,TRUE)&amp;" thru "&amp;FIXED(+B60,0,TRUE)</f>
        <v>+Ln 8 thru 44</v>
      </c>
      <c r="E61" s="186">
        <f aca="true" t="shared" si="13" ref="E61:K61">SUM(E24:E60)</f>
        <v>1783832</v>
      </c>
      <c r="F61" s="185">
        <f t="shared" si="13"/>
        <v>-433398.03687671234</v>
      </c>
      <c r="G61" s="185">
        <f t="shared" si="13"/>
        <v>1350433.9631232878</v>
      </c>
      <c r="H61" s="185">
        <f t="shared" si="13"/>
        <v>41313</v>
      </c>
      <c r="I61" s="185">
        <f t="shared" si="13"/>
        <v>1391746.9631232878</v>
      </c>
      <c r="J61" s="185">
        <f t="shared" si="13"/>
        <v>-3490.2013858255973</v>
      </c>
      <c r="K61" s="185">
        <f t="shared" si="13"/>
        <v>1388256.7617374621</v>
      </c>
      <c r="L61" s="192"/>
    </row>
    <row r="62" spans="2:12" ht="15.75">
      <c r="B62" s="123"/>
      <c r="C62" s="101"/>
      <c r="D62" s="123"/>
      <c r="E62" s="46"/>
      <c r="F62" s="189"/>
      <c r="G62" s="189"/>
      <c r="H62" s="189"/>
      <c r="I62" s="189"/>
      <c r="J62" s="189"/>
      <c r="K62" s="23"/>
      <c r="L62" s="192"/>
    </row>
    <row r="63" spans="2:12" ht="15.75">
      <c r="B63" s="123">
        <f>B61+1</f>
        <v>46</v>
      </c>
      <c r="C63" s="92" t="s">
        <v>80</v>
      </c>
      <c r="D63" s="123" t="str">
        <f>"Ln "&amp;FIXED(+B21,0,TRUE)&amp;"-"&amp;FIXED(+B61,0,TRUE)</f>
        <v>Ln 7-45</v>
      </c>
      <c r="E63" s="186">
        <f aca="true" t="shared" si="14" ref="E63:K63">E21-E61</f>
        <v>-130761</v>
      </c>
      <c r="F63" s="185">
        <f t="shared" si="14"/>
        <v>449321.03687671234</v>
      </c>
      <c r="G63" s="185">
        <f t="shared" si="14"/>
        <v>318560.0368767122</v>
      </c>
      <c r="H63" s="185">
        <f t="shared" si="14"/>
        <v>-56346</v>
      </c>
      <c r="I63" s="185">
        <f t="shared" si="14"/>
        <v>262214.0368767122</v>
      </c>
      <c r="J63" s="185">
        <f t="shared" si="14"/>
        <v>-146561.44890762225</v>
      </c>
      <c r="K63" s="185">
        <f t="shared" si="14"/>
        <v>115652.58796908986</v>
      </c>
      <c r="L63" s="192"/>
    </row>
    <row r="64" spans="2:12" ht="15.75">
      <c r="B64" s="123"/>
      <c r="C64" s="92"/>
      <c r="D64" s="123"/>
      <c r="E64" s="46"/>
      <c r="F64" s="189"/>
      <c r="G64" s="189"/>
      <c r="H64" s="189"/>
      <c r="I64" s="189"/>
      <c r="J64" s="189"/>
      <c r="K64" s="23"/>
      <c r="L64" s="192"/>
    </row>
    <row r="65" spans="2:12" ht="15.75">
      <c r="B65" s="114"/>
      <c r="C65" s="1" t="s">
        <v>81</v>
      </c>
      <c r="D65" s="44"/>
      <c r="E65" s="44"/>
      <c r="K65" s="56"/>
      <c r="L65" s="192"/>
    </row>
    <row r="66" spans="2:12" ht="15.75">
      <c r="B66" s="123">
        <f>B63+1</f>
        <v>47</v>
      </c>
      <c r="C66" s="101" t="s">
        <v>82</v>
      </c>
      <c r="D66" s="123" t="s">
        <v>35</v>
      </c>
      <c r="E66" s="41">
        <v>22385</v>
      </c>
      <c r="F66">
        <f aca="true" t="shared" si="15" ref="F66:F76">E150</f>
        <v>-22385</v>
      </c>
      <c r="G66">
        <f aca="true" t="shared" si="16" ref="G66:G76">E66+F66</f>
        <v>0</v>
      </c>
      <c r="H66">
        <f aca="true" t="shared" si="17" ref="H66:H76">E233</f>
        <v>0</v>
      </c>
      <c r="I66">
        <f aca="true" t="shared" si="18" ref="I66:I76">G66+H66</f>
        <v>0</v>
      </c>
      <c r="J66">
        <v>0</v>
      </c>
      <c r="K66" s="56">
        <f aca="true" t="shared" si="19" ref="K66:K74">I66+J66</f>
        <v>0</v>
      </c>
      <c r="L66" s="192"/>
    </row>
    <row r="67" spans="2:12" ht="15.75">
      <c r="B67" s="123">
        <f aca="true" t="shared" si="20" ref="B67:B77">B66+1</f>
        <v>48</v>
      </c>
      <c r="C67" s="101" t="s">
        <v>83</v>
      </c>
      <c r="D67" s="123" t="s">
        <v>35</v>
      </c>
      <c r="E67" s="41">
        <v>7307</v>
      </c>
      <c r="F67">
        <f t="shared" si="15"/>
        <v>-7307</v>
      </c>
      <c r="G67">
        <f t="shared" si="16"/>
        <v>0</v>
      </c>
      <c r="H67">
        <f t="shared" si="17"/>
        <v>0</v>
      </c>
      <c r="I67">
        <f t="shared" si="18"/>
        <v>0</v>
      </c>
      <c r="J67">
        <v>0</v>
      </c>
      <c r="K67" s="56">
        <f t="shared" si="19"/>
        <v>0</v>
      </c>
      <c r="L67" s="192"/>
    </row>
    <row r="68" spans="2:12" ht="15.75">
      <c r="B68" s="123">
        <f t="shared" si="20"/>
        <v>49</v>
      </c>
      <c r="C68" s="101" t="s">
        <v>84</v>
      </c>
      <c r="D68" s="123" t="s">
        <v>35</v>
      </c>
      <c r="E68" s="41">
        <v>18463</v>
      </c>
      <c r="F68">
        <f t="shared" si="15"/>
        <v>-18463</v>
      </c>
      <c r="G68">
        <f t="shared" si="16"/>
        <v>0</v>
      </c>
      <c r="H68">
        <f t="shared" si="17"/>
        <v>0</v>
      </c>
      <c r="I68">
        <f t="shared" si="18"/>
        <v>0</v>
      </c>
      <c r="J68" s="81">
        <v>0</v>
      </c>
      <c r="K68" s="56">
        <f t="shared" si="19"/>
        <v>0</v>
      </c>
      <c r="L68" s="192"/>
    </row>
    <row r="69" spans="2:12" ht="15.75">
      <c r="B69" s="123">
        <f t="shared" si="20"/>
        <v>50</v>
      </c>
      <c r="C69" s="101" t="s">
        <v>85</v>
      </c>
      <c r="D69" s="123" t="s">
        <v>35</v>
      </c>
      <c r="E69" s="41">
        <v>28603</v>
      </c>
      <c r="F69">
        <f t="shared" si="15"/>
        <v>-28603</v>
      </c>
      <c r="G69">
        <f t="shared" si="16"/>
        <v>0</v>
      </c>
      <c r="H69">
        <f t="shared" si="17"/>
        <v>0</v>
      </c>
      <c r="I69">
        <f t="shared" si="18"/>
        <v>0</v>
      </c>
      <c r="J69">
        <v>0</v>
      </c>
      <c r="K69" s="56">
        <f t="shared" si="19"/>
        <v>0</v>
      </c>
      <c r="L69" s="192"/>
    </row>
    <row r="70" spans="2:12" ht="15.75">
      <c r="B70" s="123">
        <f t="shared" si="20"/>
        <v>51</v>
      </c>
      <c r="C70" s="101" t="s">
        <v>86</v>
      </c>
      <c r="D70" s="123" t="s">
        <v>35</v>
      </c>
      <c r="E70" s="43">
        <v>-1002</v>
      </c>
      <c r="F70">
        <f t="shared" si="15"/>
        <v>1002</v>
      </c>
      <c r="G70">
        <f t="shared" si="16"/>
        <v>0</v>
      </c>
      <c r="H70">
        <f t="shared" si="17"/>
        <v>0</v>
      </c>
      <c r="I70">
        <f t="shared" si="18"/>
        <v>0</v>
      </c>
      <c r="J70">
        <v>0</v>
      </c>
      <c r="K70" s="56">
        <f t="shared" si="19"/>
        <v>0</v>
      </c>
      <c r="L70" s="192"/>
    </row>
    <row r="71" spans="2:12" ht="15.75">
      <c r="B71" s="123">
        <f t="shared" si="20"/>
        <v>52</v>
      </c>
      <c r="C71" s="101" t="s">
        <v>87</v>
      </c>
      <c r="D71" s="123" t="s">
        <v>35</v>
      </c>
      <c r="E71" s="43">
        <v>0</v>
      </c>
      <c r="F71">
        <f t="shared" si="15"/>
        <v>0</v>
      </c>
      <c r="G71">
        <f t="shared" si="16"/>
        <v>0</v>
      </c>
      <c r="H71">
        <f t="shared" si="17"/>
        <v>0</v>
      </c>
      <c r="I71">
        <f t="shared" si="18"/>
        <v>0</v>
      </c>
      <c r="J71">
        <v>0</v>
      </c>
      <c r="K71" s="56">
        <f t="shared" si="19"/>
        <v>0</v>
      </c>
      <c r="L71" s="192"/>
    </row>
    <row r="72" spans="2:12" ht="15.75">
      <c r="B72" s="123">
        <f t="shared" si="20"/>
        <v>53</v>
      </c>
      <c r="C72" s="101" t="s">
        <v>88</v>
      </c>
      <c r="D72" s="123" t="s">
        <v>35</v>
      </c>
      <c r="E72" s="41">
        <v>15917</v>
      </c>
      <c r="F72">
        <f t="shared" si="15"/>
        <v>-15917</v>
      </c>
      <c r="G72">
        <f t="shared" si="16"/>
        <v>0</v>
      </c>
      <c r="H72">
        <f t="shared" si="17"/>
        <v>0</v>
      </c>
      <c r="I72">
        <f t="shared" si="18"/>
        <v>0</v>
      </c>
      <c r="J72" s="81">
        <v>0</v>
      </c>
      <c r="K72" s="56">
        <f t="shared" si="19"/>
        <v>0</v>
      </c>
      <c r="L72" s="192"/>
    </row>
    <row r="73" spans="2:12" ht="15.75">
      <c r="B73" s="123">
        <f t="shared" si="20"/>
        <v>54</v>
      </c>
      <c r="C73" s="101" t="s">
        <v>89</v>
      </c>
      <c r="D73" s="123" t="s">
        <v>35</v>
      </c>
      <c r="E73" s="43">
        <v>30126</v>
      </c>
      <c r="F73">
        <f t="shared" si="15"/>
        <v>-30126</v>
      </c>
      <c r="G73">
        <f t="shared" si="16"/>
        <v>0</v>
      </c>
      <c r="H73">
        <f t="shared" si="17"/>
        <v>0</v>
      </c>
      <c r="I73">
        <f t="shared" si="18"/>
        <v>0</v>
      </c>
      <c r="J73" s="81">
        <v>0</v>
      </c>
      <c r="K73" s="56">
        <f t="shared" si="19"/>
        <v>0</v>
      </c>
      <c r="L73" s="192"/>
    </row>
    <row r="74" spans="2:12" ht="15.75">
      <c r="B74" s="123">
        <f t="shared" si="20"/>
        <v>55</v>
      </c>
      <c r="C74" s="101" t="s">
        <v>38</v>
      </c>
      <c r="D74" s="123" t="s">
        <v>35</v>
      </c>
      <c r="E74" s="43">
        <v>8203</v>
      </c>
      <c r="F74">
        <f t="shared" si="15"/>
        <v>-8203</v>
      </c>
      <c r="G74">
        <f t="shared" si="16"/>
        <v>0</v>
      </c>
      <c r="H74">
        <f t="shared" si="17"/>
        <v>0</v>
      </c>
      <c r="I74">
        <f t="shared" si="18"/>
        <v>0</v>
      </c>
      <c r="J74">
        <v>0</v>
      </c>
      <c r="K74" s="56">
        <f t="shared" si="19"/>
        <v>0</v>
      </c>
      <c r="L74" s="192"/>
    </row>
    <row r="75" spans="2:12" ht="15.75">
      <c r="B75" s="123">
        <f t="shared" si="20"/>
        <v>56</v>
      </c>
      <c r="C75" s="101" t="s">
        <v>40</v>
      </c>
      <c r="D75" s="123" t="s">
        <v>35</v>
      </c>
      <c r="E75" s="43">
        <v>5420</v>
      </c>
      <c r="F75">
        <f t="shared" si="15"/>
        <v>-5420</v>
      </c>
      <c r="G75">
        <f t="shared" si="16"/>
        <v>0</v>
      </c>
      <c r="H75">
        <f t="shared" si="17"/>
        <v>0</v>
      </c>
      <c r="I75">
        <f t="shared" si="18"/>
        <v>0</v>
      </c>
      <c r="K75" s="56"/>
      <c r="L75" s="192"/>
    </row>
    <row r="76" spans="2:12" ht="15.75">
      <c r="B76" s="123">
        <f t="shared" si="20"/>
        <v>57</v>
      </c>
      <c r="C76" s="101" t="s">
        <v>90</v>
      </c>
      <c r="D76" s="123" t="s">
        <v>35</v>
      </c>
      <c r="E76" s="41">
        <v>2300</v>
      </c>
      <c r="F76">
        <f t="shared" si="15"/>
        <v>-2300</v>
      </c>
      <c r="G76">
        <f t="shared" si="16"/>
        <v>0</v>
      </c>
      <c r="H76">
        <f t="shared" si="17"/>
        <v>0</v>
      </c>
      <c r="I76">
        <f t="shared" si="18"/>
        <v>0</v>
      </c>
      <c r="J76" s="81">
        <v>0</v>
      </c>
      <c r="K76" s="56">
        <f>I76+J76</f>
        <v>0</v>
      </c>
      <c r="L76" s="192"/>
    </row>
    <row r="77" spans="2:12" ht="15.75">
      <c r="B77" s="123">
        <f t="shared" si="20"/>
        <v>58</v>
      </c>
      <c r="C77" s="92" t="s">
        <v>91</v>
      </c>
      <c r="D77" s="123" t="str">
        <f>"+Ln "&amp;FIXED(+B66,0,TRUE)&amp;" thru "&amp;FIXED(+B76,0,TRUE)</f>
        <v>+Ln 47 thru 57</v>
      </c>
      <c r="E77" s="16">
        <f aca="true" t="shared" si="21" ref="E77:K77">SUM(E66:E76)</f>
        <v>137722</v>
      </c>
      <c r="F77" s="10">
        <f t="shared" si="21"/>
        <v>-137722</v>
      </c>
      <c r="G77" s="10">
        <f t="shared" si="21"/>
        <v>0</v>
      </c>
      <c r="H77" s="10">
        <f t="shared" si="21"/>
        <v>0</v>
      </c>
      <c r="I77" s="10">
        <f t="shared" si="21"/>
        <v>0</v>
      </c>
      <c r="J77" s="10">
        <f t="shared" si="21"/>
        <v>0</v>
      </c>
      <c r="K77" s="10">
        <f t="shared" si="21"/>
        <v>0</v>
      </c>
      <c r="L77" s="192"/>
    </row>
    <row r="78" spans="2:12" ht="15.75">
      <c r="B78" s="123"/>
      <c r="C78" s="92"/>
      <c r="D78" s="123"/>
      <c r="E78" s="45"/>
      <c r="F78" s="188"/>
      <c r="G78" s="188"/>
      <c r="H78" s="188"/>
      <c r="I78" s="188"/>
      <c r="J78" s="188"/>
      <c r="K78" s="21"/>
      <c r="L78" s="192"/>
    </row>
    <row r="79" spans="2:12" ht="15.75">
      <c r="B79" s="123">
        <f>B77+1</f>
        <v>59</v>
      </c>
      <c r="C79" s="92" t="s">
        <v>92</v>
      </c>
      <c r="D79" s="123" t="str">
        <f>"Ln "&amp;FIXED(+B63,0,TRUE)&amp;" + "&amp;FIXED(+B77,0,TRUE)</f>
        <v>Ln 46 + 58</v>
      </c>
      <c r="E79" s="16">
        <f aca="true" t="shared" si="22" ref="E79:K79">E63+E77</f>
        <v>6961</v>
      </c>
      <c r="F79" s="10">
        <f t="shared" si="22"/>
        <v>311599.03687671234</v>
      </c>
      <c r="G79" s="10">
        <f t="shared" si="22"/>
        <v>318560.0368767122</v>
      </c>
      <c r="H79" s="10">
        <f t="shared" si="22"/>
        <v>-56346</v>
      </c>
      <c r="I79" s="10">
        <f t="shared" si="22"/>
        <v>262214.0368767122</v>
      </c>
      <c r="J79" s="10">
        <f t="shared" si="22"/>
        <v>-146561.44890762225</v>
      </c>
      <c r="K79" s="10">
        <f t="shared" si="22"/>
        <v>115652.58796908986</v>
      </c>
      <c r="L79" s="192"/>
    </row>
    <row r="80" spans="2:12" ht="15.75">
      <c r="B80" s="114"/>
      <c r="C80" s="101"/>
      <c r="D80" s="123"/>
      <c r="E80" s="110"/>
      <c r="F80" s="78"/>
      <c r="G80" s="78"/>
      <c r="H80" s="78"/>
      <c r="I80" s="78"/>
      <c r="J80" s="78"/>
      <c r="K80" s="97"/>
      <c r="L80" s="192"/>
    </row>
    <row r="81" spans="2:14" ht="15.75">
      <c r="B81" s="123">
        <f>B79+1</f>
        <v>60</v>
      </c>
      <c r="C81" s="92" t="s">
        <v>93</v>
      </c>
      <c r="D81" s="123" t="str">
        <f>"Ln "&amp;FIXED(+B61,0,TRUE)&amp;"/Ln "&amp;FIXED(+B21,0,TRUE)</f>
        <v>Ln 45/Ln 7</v>
      </c>
      <c r="E81" s="15">
        <f>E61/E21</f>
        <v>1.0791018655581037</v>
      </c>
      <c r="F81" s="8"/>
      <c r="G81" s="8">
        <f>G61/G21</f>
        <v>0.809130508032556</v>
      </c>
      <c r="H81" s="8"/>
      <c r="I81" s="8">
        <f>I61/I21</f>
        <v>0.8414629868076018</v>
      </c>
      <c r="J81" s="8"/>
      <c r="K81" s="8">
        <f>K61/K21</f>
        <v>0.9230986974104148</v>
      </c>
      <c r="L81" s="192"/>
      <c r="M81" s="193"/>
      <c r="N81" s="193"/>
    </row>
    <row r="82" spans="2:13" ht="15.75">
      <c r="B82" s="114"/>
      <c r="C82" s="101"/>
      <c r="D82" s="123"/>
      <c r="E82" s="110"/>
      <c r="F82" s="78"/>
      <c r="G82" s="78"/>
      <c r="H82" s="78"/>
      <c r="I82" s="78"/>
      <c r="J82" s="78"/>
      <c r="K82" s="97"/>
      <c r="L82" s="192"/>
      <c r="M82" s="193"/>
    </row>
    <row r="83" spans="2:12" ht="15.75">
      <c r="B83" s="114"/>
      <c r="C83" s="101"/>
      <c r="D83" s="123"/>
      <c r="E83" s="109"/>
      <c r="F83" s="88"/>
      <c r="G83" s="88"/>
      <c r="H83" s="88"/>
      <c r="I83" s="88"/>
      <c r="J83" s="88"/>
      <c r="K83" s="105"/>
      <c r="L83" s="192"/>
    </row>
    <row r="84" spans="2:11" ht="15.75">
      <c r="B84" s="189"/>
      <c r="C84" s="189"/>
      <c r="D84" s="189"/>
      <c r="E84" s="189"/>
      <c r="F84" s="189"/>
      <c r="G84" s="80"/>
      <c r="H84" s="189"/>
      <c r="I84" s="189"/>
      <c r="J84" s="189"/>
      <c r="K84" s="79"/>
    </row>
    <row r="85" ht="15.75">
      <c r="G85" s="89"/>
    </row>
    <row r="86" spans="4:9" ht="15.75">
      <c r="D86" s="81"/>
      <c r="E86" s="193"/>
      <c r="I86" s="193"/>
    </row>
    <row r="88" spans="1:35" ht="15.75">
      <c r="A88" s="81"/>
      <c r="B88" s="16" t="str">
        <f>$B$254</f>
        <v>BREMERTON-KITSAP AIRPORTER, INC. C-903</v>
      </c>
      <c r="C88" s="22"/>
      <c r="D88" s="22"/>
      <c r="E88" s="96"/>
      <c r="F88" s="11"/>
      <c r="G88" s="11"/>
      <c r="H88" s="11"/>
      <c r="I88" s="73" t="str">
        <f>$G$254</f>
        <v>Initial Order Decision</v>
      </c>
      <c r="J88" s="11"/>
      <c r="K88" s="17"/>
      <c r="L88" s="11"/>
      <c r="M88" s="11"/>
      <c r="N88" s="11"/>
      <c r="O88" s="73" t="str">
        <f>$G$254</f>
        <v>Initial Order Decision</v>
      </c>
      <c r="P88" s="11"/>
      <c r="Q88" s="17"/>
      <c r="R88" s="11"/>
      <c r="S88" s="11"/>
      <c r="T88" s="11"/>
      <c r="U88" s="73" t="str">
        <f>$G$254</f>
        <v>Initial Order Decision</v>
      </c>
      <c r="V88" s="11"/>
      <c r="W88" s="17"/>
      <c r="X88" s="11"/>
      <c r="Y88" s="11"/>
      <c r="Z88" s="11"/>
      <c r="AA88" s="73" t="str">
        <f>$G$254</f>
        <v>Initial Order Decision</v>
      </c>
      <c r="AB88" s="11"/>
      <c r="AC88" s="17"/>
      <c r="AD88" s="11"/>
      <c r="AE88" s="11"/>
      <c r="AF88" s="11"/>
      <c r="AG88" s="73" t="str">
        <f>$G$254</f>
        <v>Initial Order Decision</v>
      </c>
      <c r="AH88" s="11"/>
      <c r="AI88" s="192"/>
    </row>
    <row r="89" spans="1:35" ht="15.75">
      <c r="A89" s="81" t="s">
        <v>94</v>
      </c>
      <c r="B89" s="93" t="s">
        <v>95</v>
      </c>
      <c r="E89" s="81"/>
      <c r="F89" s="60"/>
      <c r="G89" s="77"/>
      <c r="H89" s="77"/>
      <c r="I89" s="77" t="str">
        <f>$G$255</f>
        <v>Docket No. TC-001846</v>
      </c>
      <c r="J89" s="19"/>
      <c r="K89" s="74"/>
      <c r="L89" s="60"/>
      <c r="M89" s="77"/>
      <c r="N89" s="77"/>
      <c r="O89" s="77" t="str">
        <f>$G$255</f>
        <v>Docket No. TC-001846</v>
      </c>
      <c r="P89" s="19"/>
      <c r="Q89" s="74"/>
      <c r="R89" s="60"/>
      <c r="S89" s="77"/>
      <c r="T89" s="77"/>
      <c r="U89" s="77" t="str">
        <f>$G$255</f>
        <v>Docket No. TC-001846</v>
      </c>
      <c r="V89" s="19"/>
      <c r="W89" s="74"/>
      <c r="X89" s="60"/>
      <c r="Y89" s="77"/>
      <c r="Z89" s="77"/>
      <c r="AA89" s="77" t="str">
        <f>$G$255</f>
        <v>Docket No. TC-001846</v>
      </c>
      <c r="AB89" s="19"/>
      <c r="AC89" s="74"/>
      <c r="AD89" s="60"/>
      <c r="AE89" s="77"/>
      <c r="AF89" s="77"/>
      <c r="AG89" s="77" t="str">
        <f>$G$255</f>
        <v>Docket No. TC-001846</v>
      </c>
      <c r="AH89" s="19"/>
      <c r="AI89" s="192"/>
    </row>
    <row r="90" spans="2:35" ht="15.75">
      <c r="B90" s="14" t="str">
        <f>$B$256</f>
        <v>FOR THE 12 MONTHS ENDED SEPTEMBER 30, 2000</v>
      </c>
      <c r="E90" s="98"/>
      <c r="F90" s="77"/>
      <c r="G90" s="77"/>
      <c r="H90" s="77"/>
      <c r="I90" s="152" t="s">
        <v>96</v>
      </c>
      <c r="J90" s="19"/>
      <c r="K90" s="74"/>
      <c r="L90" s="77"/>
      <c r="M90" s="77"/>
      <c r="N90" s="77"/>
      <c r="O90" s="152" t="s">
        <v>97</v>
      </c>
      <c r="P90" s="19"/>
      <c r="Q90" s="74"/>
      <c r="R90" s="77"/>
      <c r="S90" s="77"/>
      <c r="T90" s="77"/>
      <c r="U90" s="152" t="s">
        <v>98</v>
      </c>
      <c r="V90" s="19"/>
      <c r="W90" s="74"/>
      <c r="X90" s="77"/>
      <c r="Y90" s="77"/>
      <c r="Z90" s="77"/>
      <c r="AA90" s="152" t="s">
        <v>99</v>
      </c>
      <c r="AB90" s="19"/>
      <c r="AC90" s="74"/>
      <c r="AD90" s="77"/>
      <c r="AE90" s="77"/>
      <c r="AF90" s="77"/>
      <c r="AG90" s="152" t="s">
        <v>100</v>
      </c>
      <c r="AH90" s="19"/>
      <c r="AI90" s="192"/>
    </row>
    <row r="91" spans="2:35" ht="15.75">
      <c r="B91" s="92" t="str">
        <f>$B$6</f>
        <v>PER DECISION</v>
      </c>
      <c r="E91" s="98"/>
      <c r="F91" s="77"/>
      <c r="G91" s="77"/>
      <c r="H91" s="77"/>
      <c r="I91" s="77"/>
      <c r="J91" s="19"/>
      <c r="K91" s="74"/>
      <c r="L91" s="77"/>
      <c r="M91" s="147" t="s">
        <v>101</v>
      </c>
      <c r="N91" s="147" t="s">
        <v>102</v>
      </c>
      <c r="O91" s="147" t="s">
        <v>103</v>
      </c>
      <c r="P91" s="145"/>
      <c r="Q91" s="74"/>
      <c r="R91" s="77"/>
      <c r="S91" s="77"/>
      <c r="T91" s="77"/>
      <c r="U91" s="77"/>
      <c r="V91" s="19"/>
      <c r="W91" s="74"/>
      <c r="X91" s="77"/>
      <c r="Y91" s="77"/>
      <c r="Z91" s="77"/>
      <c r="AA91" s="77"/>
      <c r="AB91" s="19"/>
      <c r="AC91" s="74"/>
      <c r="AD91" s="77"/>
      <c r="AE91" s="77"/>
      <c r="AF91" s="77"/>
      <c r="AG91" s="77"/>
      <c r="AH91" s="19"/>
      <c r="AI91" s="192"/>
    </row>
    <row r="92" spans="2:35" ht="15.75">
      <c r="B92" s="74"/>
      <c r="C92" s="77"/>
      <c r="D92" s="77"/>
      <c r="E92" s="147"/>
      <c r="F92" s="147" t="s">
        <v>104</v>
      </c>
      <c r="G92" s="147" t="s">
        <v>105</v>
      </c>
      <c r="H92" s="147" t="s">
        <v>106</v>
      </c>
      <c r="I92" s="147" t="s">
        <v>107</v>
      </c>
      <c r="J92" s="145" t="s">
        <v>108</v>
      </c>
      <c r="K92" s="150" t="s">
        <v>109</v>
      </c>
      <c r="L92" s="147" t="s">
        <v>110</v>
      </c>
      <c r="M92" s="147" t="s">
        <v>111</v>
      </c>
      <c r="N92" s="147" t="s">
        <v>103</v>
      </c>
      <c r="O92" s="147" t="s">
        <v>101</v>
      </c>
      <c r="P92" s="145" t="s">
        <v>112</v>
      </c>
      <c r="Q92" s="150" t="s">
        <v>113</v>
      </c>
      <c r="R92" s="147" t="s">
        <v>114</v>
      </c>
      <c r="S92" s="147" t="s">
        <v>115</v>
      </c>
      <c r="T92" s="147" t="s">
        <v>116</v>
      </c>
      <c r="U92" s="147" t="s">
        <v>117</v>
      </c>
      <c r="V92" s="145" t="s">
        <v>118</v>
      </c>
      <c r="W92" s="150" t="s">
        <v>119</v>
      </c>
      <c r="X92" s="147" t="s">
        <v>120</v>
      </c>
      <c r="Y92" s="147" t="s">
        <v>121</v>
      </c>
      <c r="Z92" s="147" t="s">
        <v>121</v>
      </c>
      <c r="AA92" s="147" t="s">
        <v>121</v>
      </c>
      <c r="AB92" s="145" t="s">
        <v>121</v>
      </c>
      <c r="AC92" s="150" t="s">
        <v>122</v>
      </c>
      <c r="AD92" s="147" t="s">
        <v>123</v>
      </c>
      <c r="AE92" s="147" t="s">
        <v>124</v>
      </c>
      <c r="AF92" s="147" t="s">
        <v>125</v>
      </c>
      <c r="AG92" s="147" t="s">
        <v>126</v>
      </c>
      <c r="AH92" s="145" t="s">
        <v>121</v>
      </c>
      <c r="AI92" s="192"/>
    </row>
    <row r="93" spans="2:35" ht="15.75">
      <c r="B93" s="13"/>
      <c r="C93" s="77"/>
      <c r="D93" s="77"/>
      <c r="E93" s="147" t="s">
        <v>5</v>
      </c>
      <c r="F93" s="147"/>
      <c r="G93" s="147" t="s">
        <v>127</v>
      </c>
      <c r="H93" s="147" t="s">
        <v>128</v>
      </c>
      <c r="I93" s="147" t="s">
        <v>129</v>
      </c>
      <c r="J93" s="145" t="s">
        <v>130</v>
      </c>
      <c r="K93" s="150"/>
      <c r="L93" s="147"/>
      <c r="M93" s="147"/>
      <c r="N93" s="147" t="s">
        <v>131</v>
      </c>
      <c r="O93" s="147" t="s">
        <v>132</v>
      </c>
      <c r="P93" s="147"/>
      <c r="Q93" s="150"/>
      <c r="R93" s="147"/>
      <c r="S93" s="145"/>
      <c r="T93" s="77"/>
      <c r="U93" s="147"/>
      <c r="V93" s="145"/>
      <c r="W93" s="150"/>
      <c r="X93" s="147"/>
      <c r="Y93" s="77"/>
      <c r="Z93" s="77"/>
      <c r="AA93" s="77"/>
      <c r="AB93" s="19"/>
      <c r="AC93" s="150"/>
      <c r="AD93" s="147"/>
      <c r="AE93" s="147"/>
      <c r="AF93" s="147"/>
      <c r="AG93" s="147"/>
      <c r="AH93" s="19"/>
      <c r="AI93" s="192"/>
    </row>
    <row r="94" spans="2:35" ht="15.75">
      <c r="B94" s="142" t="s">
        <v>9</v>
      </c>
      <c r="C94" s="77"/>
      <c r="D94" s="77"/>
      <c r="E94" s="147" t="s">
        <v>11</v>
      </c>
      <c r="F94" s="147" t="s">
        <v>133</v>
      </c>
      <c r="G94" s="147" t="s">
        <v>134</v>
      </c>
      <c r="H94" s="147" t="s">
        <v>135</v>
      </c>
      <c r="I94" s="147" t="s">
        <v>136</v>
      </c>
      <c r="J94" s="145" t="s">
        <v>137</v>
      </c>
      <c r="K94" s="150" t="s">
        <v>138</v>
      </c>
      <c r="L94" s="147" t="s">
        <v>139</v>
      </c>
      <c r="M94" s="147" t="s">
        <v>140</v>
      </c>
      <c r="N94" s="147" t="s">
        <v>141</v>
      </c>
      <c r="O94" s="147" t="s">
        <v>142</v>
      </c>
      <c r="P94" s="147"/>
      <c r="Q94" s="150"/>
      <c r="R94" s="147"/>
      <c r="S94" s="145"/>
      <c r="T94" s="77"/>
      <c r="U94" s="147"/>
      <c r="V94" s="145"/>
      <c r="W94" s="150"/>
      <c r="X94" s="147"/>
      <c r="Y94" s="77"/>
      <c r="Z94" s="77"/>
      <c r="AA94" s="77"/>
      <c r="AB94" s="19"/>
      <c r="AC94" s="150"/>
      <c r="AD94" s="147"/>
      <c r="AE94" s="147"/>
      <c r="AF94" s="147"/>
      <c r="AG94" s="147"/>
      <c r="AH94" s="19"/>
      <c r="AI94" s="192"/>
    </row>
    <row r="95" spans="2:35" ht="15.75">
      <c r="B95" s="142" t="s">
        <v>15</v>
      </c>
      <c r="C95" s="147" t="s">
        <v>16</v>
      </c>
      <c r="D95" s="147" t="s">
        <v>17</v>
      </c>
      <c r="E95" s="147" t="s">
        <v>19</v>
      </c>
      <c r="F95" s="147" t="s">
        <v>142</v>
      </c>
      <c r="G95" s="147" t="s">
        <v>142</v>
      </c>
      <c r="H95" s="147" t="s">
        <v>143</v>
      </c>
      <c r="I95" s="147" t="s">
        <v>144</v>
      </c>
      <c r="J95" s="145" t="s">
        <v>145</v>
      </c>
      <c r="K95" s="150" t="s">
        <v>146</v>
      </c>
      <c r="L95" s="147" t="s">
        <v>147</v>
      </c>
      <c r="M95" s="147" t="s">
        <v>148</v>
      </c>
      <c r="N95" s="147" t="s">
        <v>149</v>
      </c>
      <c r="O95" s="147" t="s">
        <v>150</v>
      </c>
      <c r="P95" s="147"/>
      <c r="Q95" s="150"/>
      <c r="R95" s="147"/>
      <c r="S95" s="145"/>
      <c r="T95" s="147"/>
      <c r="U95" s="147"/>
      <c r="V95" s="145"/>
      <c r="W95" s="150"/>
      <c r="X95" s="147"/>
      <c r="Y95" s="77"/>
      <c r="Z95" s="77"/>
      <c r="AA95" s="77"/>
      <c r="AB95" s="19"/>
      <c r="AC95" s="150"/>
      <c r="AD95" s="147"/>
      <c r="AE95" s="147"/>
      <c r="AF95" s="147"/>
      <c r="AG95" s="147"/>
      <c r="AH95" s="19"/>
      <c r="AI95" s="192"/>
    </row>
    <row r="96" spans="2:35" ht="15.75">
      <c r="B96" s="144"/>
      <c r="C96" s="144" t="s">
        <v>24</v>
      </c>
      <c r="D96" s="144" t="s">
        <v>25</v>
      </c>
      <c r="E96" s="144" t="s">
        <v>26</v>
      </c>
      <c r="F96" s="151" t="s">
        <v>27</v>
      </c>
      <c r="G96" s="146" t="s">
        <v>28</v>
      </c>
      <c r="H96" s="146" t="s">
        <v>29</v>
      </c>
      <c r="I96" s="146" t="s">
        <v>30</v>
      </c>
      <c r="J96" s="146" t="s">
        <v>31</v>
      </c>
      <c r="K96" s="144" t="s">
        <v>32</v>
      </c>
      <c r="L96" s="146" t="s">
        <v>151</v>
      </c>
      <c r="M96" s="146" t="s">
        <v>152</v>
      </c>
      <c r="N96" s="146" t="s">
        <v>153</v>
      </c>
      <c r="O96" s="146" t="s">
        <v>154</v>
      </c>
      <c r="P96" s="139" t="s">
        <v>155</v>
      </c>
      <c r="Q96" s="144" t="s">
        <v>156</v>
      </c>
      <c r="R96" s="146" t="s">
        <v>28</v>
      </c>
      <c r="S96" s="146" t="s">
        <v>157</v>
      </c>
      <c r="T96" s="146" t="s">
        <v>158</v>
      </c>
      <c r="U96" s="146" t="s">
        <v>159</v>
      </c>
      <c r="V96" s="139" t="s">
        <v>155</v>
      </c>
      <c r="W96" s="144" t="s">
        <v>155</v>
      </c>
      <c r="X96" s="146" t="s">
        <v>157</v>
      </c>
      <c r="Y96" s="146" t="s">
        <v>158</v>
      </c>
      <c r="Z96" s="146" t="s">
        <v>160</v>
      </c>
      <c r="AA96" s="146" t="s">
        <v>161</v>
      </c>
      <c r="AB96" s="139" t="s">
        <v>160</v>
      </c>
      <c r="AC96" s="144" t="s">
        <v>162</v>
      </c>
      <c r="AD96" s="146" t="s">
        <v>163</v>
      </c>
      <c r="AE96" s="146" t="s">
        <v>164</v>
      </c>
      <c r="AF96" s="146" t="s">
        <v>165</v>
      </c>
      <c r="AG96" s="146" t="s">
        <v>166</v>
      </c>
      <c r="AH96" s="139" t="s">
        <v>167</v>
      </c>
      <c r="AI96" s="192"/>
    </row>
    <row r="97" spans="2:35" ht="15.75">
      <c r="B97" s="123"/>
      <c r="C97" s="123"/>
      <c r="D97" s="123"/>
      <c r="E97" s="123"/>
      <c r="F97" s="114"/>
      <c r="G97" s="118"/>
      <c r="H97" s="118"/>
      <c r="I97" s="118"/>
      <c r="J97" s="118"/>
      <c r="K97" s="114"/>
      <c r="L97" s="118"/>
      <c r="M97" s="118"/>
      <c r="N97" s="118"/>
      <c r="O97" s="118"/>
      <c r="P97" s="118"/>
      <c r="Q97" s="114"/>
      <c r="R97" s="118"/>
      <c r="S97" s="118"/>
      <c r="T97" s="118"/>
      <c r="U97" s="118"/>
      <c r="V97" s="118"/>
      <c r="W97" s="114"/>
      <c r="X97" s="118"/>
      <c r="Y97" s="118"/>
      <c r="Z97" s="118"/>
      <c r="AA97" s="118"/>
      <c r="AB97" s="118"/>
      <c r="AC97" s="114"/>
      <c r="AD97" s="118"/>
      <c r="AE97" s="118"/>
      <c r="AF97" s="118"/>
      <c r="AG97" s="118"/>
      <c r="AH97" s="118"/>
      <c r="AI97" s="192"/>
    </row>
    <row r="98" spans="2:35" ht="15.75">
      <c r="B98" s="123"/>
      <c r="C98" s="1" t="s">
        <v>33</v>
      </c>
      <c r="D98" s="44"/>
      <c r="E98" s="44"/>
      <c r="F98" s="44"/>
      <c r="G98" s="56"/>
      <c r="H98" s="56"/>
      <c r="I98" s="56"/>
      <c r="J98" s="56"/>
      <c r="K98" s="44"/>
      <c r="L98" s="56"/>
      <c r="M98" s="56"/>
      <c r="N98" s="56"/>
      <c r="O98" s="56"/>
      <c r="P98" s="56"/>
      <c r="Q98" s="44"/>
      <c r="R98" s="56"/>
      <c r="S98" s="56"/>
      <c r="T98" s="56"/>
      <c r="U98" s="56"/>
      <c r="V98" s="56"/>
      <c r="W98" s="44"/>
      <c r="X98" s="56"/>
      <c r="Y98" s="56"/>
      <c r="Z98" s="56"/>
      <c r="AA98" s="56"/>
      <c r="AB98" s="56"/>
      <c r="AC98" s="44"/>
      <c r="AD98" s="56"/>
      <c r="AE98" s="56"/>
      <c r="AF98" s="56"/>
      <c r="AG98" s="56"/>
      <c r="AH98" s="56"/>
      <c r="AI98" s="192"/>
    </row>
    <row r="99" spans="2:35" ht="15.75">
      <c r="B99" s="123">
        <v>1</v>
      </c>
      <c r="C99" s="101" t="s">
        <v>34</v>
      </c>
      <c r="D99" s="123" t="s">
        <v>35</v>
      </c>
      <c r="E99" s="52">
        <f aca="true" t="shared" si="23" ref="E99:E104">SUM(F99:AH99)</f>
        <v>0</v>
      </c>
      <c r="F99" s="52">
        <v>0</v>
      </c>
      <c r="G99" s="58">
        <v>0</v>
      </c>
      <c r="H99" s="58">
        <v>0</v>
      </c>
      <c r="I99" s="58">
        <v>0</v>
      </c>
      <c r="J99" s="58">
        <v>0</v>
      </c>
      <c r="K99" s="52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2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2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2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192"/>
    </row>
    <row r="100" spans="2:35" ht="15.75">
      <c r="B100" s="123">
        <f aca="true" t="shared" si="24" ref="B100:B105">B99+1</f>
        <v>2</v>
      </c>
      <c r="C100" s="101" t="s">
        <v>36</v>
      </c>
      <c r="D100" s="123" t="s">
        <v>35</v>
      </c>
      <c r="E100" s="41">
        <f t="shared" si="23"/>
        <v>0</v>
      </c>
      <c r="F100" s="41">
        <v>0</v>
      </c>
      <c r="G100" s="54">
        <v>0</v>
      </c>
      <c r="H100" s="54">
        <v>0</v>
      </c>
      <c r="I100" s="54">
        <v>0</v>
      </c>
      <c r="J100" s="54">
        <v>0</v>
      </c>
      <c r="K100" s="41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41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41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41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192"/>
    </row>
    <row r="101" spans="2:35" ht="15.75">
      <c r="B101" s="123">
        <f t="shared" si="24"/>
        <v>3</v>
      </c>
      <c r="C101" s="101" t="s">
        <v>37</v>
      </c>
      <c r="D101" s="123" t="s">
        <v>35</v>
      </c>
      <c r="E101" s="41">
        <f t="shared" si="23"/>
        <v>0</v>
      </c>
      <c r="F101" s="41">
        <v>0</v>
      </c>
      <c r="G101" s="54">
        <v>0</v>
      </c>
      <c r="H101" s="54">
        <v>0</v>
      </c>
      <c r="I101" s="54">
        <v>0</v>
      </c>
      <c r="J101" s="54">
        <v>0</v>
      </c>
      <c r="K101" s="41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41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41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41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192"/>
    </row>
    <row r="102" spans="2:35" ht="15.75">
      <c r="B102" s="123">
        <f t="shared" si="24"/>
        <v>4</v>
      </c>
      <c r="C102" s="101" t="s">
        <v>38</v>
      </c>
      <c r="D102" s="123" t="s">
        <v>35</v>
      </c>
      <c r="E102" s="41">
        <f t="shared" si="23"/>
        <v>8203</v>
      </c>
      <c r="F102" s="41">
        <v>8203</v>
      </c>
      <c r="G102" s="54">
        <v>0</v>
      </c>
      <c r="H102" s="54">
        <v>0</v>
      </c>
      <c r="I102" s="54">
        <v>0</v>
      </c>
      <c r="J102" s="54">
        <v>0</v>
      </c>
      <c r="K102" s="41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41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41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41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192"/>
    </row>
    <row r="103" spans="2:35" ht="15.75">
      <c r="B103" s="123">
        <f t="shared" si="24"/>
        <v>5</v>
      </c>
      <c r="C103" s="101" t="s">
        <v>39</v>
      </c>
      <c r="D103" s="123" t="s">
        <v>35</v>
      </c>
      <c r="E103" s="41">
        <f t="shared" si="23"/>
        <v>2300</v>
      </c>
      <c r="F103" s="41">
        <v>2300</v>
      </c>
      <c r="G103" s="54">
        <v>0</v>
      </c>
      <c r="H103" s="54">
        <v>0</v>
      </c>
      <c r="I103" s="54">
        <v>0</v>
      </c>
      <c r="J103" s="54">
        <v>0</v>
      </c>
      <c r="K103" s="41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41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41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41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192"/>
    </row>
    <row r="104" spans="2:35" ht="15.75">
      <c r="B104" s="123">
        <f t="shared" si="24"/>
        <v>6</v>
      </c>
      <c r="C104" s="101" t="s">
        <v>40</v>
      </c>
      <c r="D104" s="123" t="s">
        <v>35</v>
      </c>
      <c r="E104" s="41">
        <f t="shared" si="23"/>
        <v>5420</v>
      </c>
      <c r="F104" s="41">
        <v>5420</v>
      </c>
      <c r="G104" s="54">
        <v>0</v>
      </c>
      <c r="H104" s="54">
        <v>0</v>
      </c>
      <c r="I104" s="54">
        <v>0</v>
      </c>
      <c r="J104" s="54">
        <v>0</v>
      </c>
      <c r="K104" s="41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41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41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41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192"/>
    </row>
    <row r="105" spans="2:35" ht="15.75">
      <c r="B105" s="123">
        <f t="shared" si="24"/>
        <v>7</v>
      </c>
      <c r="C105" s="92" t="s">
        <v>41</v>
      </c>
      <c r="D105" s="123" t="str">
        <f>"+Ln "&amp;FIXED(+B99,0,TRUE)&amp;" thru "&amp;FIXED(+B104,0,TRUE)</f>
        <v>+Ln 1 thru 6</v>
      </c>
      <c r="E105" s="16">
        <f aca="true" t="shared" si="25" ref="E105:AH105">SUM(E99:E104)</f>
        <v>15923</v>
      </c>
      <c r="F105" s="16">
        <f t="shared" si="25"/>
        <v>15923</v>
      </c>
      <c r="G105" s="10">
        <f t="shared" si="25"/>
        <v>0</v>
      </c>
      <c r="H105" s="10">
        <f t="shared" si="25"/>
        <v>0</v>
      </c>
      <c r="I105" s="10">
        <f t="shared" si="25"/>
        <v>0</v>
      </c>
      <c r="J105" s="10">
        <f t="shared" si="25"/>
        <v>0</v>
      </c>
      <c r="K105" s="16">
        <f t="shared" si="25"/>
        <v>0</v>
      </c>
      <c r="L105" s="10">
        <f t="shared" si="25"/>
        <v>0</v>
      </c>
      <c r="M105" s="10">
        <f t="shared" si="25"/>
        <v>0</v>
      </c>
      <c r="N105" s="10">
        <f t="shared" si="25"/>
        <v>0</v>
      </c>
      <c r="O105" s="10">
        <f t="shared" si="25"/>
        <v>0</v>
      </c>
      <c r="P105" s="10">
        <f t="shared" si="25"/>
        <v>0</v>
      </c>
      <c r="Q105" s="16">
        <f t="shared" si="25"/>
        <v>0</v>
      </c>
      <c r="R105" s="10">
        <f t="shared" si="25"/>
        <v>0</v>
      </c>
      <c r="S105" s="10">
        <f t="shared" si="25"/>
        <v>0</v>
      </c>
      <c r="T105" s="10">
        <f t="shared" si="25"/>
        <v>0</v>
      </c>
      <c r="U105" s="10">
        <f t="shared" si="25"/>
        <v>0</v>
      </c>
      <c r="V105" s="10">
        <f t="shared" si="25"/>
        <v>0</v>
      </c>
      <c r="W105" s="16">
        <f t="shared" si="25"/>
        <v>0</v>
      </c>
      <c r="X105" s="10">
        <f t="shared" si="25"/>
        <v>0</v>
      </c>
      <c r="Y105" s="10">
        <f t="shared" si="25"/>
        <v>0</v>
      </c>
      <c r="Z105" s="10">
        <f t="shared" si="25"/>
        <v>0</v>
      </c>
      <c r="AA105" s="10">
        <f t="shared" si="25"/>
        <v>0</v>
      </c>
      <c r="AB105" s="10">
        <f t="shared" si="25"/>
        <v>0</v>
      </c>
      <c r="AC105" s="16">
        <f t="shared" si="25"/>
        <v>0</v>
      </c>
      <c r="AD105" s="10">
        <f t="shared" si="25"/>
        <v>0</v>
      </c>
      <c r="AE105" s="10">
        <f t="shared" si="25"/>
        <v>0</v>
      </c>
      <c r="AF105" s="10">
        <f t="shared" si="25"/>
        <v>0</v>
      </c>
      <c r="AG105" s="10">
        <f t="shared" si="25"/>
        <v>0</v>
      </c>
      <c r="AH105" s="10">
        <f t="shared" si="25"/>
        <v>0</v>
      </c>
      <c r="AI105" s="192"/>
    </row>
    <row r="106" spans="2:35" ht="15.75">
      <c r="B106" s="123"/>
      <c r="C106" s="92"/>
      <c r="D106" s="123"/>
      <c r="E106" s="16"/>
      <c r="F106" s="16"/>
      <c r="G106" s="10"/>
      <c r="H106" s="10"/>
      <c r="I106" s="10"/>
      <c r="J106" s="10"/>
      <c r="K106" s="16"/>
      <c r="L106" s="10"/>
      <c r="M106" s="10"/>
      <c r="N106" s="10"/>
      <c r="O106" s="10"/>
      <c r="P106" s="10"/>
      <c r="Q106" s="16"/>
      <c r="R106" s="10"/>
      <c r="S106" s="10"/>
      <c r="T106" s="10"/>
      <c r="U106" s="10"/>
      <c r="V106" s="10"/>
      <c r="W106" s="16"/>
      <c r="X106" s="10"/>
      <c r="Y106" s="10"/>
      <c r="Z106" s="10"/>
      <c r="AA106" s="10"/>
      <c r="AB106" s="10"/>
      <c r="AC106" s="16"/>
      <c r="AD106" s="10"/>
      <c r="AE106" s="10"/>
      <c r="AF106" s="10"/>
      <c r="AG106" s="10"/>
      <c r="AH106" s="10"/>
      <c r="AI106" s="192"/>
    </row>
    <row r="107" spans="2:35" ht="15.75">
      <c r="B107" s="114"/>
      <c r="C107" s="2" t="s">
        <v>42</v>
      </c>
      <c r="D107" s="44"/>
      <c r="E107" s="44"/>
      <c r="F107" s="44"/>
      <c r="G107" s="56"/>
      <c r="H107" s="56"/>
      <c r="I107" s="56"/>
      <c r="J107" s="56"/>
      <c r="K107" s="44"/>
      <c r="L107" s="56"/>
      <c r="M107" s="56"/>
      <c r="N107" s="56"/>
      <c r="O107" s="56"/>
      <c r="P107" s="56"/>
      <c r="Q107" s="44"/>
      <c r="R107" s="56"/>
      <c r="S107" s="56"/>
      <c r="T107" s="56"/>
      <c r="U107" s="56"/>
      <c r="V107" s="56"/>
      <c r="W107" s="44"/>
      <c r="X107" s="56"/>
      <c r="Y107" s="56"/>
      <c r="Z107" s="56"/>
      <c r="AA107" s="56"/>
      <c r="AB107" s="56"/>
      <c r="AC107" s="44"/>
      <c r="AD107" s="56"/>
      <c r="AE107" s="56"/>
      <c r="AF107" s="56"/>
      <c r="AG107" s="56"/>
      <c r="AH107" s="56"/>
      <c r="AI107" s="192"/>
    </row>
    <row r="108" spans="2:35" ht="15.75">
      <c r="B108" s="123">
        <f>B105+1</f>
        <v>8</v>
      </c>
      <c r="C108" s="101" t="s">
        <v>43</v>
      </c>
      <c r="D108" s="123" t="s">
        <v>35</v>
      </c>
      <c r="E108" s="41">
        <f aca="true" t="shared" si="26" ref="E108:E144">SUM(F108:AH108)</f>
        <v>0</v>
      </c>
      <c r="F108" s="41">
        <v>0</v>
      </c>
      <c r="G108" s="54">
        <v>0</v>
      </c>
      <c r="H108" s="54">
        <v>0</v>
      </c>
      <c r="I108" s="54">
        <v>0</v>
      </c>
      <c r="J108" s="54">
        <v>0</v>
      </c>
      <c r="K108" s="41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41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41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41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192"/>
    </row>
    <row r="109" spans="2:35" ht="15.75">
      <c r="B109" s="123">
        <f aca="true" t="shared" si="27" ref="B109:B145">B108+1</f>
        <v>9</v>
      </c>
      <c r="C109" s="101" t="s">
        <v>44</v>
      </c>
      <c r="D109" s="123" t="s">
        <v>35</v>
      </c>
      <c r="E109" s="41">
        <f t="shared" si="26"/>
        <v>0</v>
      </c>
      <c r="F109" s="41">
        <v>0</v>
      </c>
      <c r="G109" s="54">
        <v>0</v>
      </c>
      <c r="H109" s="54">
        <v>0</v>
      </c>
      <c r="I109" s="54">
        <v>0</v>
      </c>
      <c r="J109" s="54">
        <v>0</v>
      </c>
      <c r="K109" s="41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41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41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41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192"/>
    </row>
    <row r="110" spans="2:35" ht="15.75">
      <c r="B110" s="123">
        <f t="shared" si="27"/>
        <v>10</v>
      </c>
      <c r="C110" s="101" t="s">
        <v>45</v>
      </c>
      <c r="D110" s="123" t="s">
        <v>35</v>
      </c>
      <c r="E110" s="41">
        <f t="shared" si="26"/>
        <v>0</v>
      </c>
      <c r="F110" s="41">
        <v>0</v>
      </c>
      <c r="G110" s="54">
        <v>0</v>
      </c>
      <c r="H110" s="54">
        <v>0</v>
      </c>
      <c r="I110" s="54">
        <v>0</v>
      </c>
      <c r="J110" s="54">
        <v>0</v>
      </c>
      <c r="K110" s="41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41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41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41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192"/>
    </row>
    <row r="111" spans="2:35" ht="15.75">
      <c r="B111" s="123">
        <f t="shared" si="27"/>
        <v>11</v>
      </c>
      <c r="C111" s="101" t="s">
        <v>46</v>
      </c>
      <c r="D111" s="123" t="s">
        <v>35</v>
      </c>
      <c r="E111" s="41">
        <f t="shared" si="26"/>
        <v>-22984</v>
      </c>
      <c r="F111" s="41">
        <v>0</v>
      </c>
      <c r="G111" s="54">
        <v>0</v>
      </c>
      <c r="H111" s="54">
        <v>0</v>
      </c>
      <c r="I111" s="54">
        <v>0</v>
      </c>
      <c r="J111" s="54">
        <v>0</v>
      </c>
      <c r="K111" s="41">
        <v>0</v>
      </c>
      <c r="L111" s="54">
        <v>0</v>
      </c>
      <c r="M111" s="54">
        <f>-599-22385</f>
        <v>-22984</v>
      </c>
      <c r="N111" s="54">
        <v>0</v>
      </c>
      <c r="O111" s="54">
        <v>0</v>
      </c>
      <c r="P111" s="54">
        <v>0</v>
      </c>
      <c r="Q111" s="41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41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41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192"/>
    </row>
    <row r="112" spans="2:35" ht="15.75">
      <c r="B112" s="123">
        <f t="shared" si="27"/>
        <v>12</v>
      </c>
      <c r="C112" s="101" t="s">
        <v>47</v>
      </c>
      <c r="D112" s="123" t="s">
        <v>35</v>
      </c>
      <c r="E112" s="41">
        <f t="shared" si="26"/>
        <v>0</v>
      </c>
      <c r="F112" s="43">
        <v>0</v>
      </c>
      <c r="G112" s="57">
        <v>0</v>
      </c>
      <c r="H112" s="57">
        <v>0</v>
      </c>
      <c r="I112" s="57">
        <v>0</v>
      </c>
      <c r="J112" s="57">
        <v>0</v>
      </c>
      <c r="K112" s="43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43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43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43">
        <v>0</v>
      </c>
      <c r="AD112" s="57">
        <v>0</v>
      </c>
      <c r="AE112" s="57">
        <v>0</v>
      </c>
      <c r="AF112" s="57">
        <v>0</v>
      </c>
      <c r="AG112" s="57">
        <v>0</v>
      </c>
      <c r="AH112" s="57">
        <v>0</v>
      </c>
      <c r="AI112" s="192"/>
    </row>
    <row r="113" spans="2:35" ht="15.75">
      <c r="B113" s="123">
        <f t="shared" si="27"/>
        <v>13</v>
      </c>
      <c r="C113" s="101" t="s">
        <v>48</v>
      </c>
      <c r="D113" s="123" t="s">
        <v>35</v>
      </c>
      <c r="E113" s="41">
        <f t="shared" si="26"/>
        <v>0</v>
      </c>
      <c r="F113" s="43">
        <v>0</v>
      </c>
      <c r="G113" s="57">
        <v>0</v>
      </c>
      <c r="H113" s="57">
        <v>0</v>
      </c>
      <c r="I113" s="57">
        <v>0</v>
      </c>
      <c r="J113" s="57">
        <v>0</v>
      </c>
      <c r="K113" s="43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43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43">
        <v>0</v>
      </c>
      <c r="X113" s="57">
        <v>0</v>
      </c>
      <c r="Y113" s="57">
        <v>0</v>
      </c>
      <c r="Z113" s="57">
        <v>0</v>
      </c>
      <c r="AA113" s="57">
        <v>0</v>
      </c>
      <c r="AB113" s="57">
        <v>0</v>
      </c>
      <c r="AC113" s="43">
        <v>0</v>
      </c>
      <c r="AD113" s="57">
        <v>0</v>
      </c>
      <c r="AE113" s="57">
        <v>0</v>
      </c>
      <c r="AF113" s="57">
        <v>0</v>
      </c>
      <c r="AG113" s="57">
        <v>0</v>
      </c>
      <c r="AH113" s="57">
        <v>0</v>
      </c>
      <c r="AI113" s="192"/>
    </row>
    <row r="114" spans="2:35" ht="15.75">
      <c r="B114" s="123">
        <f t="shared" si="27"/>
        <v>14</v>
      </c>
      <c r="C114" s="101" t="s">
        <v>49</v>
      </c>
      <c r="D114" s="123" t="s">
        <v>35</v>
      </c>
      <c r="E114" s="41">
        <f t="shared" si="26"/>
        <v>0</v>
      </c>
      <c r="F114" s="41">
        <v>0</v>
      </c>
      <c r="G114" s="54">
        <v>0</v>
      </c>
      <c r="H114" s="54">
        <v>0</v>
      </c>
      <c r="I114" s="54">
        <v>0</v>
      </c>
      <c r="J114" s="54">
        <v>0</v>
      </c>
      <c r="K114" s="41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41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41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41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192"/>
    </row>
    <row r="115" spans="2:35" ht="15.75">
      <c r="B115" s="123">
        <f t="shared" si="27"/>
        <v>15</v>
      </c>
      <c r="C115" s="101" t="s">
        <v>50</v>
      </c>
      <c r="D115" s="123" t="s">
        <v>35</v>
      </c>
      <c r="E115" s="41">
        <f t="shared" si="26"/>
        <v>0</v>
      </c>
      <c r="F115" s="41">
        <v>0</v>
      </c>
      <c r="G115" s="54">
        <v>0</v>
      </c>
      <c r="H115" s="54">
        <v>0</v>
      </c>
      <c r="I115" s="54">
        <v>0</v>
      </c>
      <c r="J115" s="54">
        <v>0</v>
      </c>
      <c r="K115" s="41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41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41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41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192"/>
    </row>
    <row r="116" spans="2:35" ht="15.75">
      <c r="B116" s="123">
        <f t="shared" si="27"/>
        <v>16</v>
      </c>
      <c r="C116" s="101" t="s">
        <v>51</v>
      </c>
      <c r="D116" s="123" t="s">
        <v>35</v>
      </c>
      <c r="E116" s="41">
        <f t="shared" si="26"/>
        <v>0</v>
      </c>
      <c r="F116" s="41">
        <v>0</v>
      </c>
      <c r="G116" s="54">
        <v>0</v>
      </c>
      <c r="H116" s="54">
        <v>0</v>
      </c>
      <c r="I116" s="54">
        <v>0</v>
      </c>
      <c r="J116" s="54">
        <v>0</v>
      </c>
      <c r="K116" s="41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41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41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41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192"/>
    </row>
    <row r="117" spans="2:35" ht="15.75">
      <c r="B117" s="123">
        <f t="shared" si="27"/>
        <v>17</v>
      </c>
      <c r="C117" s="101" t="s">
        <v>52</v>
      </c>
      <c r="D117" s="123" t="s">
        <v>35</v>
      </c>
      <c r="E117" s="41">
        <f t="shared" si="26"/>
        <v>5619.5</v>
      </c>
      <c r="F117" s="41">
        <v>0</v>
      </c>
      <c r="G117" s="54">
        <v>0</v>
      </c>
      <c r="H117" s="54">
        <v>0</v>
      </c>
      <c r="I117" s="54">
        <v>10767</v>
      </c>
      <c r="J117" s="54">
        <f>J143*0.0145</f>
        <v>-5147.5</v>
      </c>
      <c r="K117" s="41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41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41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41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192"/>
    </row>
    <row r="118" spans="2:35" ht="15.75">
      <c r="B118" s="123">
        <f t="shared" si="27"/>
        <v>18</v>
      </c>
      <c r="C118" s="101" t="s">
        <v>53</v>
      </c>
      <c r="D118" s="123" t="s">
        <v>35</v>
      </c>
      <c r="E118" s="41">
        <f t="shared" si="26"/>
        <v>0</v>
      </c>
      <c r="F118" s="41">
        <v>0</v>
      </c>
      <c r="G118" s="54">
        <v>0</v>
      </c>
      <c r="H118" s="54">
        <v>0</v>
      </c>
      <c r="I118" s="54">
        <v>0</v>
      </c>
      <c r="J118" s="54">
        <v>0</v>
      </c>
      <c r="K118" s="41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41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41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41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192"/>
    </row>
    <row r="119" spans="2:35" ht="15.75">
      <c r="B119" s="123">
        <f t="shared" si="27"/>
        <v>19</v>
      </c>
      <c r="C119" s="101" t="s">
        <v>54</v>
      </c>
      <c r="D119" s="123" t="s">
        <v>35</v>
      </c>
      <c r="E119" s="41">
        <f t="shared" si="26"/>
        <v>0</v>
      </c>
      <c r="F119" s="41">
        <v>0</v>
      </c>
      <c r="G119" s="54">
        <v>0</v>
      </c>
      <c r="H119" s="54">
        <v>0</v>
      </c>
      <c r="I119" s="54">
        <v>0</v>
      </c>
      <c r="J119" s="54">
        <v>0</v>
      </c>
      <c r="K119" s="41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41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41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41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192"/>
    </row>
    <row r="120" spans="2:35" ht="15.75">
      <c r="B120" s="123">
        <f t="shared" si="27"/>
        <v>20</v>
      </c>
      <c r="C120" s="101" t="s">
        <v>55</v>
      </c>
      <c r="D120" s="123" t="s">
        <v>35</v>
      </c>
      <c r="E120" s="41">
        <f t="shared" si="26"/>
        <v>0</v>
      </c>
      <c r="F120" s="41">
        <v>0</v>
      </c>
      <c r="G120" s="54">
        <v>0</v>
      </c>
      <c r="H120" s="54">
        <v>0</v>
      </c>
      <c r="I120" s="54">
        <v>0</v>
      </c>
      <c r="J120" s="54">
        <v>0</v>
      </c>
      <c r="K120" s="41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41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41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41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192"/>
    </row>
    <row r="121" spans="2:35" ht="15.75">
      <c r="B121" s="123">
        <f t="shared" si="27"/>
        <v>21</v>
      </c>
      <c r="C121" s="101" t="s">
        <v>56</v>
      </c>
      <c r="D121" s="123" t="s">
        <v>35</v>
      </c>
      <c r="E121" s="41">
        <f t="shared" si="26"/>
        <v>0</v>
      </c>
      <c r="F121" s="41">
        <v>0</v>
      </c>
      <c r="G121" s="54">
        <v>0</v>
      </c>
      <c r="H121" s="54">
        <v>0</v>
      </c>
      <c r="I121" s="54">
        <v>0</v>
      </c>
      <c r="J121" s="54">
        <v>0</v>
      </c>
      <c r="K121" s="41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41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41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41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192"/>
    </row>
    <row r="122" spans="2:35" ht="15.75">
      <c r="B122" s="123">
        <f t="shared" si="27"/>
        <v>22</v>
      </c>
      <c r="C122" s="101" t="s">
        <v>57</v>
      </c>
      <c r="D122" s="123" t="s">
        <v>35</v>
      </c>
      <c r="E122" s="41">
        <f t="shared" si="26"/>
        <v>0</v>
      </c>
      <c r="F122" s="41">
        <v>0</v>
      </c>
      <c r="G122" s="54">
        <v>0</v>
      </c>
      <c r="H122" s="54">
        <v>0</v>
      </c>
      <c r="I122" s="54">
        <v>0</v>
      </c>
      <c r="J122" s="54">
        <v>0</v>
      </c>
      <c r="K122" s="41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41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41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41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192"/>
    </row>
    <row r="123" spans="2:35" ht="15.75">
      <c r="B123" s="123">
        <f t="shared" si="27"/>
        <v>23</v>
      </c>
      <c r="C123" s="101" t="s">
        <v>58</v>
      </c>
      <c r="D123" s="123" t="s">
        <v>35</v>
      </c>
      <c r="E123" s="41">
        <f t="shared" si="26"/>
        <v>0</v>
      </c>
      <c r="F123" s="43">
        <v>0</v>
      </c>
      <c r="G123" s="57">
        <v>0</v>
      </c>
      <c r="H123" s="57">
        <v>0</v>
      </c>
      <c r="I123" s="57">
        <v>0</v>
      </c>
      <c r="J123" s="57">
        <v>0</v>
      </c>
      <c r="K123" s="43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43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43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43">
        <v>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192"/>
    </row>
    <row r="124" spans="2:35" ht="15.75">
      <c r="B124" s="123">
        <f t="shared" si="27"/>
        <v>24</v>
      </c>
      <c r="C124" s="101" t="s">
        <v>59</v>
      </c>
      <c r="D124" s="123" t="s">
        <v>35</v>
      </c>
      <c r="E124" s="41">
        <f t="shared" si="26"/>
        <v>0</v>
      </c>
      <c r="F124" s="43">
        <v>0</v>
      </c>
      <c r="G124" s="57">
        <v>0</v>
      </c>
      <c r="H124" s="57">
        <v>0</v>
      </c>
      <c r="I124" s="57">
        <v>0</v>
      </c>
      <c r="J124" s="57">
        <v>0</v>
      </c>
      <c r="K124" s="43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43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43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43">
        <v>0</v>
      </c>
      <c r="AD124" s="57">
        <v>0</v>
      </c>
      <c r="AE124" s="57">
        <v>0</v>
      </c>
      <c r="AF124" s="57">
        <v>0</v>
      </c>
      <c r="AG124" s="57">
        <v>0</v>
      </c>
      <c r="AH124" s="57">
        <v>0</v>
      </c>
      <c r="AI124" s="192"/>
    </row>
    <row r="125" spans="2:35" ht="15.75">
      <c r="B125" s="123">
        <f t="shared" si="27"/>
        <v>25</v>
      </c>
      <c r="C125" s="101" t="s">
        <v>60</v>
      </c>
      <c r="D125" s="123" t="s">
        <v>35</v>
      </c>
      <c r="E125" s="41">
        <f t="shared" si="26"/>
        <v>-1842</v>
      </c>
      <c r="F125" s="43">
        <v>0</v>
      </c>
      <c r="G125" s="57">
        <v>0</v>
      </c>
      <c r="H125" s="57">
        <v>0</v>
      </c>
      <c r="I125" s="57">
        <v>0</v>
      </c>
      <c r="J125" s="57">
        <v>0</v>
      </c>
      <c r="K125" s="43">
        <v>0</v>
      </c>
      <c r="L125" s="57">
        <v>-1842</v>
      </c>
      <c r="M125" s="57">
        <v>0</v>
      </c>
      <c r="N125" s="57">
        <v>0</v>
      </c>
      <c r="O125" s="57">
        <v>0</v>
      </c>
      <c r="P125" s="57">
        <v>0</v>
      </c>
      <c r="Q125" s="43">
        <v>0</v>
      </c>
      <c r="R125" s="57">
        <v>0</v>
      </c>
      <c r="S125" s="57">
        <v>0</v>
      </c>
      <c r="T125" s="57">
        <v>0</v>
      </c>
      <c r="U125" s="57">
        <v>0</v>
      </c>
      <c r="V125" s="57">
        <v>0</v>
      </c>
      <c r="W125" s="43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43">
        <v>0</v>
      </c>
      <c r="AD125" s="57">
        <v>0</v>
      </c>
      <c r="AE125" s="57">
        <v>0</v>
      </c>
      <c r="AF125" s="57">
        <v>0</v>
      </c>
      <c r="AG125" s="57">
        <v>0</v>
      </c>
      <c r="AH125" s="57">
        <v>0</v>
      </c>
      <c r="AI125" s="192"/>
    </row>
    <row r="126" spans="2:35" ht="15.75">
      <c r="B126" s="123">
        <f t="shared" si="27"/>
        <v>26</v>
      </c>
      <c r="C126" s="101" t="s">
        <v>61</v>
      </c>
      <c r="D126" s="123" t="s">
        <v>35</v>
      </c>
      <c r="E126" s="41">
        <f t="shared" si="26"/>
        <v>0</v>
      </c>
      <c r="F126" s="43">
        <v>0</v>
      </c>
      <c r="G126" s="57">
        <v>0</v>
      </c>
      <c r="H126" s="57">
        <v>0</v>
      </c>
      <c r="I126" s="57">
        <v>0</v>
      </c>
      <c r="J126" s="57">
        <v>0</v>
      </c>
      <c r="K126" s="43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43">
        <v>0</v>
      </c>
      <c r="R126" s="57">
        <v>0</v>
      </c>
      <c r="S126" s="57">
        <v>0</v>
      </c>
      <c r="T126" s="57">
        <v>0</v>
      </c>
      <c r="U126" s="57">
        <v>0</v>
      </c>
      <c r="V126" s="57">
        <v>0</v>
      </c>
      <c r="W126" s="43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43">
        <v>0</v>
      </c>
      <c r="AD126" s="57">
        <v>0</v>
      </c>
      <c r="AE126" s="57">
        <v>0</v>
      </c>
      <c r="AF126" s="57">
        <v>0</v>
      </c>
      <c r="AG126" s="57">
        <v>0</v>
      </c>
      <c r="AH126" s="57">
        <v>0</v>
      </c>
      <c r="AI126" s="192"/>
    </row>
    <row r="127" spans="2:35" ht="15.75">
      <c r="B127" s="123">
        <f t="shared" si="27"/>
        <v>27</v>
      </c>
      <c r="C127" s="101" t="s">
        <v>62</v>
      </c>
      <c r="D127" s="123" t="s">
        <v>35</v>
      </c>
      <c r="E127" s="41">
        <f t="shared" si="26"/>
        <v>-33086</v>
      </c>
      <c r="F127" s="43">
        <v>0</v>
      </c>
      <c r="G127" s="57">
        <v>0</v>
      </c>
      <c r="H127" s="57">
        <v>-33086</v>
      </c>
      <c r="I127" s="57">
        <v>0</v>
      </c>
      <c r="J127" s="57">
        <v>0</v>
      </c>
      <c r="K127" s="43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43">
        <v>0</v>
      </c>
      <c r="R127" s="57">
        <v>0</v>
      </c>
      <c r="S127" s="57">
        <v>0</v>
      </c>
      <c r="T127" s="57">
        <v>0</v>
      </c>
      <c r="U127" s="57">
        <v>0</v>
      </c>
      <c r="V127" s="57">
        <v>0</v>
      </c>
      <c r="W127" s="43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43">
        <v>0</v>
      </c>
      <c r="AD127" s="57">
        <v>0</v>
      </c>
      <c r="AE127" s="57">
        <v>0</v>
      </c>
      <c r="AF127" s="57">
        <v>0</v>
      </c>
      <c r="AG127" s="57">
        <v>0</v>
      </c>
      <c r="AH127" s="57">
        <v>0</v>
      </c>
      <c r="AI127" s="192"/>
    </row>
    <row r="128" spans="2:35" ht="15.75">
      <c r="B128" s="123">
        <f t="shared" si="27"/>
        <v>28</v>
      </c>
      <c r="C128" s="101" t="s">
        <v>63</v>
      </c>
      <c r="D128" s="123" t="s">
        <v>35</v>
      </c>
      <c r="E128" s="41">
        <f t="shared" si="26"/>
        <v>0</v>
      </c>
      <c r="F128" s="43">
        <v>0</v>
      </c>
      <c r="G128" s="57">
        <v>0</v>
      </c>
      <c r="H128" s="57">
        <v>0</v>
      </c>
      <c r="I128" s="57">
        <v>0</v>
      </c>
      <c r="J128" s="57">
        <v>0</v>
      </c>
      <c r="K128" s="43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43">
        <v>0</v>
      </c>
      <c r="R128" s="57">
        <v>0</v>
      </c>
      <c r="S128" s="57">
        <v>0</v>
      </c>
      <c r="T128" s="57">
        <v>0</v>
      </c>
      <c r="U128" s="57">
        <v>0</v>
      </c>
      <c r="V128" s="57">
        <v>0</v>
      </c>
      <c r="W128" s="43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43">
        <v>0</v>
      </c>
      <c r="AD128" s="57">
        <v>0</v>
      </c>
      <c r="AE128" s="57">
        <v>0</v>
      </c>
      <c r="AF128" s="57">
        <v>0</v>
      </c>
      <c r="AG128" s="57">
        <v>0</v>
      </c>
      <c r="AH128" s="57">
        <v>0</v>
      </c>
      <c r="AI128" s="192"/>
    </row>
    <row r="129" spans="2:35" ht="15.75">
      <c r="B129" s="123">
        <f t="shared" si="27"/>
        <v>29</v>
      </c>
      <c r="C129" s="101" t="s">
        <v>64</v>
      </c>
      <c r="D129" s="123" t="s">
        <v>35</v>
      </c>
      <c r="E129" s="41">
        <f t="shared" si="26"/>
        <v>0</v>
      </c>
      <c r="F129" s="43">
        <v>0</v>
      </c>
      <c r="G129" s="57">
        <v>0</v>
      </c>
      <c r="H129" s="57">
        <v>0</v>
      </c>
      <c r="I129" s="57">
        <v>0</v>
      </c>
      <c r="J129" s="57">
        <v>0</v>
      </c>
      <c r="K129" s="43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43">
        <v>0</v>
      </c>
      <c r="R129" s="57">
        <v>0</v>
      </c>
      <c r="S129" s="57">
        <v>0</v>
      </c>
      <c r="T129" s="57">
        <v>0</v>
      </c>
      <c r="U129" s="57">
        <v>0</v>
      </c>
      <c r="V129" s="57">
        <v>0</v>
      </c>
      <c r="W129" s="43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43">
        <v>0</v>
      </c>
      <c r="AD129" s="57">
        <v>0</v>
      </c>
      <c r="AE129" s="57">
        <v>0</v>
      </c>
      <c r="AF129" s="57">
        <v>0</v>
      </c>
      <c r="AG129" s="57">
        <v>0</v>
      </c>
      <c r="AH129" s="57">
        <v>0</v>
      </c>
      <c r="AI129" s="192"/>
    </row>
    <row r="130" spans="2:35" ht="15.75">
      <c r="B130" s="123">
        <f t="shared" si="27"/>
        <v>30</v>
      </c>
      <c r="C130" s="101" t="s">
        <v>65</v>
      </c>
      <c r="D130" s="123" t="s">
        <v>35</v>
      </c>
      <c r="E130" s="41">
        <f t="shared" si="26"/>
        <v>0</v>
      </c>
      <c r="F130" s="43">
        <v>0</v>
      </c>
      <c r="G130" s="57">
        <v>0</v>
      </c>
      <c r="H130" s="57">
        <v>0</v>
      </c>
      <c r="I130" s="57">
        <v>0</v>
      </c>
      <c r="J130" s="57">
        <v>0</v>
      </c>
      <c r="K130" s="43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43">
        <v>0</v>
      </c>
      <c r="R130" s="57">
        <v>0</v>
      </c>
      <c r="S130" s="57">
        <v>0</v>
      </c>
      <c r="T130" s="57">
        <v>0</v>
      </c>
      <c r="U130" s="57">
        <v>0</v>
      </c>
      <c r="V130" s="57">
        <v>0</v>
      </c>
      <c r="W130" s="43">
        <v>0</v>
      </c>
      <c r="X130" s="57">
        <v>0</v>
      </c>
      <c r="Y130" s="57">
        <v>0</v>
      </c>
      <c r="Z130" s="57">
        <v>0</v>
      </c>
      <c r="AA130" s="57">
        <v>0</v>
      </c>
      <c r="AB130" s="57">
        <v>0</v>
      </c>
      <c r="AC130" s="43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192"/>
    </row>
    <row r="131" spans="2:35" ht="15.75">
      <c r="B131" s="123">
        <f t="shared" si="27"/>
        <v>31</v>
      </c>
      <c r="C131" s="101" t="s">
        <v>48</v>
      </c>
      <c r="D131" s="123" t="s">
        <v>35</v>
      </c>
      <c r="E131" s="41">
        <f t="shared" si="26"/>
        <v>0</v>
      </c>
      <c r="F131" s="43">
        <v>0</v>
      </c>
      <c r="G131" s="57">
        <v>0</v>
      </c>
      <c r="H131" s="57">
        <v>0</v>
      </c>
      <c r="I131" s="57">
        <v>0</v>
      </c>
      <c r="J131" s="57">
        <v>0</v>
      </c>
      <c r="K131" s="43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43">
        <v>0</v>
      </c>
      <c r="R131" s="57">
        <v>0</v>
      </c>
      <c r="S131" s="57">
        <v>0</v>
      </c>
      <c r="T131" s="57">
        <v>0</v>
      </c>
      <c r="U131" s="57">
        <v>0</v>
      </c>
      <c r="V131" s="57">
        <v>0</v>
      </c>
      <c r="W131" s="43">
        <v>0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43">
        <v>0</v>
      </c>
      <c r="AD131" s="57">
        <v>0</v>
      </c>
      <c r="AE131" s="57">
        <v>0</v>
      </c>
      <c r="AF131" s="57">
        <v>0</v>
      </c>
      <c r="AG131" s="57">
        <v>0</v>
      </c>
      <c r="AH131" s="57">
        <v>0</v>
      </c>
      <c r="AI131" s="192"/>
    </row>
    <row r="132" spans="2:35" ht="15.75">
      <c r="B132" s="123">
        <f t="shared" si="27"/>
        <v>32</v>
      </c>
      <c r="C132" s="101" t="s">
        <v>66</v>
      </c>
      <c r="D132" s="123" t="s">
        <v>35</v>
      </c>
      <c r="E132" s="41">
        <f t="shared" si="26"/>
        <v>0</v>
      </c>
      <c r="F132" s="43">
        <v>0</v>
      </c>
      <c r="G132" s="57">
        <v>0</v>
      </c>
      <c r="H132" s="57">
        <v>0</v>
      </c>
      <c r="I132" s="57">
        <v>0</v>
      </c>
      <c r="J132" s="57">
        <v>0</v>
      </c>
      <c r="K132" s="43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43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43">
        <v>0</v>
      </c>
      <c r="X132" s="57">
        <v>0</v>
      </c>
      <c r="Y132" s="57">
        <v>0</v>
      </c>
      <c r="Z132" s="57">
        <v>0</v>
      </c>
      <c r="AA132" s="57">
        <v>0</v>
      </c>
      <c r="AB132" s="57">
        <v>0</v>
      </c>
      <c r="AC132" s="43">
        <v>0</v>
      </c>
      <c r="AD132" s="57">
        <v>0</v>
      </c>
      <c r="AE132" s="57">
        <v>0</v>
      </c>
      <c r="AF132" s="57">
        <v>0</v>
      </c>
      <c r="AG132" s="57">
        <v>0</v>
      </c>
      <c r="AH132" s="57">
        <v>0</v>
      </c>
      <c r="AI132" s="192"/>
    </row>
    <row r="133" spans="2:35" ht="15.75">
      <c r="B133" s="123">
        <f t="shared" si="27"/>
        <v>33</v>
      </c>
      <c r="C133" s="101" t="s">
        <v>67</v>
      </c>
      <c r="D133" s="123" t="s">
        <v>35</v>
      </c>
      <c r="E133" s="41">
        <f t="shared" si="26"/>
        <v>0</v>
      </c>
      <c r="F133" s="43">
        <v>0</v>
      </c>
      <c r="G133" s="57">
        <v>0</v>
      </c>
      <c r="H133" s="57">
        <v>0</v>
      </c>
      <c r="I133" s="57">
        <v>0</v>
      </c>
      <c r="J133" s="57">
        <v>0</v>
      </c>
      <c r="K133" s="43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43">
        <v>0</v>
      </c>
      <c r="R133" s="57">
        <v>0</v>
      </c>
      <c r="S133" s="57">
        <v>0</v>
      </c>
      <c r="T133" s="57">
        <v>0</v>
      </c>
      <c r="U133" s="57">
        <v>0</v>
      </c>
      <c r="V133" s="57">
        <v>0</v>
      </c>
      <c r="W133" s="43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43">
        <v>0</v>
      </c>
      <c r="AD133" s="57">
        <v>0</v>
      </c>
      <c r="AE133" s="57">
        <v>0</v>
      </c>
      <c r="AF133" s="57">
        <v>0</v>
      </c>
      <c r="AG133" s="57">
        <v>0</v>
      </c>
      <c r="AH133" s="57">
        <v>0</v>
      </c>
      <c r="AI133" s="192"/>
    </row>
    <row r="134" spans="2:35" ht="15.75">
      <c r="B134" s="123">
        <f t="shared" si="27"/>
        <v>34</v>
      </c>
      <c r="C134" s="101" t="s">
        <v>68</v>
      </c>
      <c r="D134" s="123" t="s">
        <v>35</v>
      </c>
      <c r="E134" s="41">
        <f t="shared" si="26"/>
        <v>0</v>
      </c>
      <c r="F134" s="43">
        <v>0</v>
      </c>
      <c r="G134" s="57">
        <v>0</v>
      </c>
      <c r="H134" s="57">
        <v>0</v>
      </c>
      <c r="I134" s="57">
        <v>0</v>
      </c>
      <c r="J134" s="57">
        <v>0</v>
      </c>
      <c r="K134" s="43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43">
        <v>0</v>
      </c>
      <c r="R134" s="57">
        <v>0</v>
      </c>
      <c r="S134" s="57">
        <v>0</v>
      </c>
      <c r="T134" s="57">
        <v>0</v>
      </c>
      <c r="U134" s="57">
        <v>0</v>
      </c>
      <c r="V134" s="57">
        <v>0</v>
      </c>
      <c r="W134" s="43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43">
        <v>0</v>
      </c>
      <c r="AD134" s="57">
        <v>0</v>
      </c>
      <c r="AE134" s="57">
        <v>0</v>
      </c>
      <c r="AF134" s="57">
        <v>0</v>
      </c>
      <c r="AG134" s="57">
        <v>0</v>
      </c>
      <c r="AH134" s="57">
        <v>0</v>
      </c>
      <c r="AI134" s="192"/>
    </row>
    <row r="135" spans="2:35" ht="15.75">
      <c r="B135" s="123">
        <f t="shared" si="27"/>
        <v>35</v>
      </c>
      <c r="C135" s="101" t="s">
        <v>69</v>
      </c>
      <c r="D135" s="123" t="s">
        <v>35</v>
      </c>
      <c r="E135" s="41">
        <f t="shared" si="26"/>
        <v>0</v>
      </c>
      <c r="F135" s="43">
        <v>0</v>
      </c>
      <c r="G135" s="57">
        <v>0</v>
      </c>
      <c r="H135" s="57">
        <v>0</v>
      </c>
      <c r="I135" s="57">
        <v>0</v>
      </c>
      <c r="J135" s="57">
        <v>0</v>
      </c>
      <c r="K135" s="43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43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43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43">
        <v>0</v>
      </c>
      <c r="AD135" s="57">
        <v>0</v>
      </c>
      <c r="AE135" s="57">
        <v>0</v>
      </c>
      <c r="AF135" s="57">
        <v>0</v>
      </c>
      <c r="AG135" s="57">
        <v>0</v>
      </c>
      <c r="AH135" s="57">
        <v>0</v>
      </c>
      <c r="AI135" s="192"/>
    </row>
    <row r="136" spans="2:35" ht="15.75">
      <c r="B136" s="123">
        <f t="shared" si="27"/>
        <v>36</v>
      </c>
      <c r="C136" s="101" t="s">
        <v>70</v>
      </c>
      <c r="D136" s="123" t="s">
        <v>35</v>
      </c>
      <c r="E136" s="41">
        <f t="shared" si="26"/>
        <v>0</v>
      </c>
      <c r="F136" s="43">
        <v>0</v>
      </c>
      <c r="G136" s="57">
        <v>0</v>
      </c>
      <c r="H136" s="57">
        <v>0</v>
      </c>
      <c r="I136" s="57">
        <v>0</v>
      </c>
      <c r="J136" s="57">
        <v>0</v>
      </c>
      <c r="K136" s="43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43">
        <v>0</v>
      </c>
      <c r="R136" s="57">
        <v>0</v>
      </c>
      <c r="S136" s="57">
        <v>0</v>
      </c>
      <c r="T136" s="57">
        <v>0</v>
      </c>
      <c r="U136" s="57">
        <v>0</v>
      </c>
      <c r="V136" s="57">
        <v>0</v>
      </c>
      <c r="W136" s="43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43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192"/>
    </row>
    <row r="137" spans="2:35" ht="15.75">
      <c r="B137" s="123">
        <f t="shared" si="27"/>
        <v>37</v>
      </c>
      <c r="C137" s="101" t="s">
        <v>71</v>
      </c>
      <c r="D137" s="123" t="s">
        <v>35</v>
      </c>
      <c r="E137" s="41">
        <f t="shared" si="26"/>
        <v>-17884.53687671233</v>
      </c>
      <c r="F137" s="43">
        <v>0</v>
      </c>
      <c r="G137" s="57">
        <v>0</v>
      </c>
      <c r="H137" s="57">
        <v>0</v>
      </c>
      <c r="I137" s="57">
        <v>0</v>
      </c>
      <c r="J137" s="57">
        <v>0</v>
      </c>
      <c r="K137" s="43">
        <f>P515</f>
        <v>-17884.53687671233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43">
        <v>0</v>
      </c>
      <c r="R137" s="57">
        <v>0</v>
      </c>
      <c r="S137" s="57">
        <v>0</v>
      </c>
      <c r="T137" s="57">
        <v>0</v>
      </c>
      <c r="U137" s="57">
        <v>0</v>
      </c>
      <c r="V137" s="57">
        <v>0</v>
      </c>
      <c r="W137" s="43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43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192"/>
    </row>
    <row r="138" spans="2:35" ht="15.75">
      <c r="B138" s="123">
        <f t="shared" si="27"/>
        <v>38</v>
      </c>
      <c r="C138" s="101" t="s">
        <v>72</v>
      </c>
      <c r="D138" s="123" t="s">
        <v>35</v>
      </c>
      <c r="E138" s="41">
        <f t="shared" si="26"/>
        <v>-1642</v>
      </c>
      <c r="F138" s="43">
        <v>0</v>
      </c>
      <c r="G138" s="57">
        <v>0</v>
      </c>
      <c r="H138" s="57">
        <v>0</v>
      </c>
      <c r="I138" s="57">
        <v>0</v>
      </c>
      <c r="J138" s="57">
        <v>0</v>
      </c>
      <c r="K138" s="43">
        <v>0</v>
      </c>
      <c r="L138" s="57">
        <v>-1642</v>
      </c>
      <c r="M138" s="57">
        <v>0</v>
      </c>
      <c r="N138" s="57">
        <v>0</v>
      </c>
      <c r="O138" s="57">
        <v>0</v>
      </c>
      <c r="P138" s="57">
        <v>0</v>
      </c>
      <c r="Q138" s="43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0</v>
      </c>
      <c r="W138" s="43">
        <v>0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43">
        <v>0</v>
      </c>
      <c r="AD138" s="57">
        <v>0</v>
      </c>
      <c r="AE138" s="57">
        <v>0</v>
      </c>
      <c r="AF138" s="57">
        <v>0</v>
      </c>
      <c r="AG138" s="57">
        <v>0</v>
      </c>
      <c r="AH138" s="57">
        <v>0</v>
      </c>
      <c r="AI138" s="192"/>
    </row>
    <row r="139" spans="2:35" ht="15.75">
      <c r="B139" s="123">
        <f t="shared" si="27"/>
        <v>39</v>
      </c>
      <c r="C139" s="101" t="s">
        <v>73</v>
      </c>
      <c r="D139" s="123" t="s">
        <v>35</v>
      </c>
      <c r="E139" s="41">
        <f t="shared" si="26"/>
        <v>0</v>
      </c>
      <c r="F139" s="43">
        <v>0</v>
      </c>
      <c r="G139" s="57">
        <v>0</v>
      </c>
      <c r="H139" s="57">
        <v>0</v>
      </c>
      <c r="I139" s="57">
        <v>0</v>
      </c>
      <c r="J139" s="57">
        <v>0</v>
      </c>
      <c r="K139" s="43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43">
        <v>0</v>
      </c>
      <c r="R139" s="57">
        <v>0</v>
      </c>
      <c r="S139" s="57">
        <v>0</v>
      </c>
      <c r="T139" s="57">
        <v>0</v>
      </c>
      <c r="U139" s="57">
        <v>0</v>
      </c>
      <c r="V139" s="57">
        <v>0</v>
      </c>
      <c r="W139" s="43">
        <v>0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43">
        <v>0</v>
      </c>
      <c r="AD139" s="57">
        <v>0</v>
      </c>
      <c r="AE139" s="57">
        <v>0</v>
      </c>
      <c r="AF139" s="57">
        <v>0</v>
      </c>
      <c r="AG139" s="57">
        <v>0</v>
      </c>
      <c r="AH139" s="57">
        <v>0</v>
      </c>
      <c r="AI139" s="192"/>
    </row>
    <row r="140" spans="2:35" ht="15.75">
      <c r="B140" s="123">
        <f t="shared" si="27"/>
        <v>40</v>
      </c>
      <c r="C140" s="101" t="s">
        <v>74</v>
      </c>
      <c r="D140" s="123" t="s">
        <v>35</v>
      </c>
      <c r="E140" s="41">
        <f t="shared" si="26"/>
        <v>0</v>
      </c>
      <c r="F140" s="43">
        <v>0</v>
      </c>
      <c r="G140" s="57">
        <v>0</v>
      </c>
      <c r="H140" s="57">
        <v>0</v>
      </c>
      <c r="I140" s="57">
        <v>0</v>
      </c>
      <c r="J140" s="57">
        <v>0</v>
      </c>
      <c r="K140" s="43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43">
        <v>0</v>
      </c>
      <c r="R140" s="57">
        <v>0</v>
      </c>
      <c r="S140" s="57">
        <v>0</v>
      </c>
      <c r="T140" s="57">
        <v>0</v>
      </c>
      <c r="U140" s="57">
        <v>0</v>
      </c>
      <c r="V140" s="57">
        <v>0</v>
      </c>
      <c r="W140" s="43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43">
        <v>0</v>
      </c>
      <c r="AD140" s="57">
        <v>0</v>
      </c>
      <c r="AE140" s="57">
        <v>0</v>
      </c>
      <c r="AF140" s="57">
        <v>0</v>
      </c>
      <c r="AG140" s="57">
        <v>0</v>
      </c>
      <c r="AH140" s="57">
        <v>0</v>
      </c>
      <c r="AI140" s="192"/>
    </row>
    <row r="141" spans="2:35" ht="15.75">
      <c r="B141" s="123">
        <f t="shared" si="27"/>
        <v>41</v>
      </c>
      <c r="C141" s="101" t="s">
        <v>75</v>
      </c>
      <c r="D141" s="123" t="s">
        <v>35</v>
      </c>
      <c r="E141" s="41">
        <f t="shared" si="26"/>
        <v>-1000</v>
      </c>
      <c r="F141" s="43">
        <v>0</v>
      </c>
      <c r="G141" s="57">
        <v>0</v>
      </c>
      <c r="H141" s="57">
        <v>0</v>
      </c>
      <c r="I141" s="57">
        <v>0</v>
      </c>
      <c r="J141" s="57">
        <v>0</v>
      </c>
      <c r="K141" s="43">
        <v>0</v>
      </c>
      <c r="L141" s="57">
        <v>-1000</v>
      </c>
      <c r="M141" s="57">
        <v>0</v>
      </c>
      <c r="N141" s="57">
        <v>0</v>
      </c>
      <c r="O141" s="57">
        <v>0</v>
      </c>
      <c r="P141" s="57">
        <v>0</v>
      </c>
      <c r="Q141" s="43">
        <v>0</v>
      </c>
      <c r="R141" s="57">
        <v>0</v>
      </c>
      <c r="S141" s="57">
        <v>0</v>
      </c>
      <c r="T141" s="57">
        <v>0</v>
      </c>
      <c r="U141" s="57">
        <v>0</v>
      </c>
      <c r="V141" s="57">
        <v>0</v>
      </c>
      <c r="W141" s="43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43">
        <v>0</v>
      </c>
      <c r="AD141" s="57">
        <v>0</v>
      </c>
      <c r="AE141" s="57">
        <v>0</v>
      </c>
      <c r="AF141" s="57">
        <v>0</v>
      </c>
      <c r="AG141" s="57">
        <v>0</v>
      </c>
      <c r="AH141" s="57">
        <v>0</v>
      </c>
      <c r="AI141" s="192"/>
    </row>
    <row r="142" spans="2:35" ht="15.75">
      <c r="B142" s="123">
        <f t="shared" si="27"/>
        <v>42</v>
      </c>
      <c r="C142" s="101" t="s">
        <v>76</v>
      </c>
      <c r="D142" s="123" t="s">
        <v>35</v>
      </c>
      <c r="E142" s="41">
        <f t="shared" si="26"/>
        <v>0</v>
      </c>
      <c r="F142" s="43">
        <v>0</v>
      </c>
      <c r="G142" s="57">
        <v>0</v>
      </c>
      <c r="H142" s="57">
        <v>0</v>
      </c>
      <c r="I142" s="57">
        <v>0</v>
      </c>
      <c r="J142" s="57">
        <v>0</v>
      </c>
      <c r="K142" s="43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43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0</v>
      </c>
      <c r="W142" s="43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0</v>
      </c>
      <c r="AC142" s="43">
        <v>0</v>
      </c>
      <c r="AD142" s="57">
        <v>0</v>
      </c>
      <c r="AE142" s="57">
        <v>0</v>
      </c>
      <c r="AF142" s="57">
        <v>0</v>
      </c>
      <c r="AG142" s="57">
        <v>0</v>
      </c>
      <c r="AH142" s="57">
        <v>0</v>
      </c>
      <c r="AI142" s="192"/>
    </row>
    <row r="143" spans="2:35" ht="15.75">
      <c r="B143" s="123">
        <f t="shared" si="27"/>
        <v>43</v>
      </c>
      <c r="C143" s="101" t="s">
        <v>77</v>
      </c>
      <c r="D143" s="123" t="s">
        <v>35</v>
      </c>
      <c r="E143" s="41">
        <f t="shared" si="26"/>
        <v>-355000</v>
      </c>
      <c r="F143" s="43">
        <v>0</v>
      </c>
      <c r="G143" s="57">
        <v>0</v>
      </c>
      <c r="H143" s="57">
        <v>0</v>
      </c>
      <c r="I143" s="57">
        <v>0</v>
      </c>
      <c r="J143" s="57">
        <v>-355000</v>
      </c>
      <c r="K143" s="43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43">
        <v>0</v>
      </c>
      <c r="R143" s="57">
        <v>0</v>
      </c>
      <c r="S143" s="57">
        <v>0</v>
      </c>
      <c r="T143" s="57">
        <v>0</v>
      </c>
      <c r="U143" s="57">
        <v>0</v>
      </c>
      <c r="V143" s="57">
        <v>0</v>
      </c>
      <c r="W143" s="43">
        <v>0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43">
        <v>0</v>
      </c>
      <c r="AD143" s="57">
        <v>0</v>
      </c>
      <c r="AE143" s="57">
        <v>0</v>
      </c>
      <c r="AF143" s="57">
        <v>0</v>
      </c>
      <c r="AG143" s="57">
        <v>0</v>
      </c>
      <c r="AH143" s="57">
        <v>0</v>
      </c>
      <c r="AI143" s="192"/>
    </row>
    <row r="144" spans="2:35" ht="15.75">
      <c r="B144" s="123">
        <f t="shared" si="27"/>
        <v>44</v>
      </c>
      <c r="C144" s="101" t="s">
        <v>78</v>
      </c>
      <c r="D144" s="123" t="s">
        <v>35</v>
      </c>
      <c r="E144" s="41">
        <f t="shared" si="26"/>
        <v>-5579</v>
      </c>
      <c r="F144" s="43">
        <v>0</v>
      </c>
      <c r="G144" s="57">
        <v>0</v>
      </c>
      <c r="H144" s="57">
        <v>-5579</v>
      </c>
      <c r="I144" s="57">
        <v>0</v>
      </c>
      <c r="J144" s="57">
        <v>0</v>
      </c>
      <c r="K144" s="43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43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43">
        <v>0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43">
        <v>0</v>
      </c>
      <c r="AD144" s="57">
        <v>0</v>
      </c>
      <c r="AE144" s="57">
        <v>0</v>
      </c>
      <c r="AF144" s="57">
        <v>0</v>
      </c>
      <c r="AG144" s="57">
        <v>0</v>
      </c>
      <c r="AH144" s="57">
        <v>0</v>
      </c>
      <c r="AI144" s="192"/>
    </row>
    <row r="145" spans="2:35" ht="15.75">
      <c r="B145" s="123">
        <f t="shared" si="27"/>
        <v>45</v>
      </c>
      <c r="C145" s="92" t="s">
        <v>79</v>
      </c>
      <c r="D145" s="123" t="str">
        <f>"+Ln "&amp;FIXED(+B108,0,TRUE)&amp;" thru "&amp;FIXED(+B144,0,TRUE)</f>
        <v>+Ln 8 thru 44</v>
      </c>
      <c r="E145" s="16">
        <f aca="true" t="shared" si="28" ref="E145:AH145">SUM(E108:E144)</f>
        <v>-433398.03687671234</v>
      </c>
      <c r="F145" s="16">
        <f t="shared" si="28"/>
        <v>0</v>
      </c>
      <c r="G145" s="10">
        <f t="shared" si="28"/>
        <v>0</v>
      </c>
      <c r="H145" s="10">
        <f t="shared" si="28"/>
        <v>-38665</v>
      </c>
      <c r="I145" s="10">
        <f t="shared" si="28"/>
        <v>10767</v>
      </c>
      <c r="J145" s="10">
        <f t="shared" si="28"/>
        <v>-360147.5</v>
      </c>
      <c r="K145" s="16">
        <f t="shared" si="28"/>
        <v>-17884.53687671233</v>
      </c>
      <c r="L145" s="10">
        <f t="shared" si="28"/>
        <v>-4484</v>
      </c>
      <c r="M145" s="10">
        <f t="shared" si="28"/>
        <v>-22984</v>
      </c>
      <c r="N145" s="10">
        <f t="shared" si="28"/>
        <v>0</v>
      </c>
      <c r="O145" s="10">
        <f t="shared" si="28"/>
        <v>0</v>
      </c>
      <c r="P145" s="10">
        <f t="shared" si="28"/>
        <v>0</v>
      </c>
      <c r="Q145" s="16">
        <f t="shared" si="28"/>
        <v>0</v>
      </c>
      <c r="R145" s="10">
        <f t="shared" si="28"/>
        <v>0</v>
      </c>
      <c r="S145" s="10">
        <f t="shared" si="28"/>
        <v>0</v>
      </c>
      <c r="T145" s="10">
        <f t="shared" si="28"/>
        <v>0</v>
      </c>
      <c r="U145" s="10">
        <f t="shared" si="28"/>
        <v>0</v>
      </c>
      <c r="V145" s="10">
        <f t="shared" si="28"/>
        <v>0</v>
      </c>
      <c r="W145" s="16">
        <f t="shared" si="28"/>
        <v>0</v>
      </c>
      <c r="X145" s="10">
        <f t="shared" si="28"/>
        <v>0</v>
      </c>
      <c r="Y145" s="10">
        <f t="shared" si="28"/>
        <v>0</v>
      </c>
      <c r="Z145" s="10">
        <f t="shared" si="28"/>
        <v>0</v>
      </c>
      <c r="AA145" s="10">
        <f t="shared" si="28"/>
        <v>0</v>
      </c>
      <c r="AB145" s="10">
        <f t="shared" si="28"/>
        <v>0</v>
      </c>
      <c r="AC145" s="16">
        <f t="shared" si="28"/>
        <v>0</v>
      </c>
      <c r="AD145" s="10">
        <f t="shared" si="28"/>
        <v>0</v>
      </c>
      <c r="AE145" s="10">
        <f t="shared" si="28"/>
        <v>0</v>
      </c>
      <c r="AF145" s="10">
        <f t="shared" si="28"/>
        <v>0</v>
      </c>
      <c r="AG145" s="10">
        <f t="shared" si="28"/>
        <v>0</v>
      </c>
      <c r="AH145" s="10">
        <f t="shared" si="28"/>
        <v>0</v>
      </c>
      <c r="AI145" s="192"/>
    </row>
    <row r="146" spans="2:35" ht="15.75">
      <c r="B146" s="123"/>
      <c r="C146" s="101"/>
      <c r="D146" s="123"/>
      <c r="E146" s="16"/>
      <c r="F146" s="16"/>
      <c r="G146" s="10"/>
      <c r="H146" s="10"/>
      <c r="I146" s="10"/>
      <c r="J146" s="10"/>
      <c r="K146" s="16"/>
      <c r="L146" s="10"/>
      <c r="M146" s="10"/>
      <c r="N146" s="10"/>
      <c r="O146" s="10"/>
      <c r="P146" s="10"/>
      <c r="Q146" s="16"/>
      <c r="R146" s="10"/>
      <c r="S146" s="10"/>
      <c r="T146" s="10"/>
      <c r="U146" s="10"/>
      <c r="V146" s="10"/>
      <c r="W146" s="16"/>
      <c r="X146" s="10"/>
      <c r="Y146" s="10"/>
      <c r="Z146" s="10"/>
      <c r="AA146" s="10"/>
      <c r="AB146" s="10"/>
      <c r="AC146" s="16"/>
      <c r="AD146" s="10"/>
      <c r="AE146" s="10"/>
      <c r="AF146" s="10"/>
      <c r="AG146" s="10"/>
      <c r="AH146" s="10"/>
      <c r="AI146" s="192"/>
    </row>
    <row r="147" spans="2:35" ht="15.75">
      <c r="B147" s="123">
        <f>B145+1</f>
        <v>46</v>
      </c>
      <c r="C147" s="92" t="s">
        <v>80</v>
      </c>
      <c r="D147" s="123" t="str">
        <f>"Ln "&amp;FIXED(+B105,0,TRUE)&amp;"-"&amp;FIXED(+B145,0,TRUE)</f>
        <v>Ln 7-45</v>
      </c>
      <c r="E147" s="16">
        <f aca="true" t="shared" si="29" ref="E147:AH147">E105-E145</f>
        <v>449321.03687671234</v>
      </c>
      <c r="F147" s="16">
        <f t="shared" si="29"/>
        <v>15923</v>
      </c>
      <c r="G147" s="10">
        <f t="shared" si="29"/>
        <v>0</v>
      </c>
      <c r="H147" s="10">
        <f t="shared" si="29"/>
        <v>38665</v>
      </c>
      <c r="I147" s="10">
        <f t="shared" si="29"/>
        <v>-10767</v>
      </c>
      <c r="J147" s="10">
        <f t="shared" si="29"/>
        <v>360147.5</v>
      </c>
      <c r="K147" s="16">
        <f t="shared" si="29"/>
        <v>17884.53687671233</v>
      </c>
      <c r="L147" s="10">
        <f t="shared" si="29"/>
        <v>4484</v>
      </c>
      <c r="M147" s="10">
        <f t="shared" si="29"/>
        <v>22984</v>
      </c>
      <c r="N147" s="10">
        <f t="shared" si="29"/>
        <v>0</v>
      </c>
      <c r="O147" s="10">
        <f t="shared" si="29"/>
        <v>0</v>
      </c>
      <c r="P147" s="10">
        <f t="shared" si="29"/>
        <v>0</v>
      </c>
      <c r="Q147" s="16">
        <f t="shared" si="29"/>
        <v>0</v>
      </c>
      <c r="R147" s="10">
        <f t="shared" si="29"/>
        <v>0</v>
      </c>
      <c r="S147" s="10">
        <f t="shared" si="29"/>
        <v>0</v>
      </c>
      <c r="T147" s="10">
        <f t="shared" si="29"/>
        <v>0</v>
      </c>
      <c r="U147" s="10">
        <f t="shared" si="29"/>
        <v>0</v>
      </c>
      <c r="V147" s="10">
        <f t="shared" si="29"/>
        <v>0</v>
      </c>
      <c r="W147" s="16">
        <f t="shared" si="29"/>
        <v>0</v>
      </c>
      <c r="X147" s="10">
        <f t="shared" si="29"/>
        <v>0</v>
      </c>
      <c r="Y147" s="10">
        <f t="shared" si="29"/>
        <v>0</v>
      </c>
      <c r="Z147" s="10">
        <f t="shared" si="29"/>
        <v>0</v>
      </c>
      <c r="AA147" s="10">
        <f t="shared" si="29"/>
        <v>0</v>
      </c>
      <c r="AB147" s="10">
        <f t="shared" si="29"/>
        <v>0</v>
      </c>
      <c r="AC147" s="16">
        <f t="shared" si="29"/>
        <v>0</v>
      </c>
      <c r="AD147" s="10">
        <f t="shared" si="29"/>
        <v>0</v>
      </c>
      <c r="AE147" s="10">
        <f t="shared" si="29"/>
        <v>0</v>
      </c>
      <c r="AF147" s="10">
        <f t="shared" si="29"/>
        <v>0</v>
      </c>
      <c r="AG147" s="10">
        <f t="shared" si="29"/>
        <v>0</v>
      </c>
      <c r="AH147" s="10">
        <f t="shared" si="29"/>
        <v>0</v>
      </c>
      <c r="AI147" s="192"/>
    </row>
    <row r="148" spans="2:35" ht="15.75">
      <c r="B148" s="123"/>
      <c r="C148" s="92"/>
      <c r="D148" s="123"/>
      <c r="E148" s="46"/>
      <c r="F148" s="46"/>
      <c r="G148" s="22"/>
      <c r="H148" s="22"/>
      <c r="I148" s="22"/>
      <c r="J148" s="22"/>
      <c r="K148" s="46"/>
      <c r="L148" s="22"/>
      <c r="M148" s="22"/>
      <c r="N148" s="22"/>
      <c r="O148" s="22"/>
      <c r="P148" s="22"/>
      <c r="Q148" s="46"/>
      <c r="R148" s="22"/>
      <c r="S148" s="22"/>
      <c r="T148" s="22"/>
      <c r="U148" s="22"/>
      <c r="V148" s="22"/>
      <c r="W148" s="46"/>
      <c r="X148" s="22"/>
      <c r="Y148" s="22"/>
      <c r="Z148" s="22"/>
      <c r="AA148" s="22"/>
      <c r="AB148" s="22"/>
      <c r="AC148" s="46"/>
      <c r="AD148" s="22"/>
      <c r="AE148" s="22"/>
      <c r="AF148" s="22"/>
      <c r="AG148" s="22"/>
      <c r="AH148" s="22"/>
      <c r="AI148" s="192"/>
    </row>
    <row r="149" spans="2:35" ht="15.75">
      <c r="B149" s="114"/>
      <c r="C149" s="2" t="s">
        <v>81</v>
      </c>
      <c r="D149" s="44"/>
      <c r="E149" s="41"/>
      <c r="F149" s="43"/>
      <c r="G149" s="57"/>
      <c r="H149" s="57"/>
      <c r="I149" s="57"/>
      <c r="J149" s="57"/>
      <c r="K149" s="43"/>
      <c r="L149" s="57"/>
      <c r="M149" s="57"/>
      <c r="N149" s="57"/>
      <c r="O149" s="57"/>
      <c r="P149" s="57"/>
      <c r="Q149" s="43"/>
      <c r="R149" s="57"/>
      <c r="S149" s="57"/>
      <c r="T149" s="57"/>
      <c r="U149" s="57"/>
      <c r="V149" s="57"/>
      <c r="W149" s="43"/>
      <c r="X149" s="57"/>
      <c r="Y149" s="57"/>
      <c r="Z149" s="57"/>
      <c r="AA149" s="57"/>
      <c r="AB149" s="57"/>
      <c r="AC149" s="43"/>
      <c r="AD149" s="57"/>
      <c r="AE149" s="57"/>
      <c r="AF149" s="57"/>
      <c r="AG149" s="57"/>
      <c r="AH149" s="57"/>
      <c r="AI149" s="192"/>
    </row>
    <row r="150" spans="2:35" ht="15.75">
      <c r="B150" s="123">
        <f>B147+1</f>
        <v>47</v>
      </c>
      <c r="C150" s="101" t="s">
        <v>82</v>
      </c>
      <c r="D150" s="123" t="s">
        <v>35</v>
      </c>
      <c r="E150" s="41">
        <f aca="true" t="shared" si="30" ref="E150:E160">SUM(F150:AH150)</f>
        <v>-22385</v>
      </c>
      <c r="F150" s="43">
        <v>-22385</v>
      </c>
      <c r="G150" s="57">
        <v>0</v>
      </c>
      <c r="H150" s="57">
        <v>0</v>
      </c>
      <c r="I150" s="57">
        <v>0</v>
      </c>
      <c r="J150" s="57">
        <v>0</v>
      </c>
      <c r="K150" s="43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43">
        <v>0</v>
      </c>
      <c r="R150" s="57">
        <v>0</v>
      </c>
      <c r="S150" s="57">
        <v>0</v>
      </c>
      <c r="T150" s="57">
        <v>0</v>
      </c>
      <c r="U150" s="57">
        <v>0</v>
      </c>
      <c r="V150" s="57">
        <v>0</v>
      </c>
      <c r="W150" s="43">
        <v>0</v>
      </c>
      <c r="X150" s="57">
        <v>0</v>
      </c>
      <c r="Y150" s="57">
        <v>0</v>
      </c>
      <c r="Z150" s="57">
        <v>0</v>
      </c>
      <c r="AA150" s="57">
        <v>0</v>
      </c>
      <c r="AB150" s="57">
        <v>0</v>
      </c>
      <c r="AC150" s="43">
        <v>0</v>
      </c>
      <c r="AD150" s="57">
        <v>0</v>
      </c>
      <c r="AE150" s="57">
        <v>0</v>
      </c>
      <c r="AF150" s="57">
        <v>0</v>
      </c>
      <c r="AG150" s="57">
        <v>0</v>
      </c>
      <c r="AH150" s="57">
        <v>0</v>
      </c>
      <c r="AI150" s="192"/>
    </row>
    <row r="151" spans="2:35" ht="15.75">
      <c r="B151" s="123">
        <f aca="true" t="shared" si="31" ref="B151:B161">B150+1</f>
        <v>48</v>
      </c>
      <c r="C151" s="101" t="s">
        <v>83</v>
      </c>
      <c r="D151" s="123" t="s">
        <v>35</v>
      </c>
      <c r="E151" s="41">
        <f t="shared" si="30"/>
        <v>-7307</v>
      </c>
      <c r="F151" s="43">
        <v>0</v>
      </c>
      <c r="G151" s="57">
        <v>-7307</v>
      </c>
      <c r="H151" s="57">
        <v>0</v>
      </c>
      <c r="I151" s="57">
        <v>0</v>
      </c>
      <c r="J151" s="57">
        <v>0</v>
      </c>
      <c r="K151" s="43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43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43">
        <v>0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43">
        <v>0</v>
      </c>
      <c r="AD151" s="57">
        <v>0</v>
      </c>
      <c r="AE151" s="57">
        <v>0</v>
      </c>
      <c r="AF151" s="57">
        <v>0</v>
      </c>
      <c r="AG151" s="57">
        <v>0</v>
      </c>
      <c r="AH151" s="57">
        <v>0</v>
      </c>
      <c r="AI151" s="192"/>
    </row>
    <row r="152" spans="2:35" ht="15.75">
      <c r="B152" s="123">
        <f t="shared" si="31"/>
        <v>49</v>
      </c>
      <c r="C152" s="101" t="s">
        <v>84</v>
      </c>
      <c r="D152" s="123" t="s">
        <v>35</v>
      </c>
      <c r="E152" s="41">
        <f t="shared" si="30"/>
        <v>-18463</v>
      </c>
      <c r="F152" s="43">
        <v>0</v>
      </c>
      <c r="G152" s="57">
        <v>-18463</v>
      </c>
      <c r="H152" s="57">
        <v>0</v>
      </c>
      <c r="I152" s="57">
        <v>0</v>
      </c>
      <c r="J152" s="57">
        <v>0</v>
      </c>
      <c r="K152" s="43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43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43">
        <v>0</v>
      </c>
      <c r="X152" s="57">
        <v>0</v>
      </c>
      <c r="Y152" s="57">
        <v>0</v>
      </c>
      <c r="Z152" s="57">
        <v>0</v>
      </c>
      <c r="AA152" s="57">
        <v>0</v>
      </c>
      <c r="AB152" s="57">
        <v>0</v>
      </c>
      <c r="AC152" s="43">
        <v>0</v>
      </c>
      <c r="AD152" s="57">
        <v>0</v>
      </c>
      <c r="AE152" s="57">
        <v>0</v>
      </c>
      <c r="AF152" s="57">
        <v>0</v>
      </c>
      <c r="AG152" s="57">
        <v>0</v>
      </c>
      <c r="AH152" s="57">
        <v>0</v>
      </c>
      <c r="AI152" s="192"/>
    </row>
    <row r="153" spans="2:35" ht="15.75">
      <c r="B153" s="123">
        <f t="shared" si="31"/>
        <v>50</v>
      </c>
      <c r="C153" s="101" t="s">
        <v>85</v>
      </c>
      <c r="D153" s="123" t="s">
        <v>35</v>
      </c>
      <c r="E153" s="41">
        <f t="shared" si="30"/>
        <v>-28603</v>
      </c>
      <c r="F153" s="43">
        <v>0</v>
      </c>
      <c r="G153" s="57">
        <v>-28603</v>
      </c>
      <c r="H153" s="57">
        <v>0</v>
      </c>
      <c r="I153" s="57">
        <v>0</v>
      </c>
      <c r="J153" s="57">
        <v>0</v>
      </c>
      <c r="K153" s="43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43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43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43">
        <v>0</v>
      </c>
      <c r="AD153" s="57">
        <v>0</v>
      </c>
      <c r="AE153" s="57">
        <v>0</v>
      </c>
      <c r="AF153" s="57">
        <v>0</v>
      </c>
      <c r="AG153" s="57">
        <v>0</v>
      </c>
      <c r="AH153" s="57">
        <v>0</v>
      </c>
      <c r="AI153" s="192"/>
    </row>
    <row r="154" spans="2:35" ht="15.75">
      <c r="B154" s="123">
        <f t="shared" si="31"/>
        <v>51</v>
      </c>
      <c r="C154" s="101" t="s">
        <v>86</v>
      </c>
      <c r="D154" s="123" t="s">
        <v>35</v>
      </c>
      <c r="E154" s="41">
        <f t="shared" si="30"/>
        <v>1002</v>
      </c>
      <c r="F154" s="43">
        <v>0</v>
      </c>
      <c r="G154" s="57">
        <v>1002</v>
      </c>
      <c r="H154" s="57">
        <v>0</v>
      </c>
      <c r="I154" s="57">
        <v>0</v>
      </c>
      <c r="J154" s="57">
        <v>0</v>
      </c>
      <c r="K154" s="43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43">
        <v>0</v>
      </c>
      <c r="R154" s="57">
        <v>0</v>
      </c>
      <c r="S154" s="57">
        <v>0</v>
      </c>
      <c r="T154" s="57">
        <v>0</v>
      </c>
      <c r="U154" s="57">
        <v>0</v>
      </c>
      <c r="V154" s="57">
        <v>0</v>
      </c>
      <c r="W154" s="43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0</v>
      </c>
      <c r="AC154" s="43">
        <v>0</v>
      </c>
      <c r="AD154" s="57">
        <v>0</v>
      </c>
      <c r="AE154" s="57">
        <v>0</v>
      </c>
      <c r="AF154" s="57">
        <v>0</v>
      </c>
      <c r="AG154" s="57">
        <v>0</v>
      </c>
      <c r="AH154" s="57">
        <v>0</v>
      </c>
      <c r="AI154" s="192"/>
    </row>
    <row r="155" spans="2:35" ht="15.75">
      <c r="B155" s="123">
        <f t="shared" si="31"/>
        <v>52</v>
      </c>
      <c r="C155" s="101" t="s">
        <v>87</v>
      </c>
      <c r="D155" s="123" t="s">
        <v>35</v>
      </c>
      <c r="E155" s="41">
        <f t="shared" si="30"/>
        <v>0</v>
      </c>
      <c r="F155" s="43">
        <v>0</v>
      </c>
      <c r="G155" s="57">
        <v>0</v>
      </c>
      <c r="H155" s="57">
        <v>0</v>
      </c>
      <c r="I155" s="57">
        <v>0</v>
      </c>
      <c r="J155" s="57">
        <v>0</v>
      </c>
      <c r="K155" s="43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43">
        <v>0</v>
      </c>
      <c r="R155" s="57">
        <v>0</v>
      </c>
      <c r="S155" s="57">
        <v>0</v>
      </c>
      <c r="T155" s="57">
        <v>0</v>
      </c>
      <c r="U155" s="57">
        <v>0</v>
      </c>
      <c r="V155" s="57">
        <v>0</v>
      </c>
      <c r="W155" s="43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43">
        <v>0</v>
      </c>
      <c r="AD155" s="57">
        <v>0</v>
      </c>
      <c r="AE155" s="57">
        <v>0</v>
      </c>
      <c r="AF155" s="57">
        <v>0</v>
      </c>
      <c r="AG155" s="57">
        <v>0</v>
      </c>
      <c r="AH155" s="57">
        <v>0</v>
      </c>
      <c r="AI155" s="192"/>
    </row>
    <row r="156" spans="2:35" ht="15.75">
      <c r="B156" s="123">
        <f t="shared" si="31"/>
        <v>53</v>
      </c>
      <c r="C156" s="101" t="s">
        <v>88</v>
      </c>
      <c r="D156" s="123" t="s">
        <v>35</v>
      </c>
      <c r="E156" s="41">
        <f t="shared" si="30"/>
        <v>-15917</v>
      </c>
      <c r="F156" s="43">
        <v>0</v>
      </c>
      <c r="G156" s="57">
        <v>0</v>
      </c>
      <c r="H156" s="57">
        <v>-21666</v>
      </c>
      <c r="I156" s="57">
        <v>0</v>
      </c>
      <c r="J156" s="57">
        <v>0</v>
      </c>
      <c r="K156" s="43">
        <v>0</v>
      </c>
      <c r="L156" s="57">
        <v>0</v>
      </c>
      <c r="M156" s="57">
        <v>0</v>
      </c>
      <c r="N156" s="57">
        <v>5749</v>
      </c>
      <c r="O156" s="57">
        <v>0</v>
      </c>
      <c r="P156" s="57">
        <v>0</v>
      </c>
      <c r="Q156" s="43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43">
        <v>0</v>
      </c>
      <c r="X156" s="57">
        <v>0</v>
      </c>
      <c r="Y156" s="57">
        <v>0</v>
      </c>
      <c r="Z156" s="57">
        <v>0</v>
      </c>
      <c r="AA156" s="57">
        <v>0</v>
      </c>
      <c r="AB156" s="57">
        <v>0</v>
      </c>
      <c r="AC156" s="43">
        <v>0</v>
      </c>
      <c r="AD156" s="57">
        <v>0</v>
      </c>
      <c r="AE156" s="57">
        <v>0</v>
      </c>
      <c r="AF156" s="57">
        <v>0</v>
      </c>
      <c r="AG156" s="57">
        <v>0</v>
      </c>
      <c r="AH156" s="57">
        <v>0</v>
      </c>
      <c r="AI156" s="192"/>
    </row>
    <row r="157" spans="2:35" ht="15.75">
      <c r="B157" s="123">
        <f t="shared" si="31"/>
        <v>54</v>
      </c>
      <c r="C157" s="101" t="s">
        <v>89</v>
      </c>
      <c r="D157" s="123" t="s">
        <v>35</v>
      </c>
      <c r="E157" s="41">
        <f t="shared" si="30"/>
        <v>-30126</v>
      </c>
      <c r="F157" s="43">
        <v>0</v>
      </c>
      <c r="G157" s="57">
        <v>-24377</v>
      </c>
      <c r="H157" s="57">
        <v>0</v>
      </c>
      <c r="I157" s="57">
        <v>0</v>
      </c>
      <c r="J157" s="57">
        <v>0</v>
      </c>
      <c r="K157" s="43">
        <v>0</v>
      </c>
      <c r="L157" s="57">
        <v>0</v>
      </c>
      <c r="M157" s="57">
        <v>0</v>
      </c>
      <c r="N157" s="57">
        <v>-5749</v>
      </c>
      <c r="O157" s="57">
        <v>0</v>
      </c>
      <c r="P157" s="57">
        <v>0</v>
      </c>
      <c r="Q157" s="43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43">
        <v>0</v>
      </c>
      <c r="X157" s="57">
        <v>0</v>
      </c>
      <c r="Y157" s="57">
        <v>0</v>
      </c>
      <c r="Z157" s="57">
        <v>0</v>
      </c>
      <c r="AA157" s="57">
        <v>0</v>
      </c>
      <c r="AB157" s="57">
        <v>0</v>
      </c>
      <c r="AC157" s="43">
        <v>0</v>
      </c>
      <c r="AD157" s="57">
        <v>0</v>
      </c>
      <c r="AE157" s="57">
        <v>0</v>
      </c>
      <c r="AF157" s="57">
        <v>0</v>
      </c>
      <c r="AG157" s="57">
        <v>0</v>
      </c>
      <c r="AH157" s="57">
        <v>0</v>
      </c>
      <c r="AI157" s="192"/>
    </row>
    <row r="158" spans="2:35" ht="15.75">
      <c r="B158" s="123">
        <f t="shared" si="31"/>
        <v>55</v>
      </c>
      <c r="C158" s="101" t="s">
        <v>38</v>
      </c>
      <c r="D158" s="123" t="s">
        <v>35</v>
      </c>
      <c r="E158" s="41">
        <f t="shared" si="30"/>
        <v>-8203</v>
      </c>
      <c r="F158" s="43">
        <v>-8203</v>
      </c>
      <c r="G158" s="57">
        <v>0</v>
      </c>
      <c r="H158" s="57">
        <v>0</v>
      </c>
      <c r="I158" s="57">
        <v>0</v>
      </c>
      <c r="J158" s="57">
        <v>0</v>
      </c>
      <c r="K158" s="43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43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43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43">
        <v>0</v>
      </c>
      <c r="AD158" s="57">
        <v>0</v>
      </c>
      <c r="AE158" s="57">
        <v>0</v>
      </c>
      <c r="AF158" s="57">
        <v>0</v>
      </c>
      <c r="AG158" s="57">
        <v>0</v>
      </c>
      <c r="AH158" s="57">
        <v>0</v>
      </c>
      <c r="AI158" s="192"/>
    </row>
    <row r="159" spans="2:35" ht="15.75">
      <c r="B159" s="123">
        <f t="shared" si="31"/>
        <v>56</v>
      </c>
      <c r="C159" s="101" t="s">
        <v>40</v>
      </c>
      <c r="D159" s="123" t="s">
        <v>35</v>
      </c>
      <c r="E159" s="41">
        <f t="shared" si="30"/>
        <v>-5420</v>
      </c>
      <c r="F159" s="43">
        <v>-5420</v>
      </c>
      <c r="G159" s="57">
        <v>0</v>
      </c>
      <c r="H159" s="57">
        <v>0</v>
      </c>
      <c r="I159" s="57">
        <v>0</v>
      </c>
      <c r="J159" s="57">
        <v>0</v>
      </c>
      <c r="K159" s="43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43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43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43">
        <v>0</v>
      </c>
      <c r="AD159" s="57">
        <v>0</v>
      </c>
      <c r="AE159" s="57">
        <v>0</v>
      </c>
      <c r="AF159" s="57">
        <v>0</v>
      </c>
      <c r="AG159" s="57">
        <v>0</v>
      </c>
      <c r="AH159" s="57">
        <v>0</v>
      </c>
      <c r="AI159" s="192"/>
    </row>
    <row r="160" spans="2:35" ht="15.75">
      <c r="B160" s="123">
        <f t="shared" si="31"/>
        <v>57</v>
      </c>
      <c r="C160" s="101" t="s">
        <v>90</v>
      </c>
      <c r="D160" s="123" t="s">
        <v>35</v>
      </c>
      <c r="E160" s="41">
        <f t="shared" si="30"/>
        <v>-2300</v>
      </c>
      <c r="F160" s="43">
        <v>-2300</v>
      </c>
      <c r="G160" s="57">
        <v>0</v>
      </c>
      <c r="H160" s="57">
        <v>0</v>
      </c>
      <c r="I160" s="57">
        <v>0</v>
      </c>
      <c r="J160" s="57">
        <v>0</v>
      </c>
      <c r="K160" s="43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43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43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43">
        <v>0</v>
      </c>
      <c r="AD160" s="57">
        <v>0</v>
      </c>
      <c r="AE160" s="57">
        <v>0</v>
      </c>
      <c r="AF160" s="57">
        <v>0</v>
      </c>
      <c r="AG160" s="57">
        <v>0</v>
      </c>
      <c r="AH160" s="57">
        <v>0</v>
      </c>
      <c r="AI160" s="192"/>
    </row>
    <row r="161" spans="2:35" ht="15.75">
      <c r="B161" s="123">
        <f t="shared" si="31"/>
        <v>58</v>
      </c>
      <c r="C161" s="92" t="s">
        <v>91</v>
      </c>
      <c r="D161" s="123" t="str">
        <f>"+Ln "&amp;FIXED(+B150,0,TRUE)&amp;" thru "&amp;FIXED(+B160,0,TRUE)</f>
        <v>+Ln 47 thru 57</v>
      </c>
      <c r="E161" s="16">
        <f aca="true" t="shared" si="32" ref="E161:O161">SUM(E150:E160)</f>
        <v>-137722</v>
      </c>
      <c r="F161" s="16">
        <f t="shared" si="32"/>
        <v>-38308</v>
      </c>
      <c r="G161" s="10">
        <f t="shared" si="32"/>
        <v>-77748</v>
      </c>
      <c r="H161" s="10">
        <f t="shared" si="32"/>
        <v>-21666</v>
      </c>
      <c r="I161" s="10">
        <f t="shared" si="32"/>
        <v>0</v>
      </c>
      <c r="J161" s="10">
        <f t="shared" si="32"/>
        <v>0</v>
      </c>
      <c r="K161" s="16">
        <f t="shared" si="32"/>
        <v>0</v>
      </c>
      <c r="L161" s="10">
        <f t="shared" si="32"/>
        <v>0</v>
      </c>
      <c r="M161" s="10">
        <f t="shared" si="32"/>
        <v>0</v>
      </c>
      <c r="N161" s="10">
        <f t="shared" si="32"/>
        <v>0</v>
      </c>
      <c r="O161" s="10">
        <f t="shared" si="32"/>
        <v>0</v>
      </c>
      <c r="P161" s="10">
        <f>SUM(P122:P160)</f>
        <v>0</v>
      </c>
      <c r="Q161" s="16">
        <f>SUM(Q150:Q160)</f>
        <v>0</v>
      </c>
      <c r="R161" s="10">
        <f>SUM(R150:R160)</f>
        <v>0</v>
      </c>
      <c r="S161" s="10">
        <f>SUM(S150:S160)</f>
        <v>0</v>
      </c>
      <c r="T161" s="10">
        <f>SUM(T150:T160)</f>
        <v>0</v>
      </c>
      <c r="U161" s="10">
        <f>SUM(U150:U160)</f>
        <v>0</v>
      </c>
      <c r="V161" s="10">
        <f>SUM(V122:V160)</f>
        <v>0</v>
      </c>
      <c r="W161" s="16">
        <f>SUM(W150:W160)</f>
        <v>0</v>
      </c>
      <c r="X161" s="10">
        <f>SUM(X150:X160)</f>
        <v>0</v>
      </c>
      <c r="Y161" s="10">
        <f>SUM(Y150:Y160)</f>
        <v>0</v>
      </c>
      <c r="Z161" s="10">
        <f>SUM(Z150:Z160)</f>
        <v>0</v>
      </c>
      <c r="AA161" s="10">
        <f>SUM(AA150:AA160)</f>
        <v>0</v>
      </c>
      <c r="AB161" s="10">
        <f>SUM(AB122:AB160)</f>
        <v>0</v>
      </c>
      <c r="AC161" s="16">
        <f>SUM(AC150:AC160)</f>
        <v>0</v>
      </c>
      <c r="AD161" s="10">
        <f>SUM(AD150:AD160)</f>
        <v>0</v>
      </c>
      <c r="AE161" s="10">
        <f>SUM(AE150:AE160)</f>
        <v>0</v>
      </c>
      <c r="AF161" s="10">
        <f>SUM(AF150:AF160)</f>
        <v>0</v>
      </c>
      <c r="AG161" s="10">
        <f>SUM(AG150:AG160)</f>
        <v>0</v>
      </c>
      <c r="AH161" s="10">
        <f>SUM(AH122:AH160)</f>
        <v>0</v>
      </c>
      <c r="AI161" s="192"/>
    </row>
    <row r="162" spans="2:35" ht="15.75">
      <c r="B162" s="123"/>
      <c r="C162" s="92"/>
      <c r="D162" s="123"/>
      <c r="E162" s="16"/>
      <c r="F162" s="16"/>
      <c r="G162" s="10"/>
      <c r="H162" s="10"/>
      <c r="I162" s="10"/>
      <c r="J162" s="10"/>
      <c r="K162" s="16"/>
      <c r="L162" s="10"/>
      <c r="M162" s="10"/>
      <c r="N162" s="10"/>
      <c r="O162" s="10"/>
      <c r="P162" s="10"/>
      <c r="Q162" s="16"/>
      <c r="R162" s="10"/>
      <c r="S162" s="10"/>
      <c r="T162" s="10"/>
      <c r="U162" s="10"/>
      <c r="V162" s="10"/>
      <c r="W162" s="16"/>
      <c r="X162" s="10"/>
      <c r="Y162" s="10"/>
      <c r="Z162" s="10"/>
      <c r="AA162" s="10"/>
      <c r="AB162" s="10"/>
      <c r="AC162" s="16"/>
      <c r="AD162" s="10"/>
      <c r="AE162" s="10"/>
      <c r="AF162" s="10"/>
      <c r="AG162" s="10"/>
      <c r="AH162" s="10"/>
      <c r="AI162" s="192"/>
    </row>
    <row r="163" spans="2:35" ht="15.75">
      <c r="B163" s="123">
        <f>B161+1</f>
        <v>59</v>
      </c>
      <c r="C163" s="92" t="s">
        <v>92</v>
      </c>
      <c r="D163" s="123" t="str">
        <f>"Ln "&amp;FIXED(+B147,0,TRUE)&amp;" + "&amp;FIXED(+B161,0,TRUE)</f>
        <v>Ln 46 + 58</v>
      </c>
      <c r="E163" s="16">
        <f aca="true" t="shared" si="33" ref="E163:AH163">E147+E161</f>
        <v>311599.03687671234</v>
      </c>
      <c r="F163" s="16">
        <f t="shared" si="33"/>
        <v>-22385</v>
      </c>
      <c r="G163" s="10">
        <f t="shared" si="33"/>
        <v>-77748</v>
      </c>
      <c r="H163" s="10">
        <f t="shared" si="33"/>
        <v>16999</v>
      </c>
      <c r="I163" s="10">
        <f t="shared" si="33"/>
        <v>-10767</v>
      </c>
      <c r="J163" s="10">
        <f t="shared" si="33"/>
        <v>360147.5</v>
      </c>
      <c r="K163" s="16">
        <f t="shared" si="33"/>
        <v>17884.53687671233</v>
      </c>
      <c r="L163" s="10">
        <f t="shared" si="33"/>
        <v>4484</v>
      </c>
      <c r="M163" s="10">
        <f t="shared" si="33"/>
        <v>22984</v>
      </c>
      <c r="N163" s="10">
        <f t="shared" si="33"/>
        <v>0</v>
      </c>
      <c r="O163" s="10">
        <f t="shared" si="33"/>
        <v>0</v>
      </c>
      <c r="P163" s="10">
        <f t="shared" si="33"/>
        <v>0</v>
      </c>
      <c r="Q163" s="16">
        <f t="shared" si="33"/>
        <v>0</v>
      </c>
      <c r="R163" s="10">
        <f t="shared" si="33"/>
        <v>0</v>
      </c>
      <c r="S163" s="10">
        <f t="shared" si="33"/>
        <v>0</v>
      </c>
      <c r="T163" s="10">
        <f t="shared" si="33"/>
        <v>0</v>
      </c>
      <c r="U163" s="10">
        <f t="shared" si="33"/>
        <v>0</v>
      </c>
      <c r="V163" s="10">
        <f t="shared" si="33"/>
        <v>0</v>
      </c>
      <c r="W163" s="16">
        <f t="shared" si="33"/>
        <v>0</v>
      </c>
      <c r="X163" s="10">
        <f t="shared" si="33"/>
        <v>0</v>
      </c>
      <c r="Y163" s="10">
        <f t="shared" si="33"/>
        <v>0</v>
      </c>
      <c r="Z163" s="10">
        <f t="shared" si="33"/>
        <v>0</v>
      </c>
      <c r="AA163" s="10">
        <f t="shared" si="33"/>
        <v>0</v>
      </c>
      <c r="AB163" s="10">
        <f t="shared" si="33"/>
        <v>0</v>
      </c>
      <c r="AC163" s="16">
        <f t="shared" si="33"/>
        <v>0</v>
      </c>
      <c r="AD163" s="10">
        <f t="shared" si="33"/>
        <v>0</v>
      </c>
      <c r="AE163" s="10">
        <f t="shared" si="33"/>
        <v>0</v>
      </c>
      <c r="AF163" s="10">
        <f t="shared" si="33"/>
        <v>0</v>
      </c>
      <c r="AG163" s="10">
        <f t="shared" si="33"/>
        <v>0</v>
      </c>
      <c r="AH163" s="10">
        <f t="shared" si="33"/>
        <v>0</v>
      </c>
      <c r="AI163" s="192"/>
    </row>
    <row r="164" spans="2:35" ht="15.75">
      <c r="B164" s="123"/>
      <c r="C164" s="92"/>
      <c r="D164" s="123"/>
      <c r="E164" s="41"/>
      <c r="F164" s="43"/>
      <c r="G164" s="57"/>
      <c r="H164" s="57"/>
      <c r="I164" s="57"/>
      <c r="J164" s="57"/>
      <c r="K164" s="43"/>
      <c r="L164" s="57"/>
      <c r="M164" s="57"/>
      <c r="N164" s="57"/>
      <c r="O164" s="57"/>
      <c r="P164" s="57"/>
      <c r="Q164" s="43"/>
      <c r="R164" s="57"/>
      <c r="S164" s="57"/>
      <c r="T164" s="57"/>
      <c r="U164" s="57"/>
      <c r="V164" s="57"/>
      <c r="W164" s="43"/>
      <c r="X164" s="57"/>
      <c r="Y164" s="57"/>
      <c r="Z164" s="57"/>
      <c r="AA164" s="57"/>
      <c r="AB164" s="57"/>
      <c r="AC164" s="43"/>
      <c r="AD164" s="57"/>
      <c r="AE164" s="57"/>
      <c r="AF164" s="57"/>
      <c r="AG164" s="57"/>
      <c r="AH164" s="57"/>
      <c r="AI164" s="192"/>
    </row>
    <row r="165" spans="2:35" ht="15.75">
      <c r="B165" s="114"/>
      <c r="C165" s="101"/>
      <c r="D165" s="123"/>
      <c r="E165" s="184"/>
      <c r="F165" s="184"/>
      <c r="G165" s="183"/>
      <c r="H165" s="183"/>
      <c r="I165" s="183"/>
      <c r="J165" s="183"/>
      <c r="K165" s="184"/>
      <c r="L165" s="183"/>
      <c r="M165" s="183"/>
      <c r="N165" s="183"/>
      <c r="O165" s="183"/>
      <c r="P165" s="183"/>
      <c r="Q165" s="184"/>
      <c r="R165" s="183"/>
      <c r="S165" s="183"/>
      <c r="T165" s="183"/>
      <c r="U165" s="183"/>
      <c r="V165" s="183"/>
      <c r="W165" s="184"/>
      <c r="X165" s="183"/>
      <c r="Y165" s="183"/>
      <c r="Z165" s="183"/>
      <c r="AA165" s="183"/>
      <c r="AB165" s="183"/>
      <c r="AC165" s="184"/>
      <c r="AD165" s="183"/>
      <c r="AE165" s="183"/>
      <c r="AF165" s="183"/>
      <c r="AG165" s="183"/>
      <c r="AH165" s="183"/>
      <c r="AI165" s="192"/>
    </row>
    <row r="166" spans="2:35" ht="15.75">
      <c r="B166" s="114"/>
      <c r="C166" s="101"/>
      <c r="D166" s="43"/>
      <c r="E166" s="51"/>
      <c r="F166" s="51"/>
      <c r="G166" s="55"/>
      <c r="H166" s="55"/>
      <c r="I166" s="55"/>
      <c r="J166" s="55"/>
      <c r="K166" s="51"/>
      <c r="L166" s="55"/>
      <c r="M166" s="55"/>
      <c r="N166" s="55"/>
      <c r="O166" s="55"/>
      <c r="P166" s="55"/>
      <c r="Q166" s="51"/>
      <c r="R166" s="55"/>
      <c r="S166" s="55"/>
      <c r="T166" s="55"/>
      <c r="U166" s="55"/>
      <c r="V166" s="55"/>
      <c r="W166" s="51"/>
      <c r="X166" s="55"/>
      <c r="Y166" s="55"/>
      <c r="Z166" s="55"/>
      <c r="AA166" s="55"/>
      <c r="AB166" s="55"/>
      <c r="AC166" s="51"/>
      <c r="AD166" s="55"/>
      <c r="AE166" s="55"/>
      <c r="AF166" s="55"/>
      <c r="AG166" s="55"/>
      <c r="AH166" s="55"/>
      <c r="AI166" s="192"/>
    </row>
    <row r="167" spans="2:34" ht="15.75">
      <c r="B167" s="189"/>
      <c r="C167" s="189"/>
      <c r="D167" s="189"/>
      <c r="E167" s="189"/>
      <c r="F167" s="23"/>
      <c r="G167" s="189"/>
      <c r="H167" s="189"/>
      <c r="I167" s="189"/>
      <c r="J167" s="23"/>
      <c r="K167" s="23"/>
      <c r="L167" s="189"/>
      <c r="M167" s="189"/>
      <c r="N167" s="189"/>
      <c r="O167" s="189"/>
      <c r="P167" s="23"/>
      <c r="Q167" s="23"/>
      <c r="R167" s="23"/>
      <c r="S167" s="189"/>
      <c r="T167" s="189"/>
      <c r="U167" s="189"/>
      <c r="V167" s="23"/>
      <c r="W167" s="23"/>
      <c r="X167" s="189"/>
      <c r="Y167" s="189"/>
      <c r="Z167" s="189"/>
      <c r="AA167" s="189"/>
      <c r="AB167" s="23"/>
      <c r="AC167" s="23"/>
      <c r="AD167" s="189"/>
      <c r="AE167" s="189"/>
      <c r="AF167" s="189"/>
      <c r="AG167" s="189"/>
      <c r="AH167" s="23"/>
    </row>
    <row r="171" spans="1:35" ht="15.75">
      <c r="A171" t="s">
        <v>168</v>
      </c>
      <c r="B171" s="16" t="str">
        <f>$B$254</f>
        <v>BREMERTON-KITSAP AIRPORTER, INC. C-903</v>
      </c>
      <c r="C171" s="22"/>
      <c r="D171" s="22"/>
      <c r="E171" s="96"/>
      <c r="F171" s="11"/>
      <c r="G171" s="11"/>
      <c r="H171" s="11"/>
      <c r="I171" s="73" t="str">
        <f>$G$254</f>
        <v>Initial Order Decision</v>
      </c>
      <c r="J171" s="11"/>
      <c r="K171" s="17"/>
      <c r="L171" s="11"/>
      <c r="M171" s="11"/>
      <c r="N171" s="11"/>
      <c r="O171" s="73" t="str">
        <f>$G$254</f>
        <v>Initial Order Decision</v>
      </c>
      <c r="P171" s="11"/>
      <c r="Q171" s="17"/>
      <c r="R171" s="11"/>
      <c r="S171" s="11"/>
      <c r="T171" s="11"/>
      <c r="U171" s="73" t="str">
        <f>$G$254</f>
        <v>Initial Order Decision</v>
      </c>
      <c r="V171" s="11"/>
      <c r="W171" s="17"/>
      <c r="X171" s="11"/>
      <c r="Y171" s="11"/>
      <c r="Z171" s="11"/>
      <c r="AA171" s="73" t="str">
        <f>$G$254</f>
        <v>Initial Order Decision</v>
      </c>
      <c r="AB171" s="11"/>
      <c r="AC171" s="17"/>
      <c r="AD171" s="11"/>
      <c r="AE171" s="11"/>
      <c r="AF171" s="11"/>
      <c r="AG171" s="73" t="str">
        <f>$G$254</f>
        <v>Initial Order Decision</v>
      </c>
      <c r="AH171" s="11"/>
      <c r="AI171" s="192"/>
    </row>
    <row r="172" spans="2:35" ht="15.75">
      <c r="B172" s="93" t="s">
        <v>169</v>
      </c>
      <c r="E172" s="81"/>
      <c r="F172" s="60"/>
      <c r="G172" s="77"/>
      <c r="H172" s="77"/>
      <c r="I172" s="77" t="str">
        <f>$G$255</f>
        <v>Docket No. TC-001846</v>
      </c>
      <c r="J172" s="19"/>
      <c r="K172" s="74"/>
      <c r="L172" s="60"/>
      <c r="M172" s="77"/>
      <c r="N172" s="77"/>
      <c r="O172" s="77" t="str">
        <f>$G$255</f>
        <v>Docket No. TC-001846</v>
      </c>
      <c r="P172" s="19"/>
      <c r="Q172" s="74"/>
      <c r="R172" s="77"/>
      <c r="S172" s="77"/>
      <c r="T172" s="77"/>
      <c r="U172" s="77" t="str">
        <f>$G$255</f>
        <v>Docket No. TC-001846</v>
      </c>
      <c r="V172" s="19"/>
      <c r="W172" s="74"/>
      <c r="X172" s="60"/>
      <c r="Y172" s="77"/>
      <c r="Z172" s="77"/>
      <c r="AA172" s="77" t="str">
        <f>$G$255</f>
        <v>Docket No. TC-001846</v>
      </c>
      <c r="AB172" s="19"/>
      <c r="AC172" s="74"/>
      <c r="AD172" s="60"/>
      <c r="AE172" s="77"/>
      <c r="AF172" s="77"/>
      <c r="AG172" s="77" t="str">
        <f>$G$255</f>
        <v>Docket No. TC-001846</v>
      </c>
      <c r="AH172" s="19"/>
      <c r="AI172" s="192"/>
    </row>
    <row r="173" spans="2:35" ht="15.75">
      <c r="B173" s="14" t="str">
        <f>$B$256</f>
        <v>FOR THE 12 MONTHS ENDED SEPTEMBER 30, 2000</v>
      </c>
      <c r="E173" s="98"/>
      <c r="F173" s="77"/>
      <c r="G173" s="77"/>
      <c r="H173" s="77"/>
      <c r="I173" s="152" t="s">
        <v>170</v>
      </c>
      <c r="J173" s="19"/>
      <c r="K173" s="74"/>
      <c r="L173" s="77"/>
      <c r="M173" s="77"/>
      <c r="N173" s="77"/>
      <c r="O173" s="152" t="s">
        <v>171</v>
      </c>
      <c r="P173" s="19"/>
      <c r="Q173" s="74"/>
      <c r="R173" s="77"/>
      <c r="S173" s="77"/>
      <c r="T173" s="77"/>
      <c r="U173" s="152" t="s">
        <v>172</v>
      </c>
      <c r="V173" s="19"/>
      <c r="W173" s="74"/>
      <c r="X173" s="77"/>
      <c r="Y173" s="77"/>
      <c r="Z173" s="77"/>
      <c r="AA173" s="152" t="s">
        <v>173</v>
      </c>
      <c r="AB173" s="19"/>
      <c r="AC173" s="74"/>
      <c r="AD173" s="77"/>
      <c r="AE173" s="77"/>
      <c r="AF173" s="77"/>
      <c r="AG173" s="152" t="s">
        <v>174</v>
      </c>
      <c r="AH173" s="19"/>
      <c r="AI173" s="192"/>
    </row>
    <row r="174" spans="2:35" ht="15.75">
      <c r="B174" s="92" t="str">
        <f>$B$6</f>
        <v>PER DECISION</v>
      </c>
      <c r="E174" s="98"/>
      <c r="F174" s="77"/>
      <c r="G174" s="77"/>
      <c r="H174" s="77"/>
      <c r="I174" s="147" t="s">
        <v>175</v>
      </c>
      <c r="J174" s="145" t="s">
        <v>176</v>
      </c>
      <c r="K174" s="74"/>
      <c r="L174" s="77"/>
      <c r="M174" s="77"/>
      <c r="N174" s="77"/>
      <c r="O174" s="77"/>
      <c r="P174" s="19"/>
      <c r="Q174" s="74"/>
      <c r="R174" s="77"/>
      <c r="S174" s="77"/>
      <c r="T174" s="77"/>
      <c r="U174" s="77"/>
      <c r="V174" s="19"/>
      <c r="W174" s="74"/>
      <c r="X174" s="77"/>
      <c r="Y174" s="77"/>
      <c r="Z174" s="77"/>
      <c r="AA174" s="77"/>
      <c r="AB174" s="19"/>
      <c r="AC174" s="74"/>
      <c r="AD174" s="77"/>
      <c r="AE174" s="77"/>
      <c r="AF174" s="77"/>
      <c r="AG174" s="77"/>
      <c r="AH174" s="19"/>
      <c r="AI174" s="192"/>
    </row>
    <row r="175" spans="2:35" ht="15.75">
      <c r="B175" s="74"/>
      <c r="C175" s="77"/>
      <c r="D175" s="77"/>
      <c r="E175" s="147"/>
      <c r="F175" s="147" t="s">
        <v>177</v>
      </c>
      <c r="G175" s="147" t="s">
        <v>178</v>
      </c>
      <c r="H175" s="147" t="s">
        <v>179</v>
      </c>
      <c r="I175" s="147" t="s">
        <v>180</v>
      </c>
      <c r="J175" s="145" t="s">
        <v>180</v>
      </c>
      <c r="K175" s="150" t="s">
        <v>181</v>
      </c>
      <c r="L175" s="147" t="s">
        <v>182</v>
      </c>
      <c r="M175" s="147" t="s">
        <v>183</v>
      </c>
      <c r="N175" s="147" t="s">
        <v>184</v>
      </c>
      <c r="O175" s="147" t="s">
        <v>185</v>
      </c>
      <c r="P175" s="145" t="s">
        <v>186</v>
      </c>
      <c r="Q175" s="150" t="s">
        <v>187</v>
      </c>
      <c r="R175" s="147" t="s">
        <v>188</v>
      </c>
      <c r="S175" s="147" t="s">
        <v>189</v>
      </c>
      <c r="T175" s="147" t="s">
        <v>190</v>
      </c>
      <c r="U175" s="147" t="s">
        <v>191</v>
      </c>
      <c r="V175" s="145" t="s">
        <v>192</v>
      </c>
      <c r="W175" s="150" t="s">
        <v>193</v>
      </c>
      <c r="X175" s="147" t="s">
        <v>194</v>
      </c>
      <c r="Y175" s="147" t="s">
        <v>195</v>
      </c>
      <c r="Z175" s="147" t="s">
        <v>195</v>
      </c>
      <c r="AA175" s="147" t="s">
        <v>195</v>
      </c>
      <c r="AB175" s="145" t="s">
        <v>195</v>
      </c>
      <c r="AC175" s="150" t="s">
        <v>195</v>
      </c>
      <c r="AD175" s="147" t="s">
        <v>195</v>
      </c>
      <c r="AE175" s="147" t="s">
        <v>195</v>
      </c>
      <c r="AF175" s="147" t="s">
        <v>195</v>
      </c>
      <c r="AG175" s="147" t="s">
        <v>195</v>
      </c>
      <c r="AH175" s="145" t="s">
        <v>195</v>
      </c>
      <c r="AI175" s="192"/>
    </row>
    <row r="176" spans="2:35" ht="15.75">
      <c r="B176" s="14"/>
      <c r="C176" s="77"/>
      <c r="D176" s="77"/>
      <c r="E176" s="147" t="s">
        <v>5</v>
      </c>
      <c r="F176" s="147" t="s">
        <v>127</v>
      </c>
      <c r="G176" s="147"/>
      <c r="H176" s="147" t="s">
        <v>196</v>
      </c>
      <c r="I176" s="147" t="s">
        <v>197</v>
      </c>
      <c r="J176" s="145" t="s">
        <v>198</v>
      </c>
      <c r="K176" s="192"/>
      <c r="L176" s="147"/>
      <c r="M176" s="77"/>
      <c r="N176" s="147"/>
      <c r="O176" s="147"/>
      <c r="P176" s="147"/>
      <c r="Q176" s="150"/>
      <c r="R176" s="147"/>
      <c r="S176" s="145"/>
      <c r="T176" s="77"/>
      <c r="U176" s="147"/>
      <c r="V176" s="145"/>
      <c r="W176" s="150"/>
      <c r="X176" s="147"/>
      <c r="Y176" s="77"/>
      <c r="Z176" s="77"/>
      <c r="AA176" s="77"/>
      <c r="AB176" s="19"/>
      <c r="AC176" s="150"/>
      <c r="AD176" s="147"/>
      <c r="AE176" s="147"/>
      <c r="AF176" s="147"/>
      <c r="AG176" s="147"/>
      <c r="AH176" s="19"/>
      <c r="AI176" s="192"/>
    </row>
    <row r="177" spans="2:35" ht="15.75">
      <c r="B177" s="142" t="s">
        <v>9</v>
      </c>
      <c r="C177" s="77"/>
      <c r="D177" s="77"/>
      <c r="E177" s="147" t="s">
        <v>8</v>
      </c>
      <c r="F177" s="147" t="s">
        <v>199</v>
      </c>
      <c r="G177" s="147" t="s">
        <v>200</v>
      </c>
      <c r="H177" s="147" t="s">
        <v>201</v>
      </c>
      <c r="I177" s="147" t="s">
        <v>202</v>
      </c>
      <c r="J177" s="145" t="s">
        <v>203</v>
      </c>
      <c r="K177" s="150"/>
      <c r="L177" s="147"/>
      <c r="M177" s="147"/>
      <c r="N177" s="147"/>
      <c r="O177" s="147"/>
      <c r="P177" s="147"/>
      <c r="Q177" s="150"/>
      <c r="R177" s="147"/>
      <c r="S177" s="145"/>
      <c r="T177" s="77"/>
      <c r="U177" s="147"/>
      <c r="V177" s="145"/>
      <c r="W177" s="150"/>
      <c r="X177" s="147"/>
      <c r="Y177" s="77"/>
      <c r="Z177" s="77"/>
      <c r="AA177" s="77"/>
      <c r="AB177" s="19"/>
      <c r="AC177" s="150"/>
      <c r="AD177" s="147"/>
      <c r="AE177" s="147"/>
      <c r="AF177" s="147"/>
      <c r="AG177" s="147"/>
      <c r="AH177" s="19"/>
      <c r="AI177" s="192"/>
    </row>
    <row r="178" spans="2:35" ht="15.75">
      <c r="B178" s="142" t="s">
        <v>15</v>
      </c>
      <c r="C178" s="147" t="s">
        <v>16</v>
      </c>
      <c r="D178" s="147" t="s">
        <v>17</v>
      </c>
      <c r="E178" s="147" t="s">
        <v>19</v>
      </c>
      <c r="F178" s="147" t="s">
        <v>7</v>
      </c>
      <c r="G178" s="147" t="s">
        <v>204</v>
      </c>
      <c r="H178" s="147" t="s">
        <v>205</v>
      </c>
      <c r="I178" s="147" t="s">
        <v>206</v>
      </c>
      <c r="J178" s="145" t="s">
        <v>207</v>
      </c>
      <c r="K178" s="150"/>
      <c r="L178" s="147"/>
      <c r="M178" s="147"/>
      <c r="N178" s="147"/>
      <c r="O178" s="147"/>
      <c r="P178" s="147"/>
      <c r="Q178" s="150"/>
      <c r="R178" s="147"/>
      <c r="S178" s="145"/>
      <c r="T178" s="147"/>
      <c r="U178" s="147"/>
      <c r="V178" s="145"/>
      <c r="W178" s="150"/>
      <c r="X178" s="147"/>
      <c r="Y178" s="77"/>
      <c r="Z178" s="77"/>
      <c r="AA178" s="77"/>
      <c r="AB178" s="19"/>
      <c r="AC178" s="150"/>
      <c r="AD178" s="147"/>
      <c r="AE178" s="147"/>
      <c r="AF178" s="147"/>
      <c r="AG178" s="147"/>
      <c r="AH178" s="19"/>
      <c r="AI178" s="192"/>
    </row>
    <row r="179" spans="2:35" ht="15.75">
      <c r="B179" s="144"/>
      <c r="C179" s="144" t="s">
        <v>24</v>
      </c>
      <c r="D179" s="144" t="s">
        <v>25</v>
      </c>
      <c r="E179" s="144" t="s">
        <v>26</v>
      </c>
      <c r="F179" s="151" t="s">
        <v>27</v>
      </c>
      <c r="G179" s="146" t="s">
        <v>28</v>
      </c>
      <c r="H179" s="146" t="s">
        <v>29</v>
      </c>
      <c r="I179" s="146" t="s">
        <v>30</v>
      </c>
      <c r="J179" s="146" t="s">
        <v>31</v>
      </c>
      <c r="K179" s="144" t="s">
        <v>32</v>
      </c>
      <c r="L179" s="146" t="s">
        <v>151</v>
      </c>
      <c r="M179" s="146" t="s">
        <v>152</v>
      </c>
      <c r="N179" s="146" t="s">
        <v>153</v>
      </c>
      <c r="O179" s="146" t="s">
        <v>154</v>
      </c>
      <c r="P179" s="139" t="s">
        <v>155</v>
      </c>
      <c r="Q179" s="144" t="s">
        <v>156</v>
      </c>
      <c r="R179" s="146" t="s">
        <v>28</v>
      </c>
      <c r="S179" s="146" t="s">
        <v>157</v>
      </c>
      <c r="T179" s="146" t="s">
        <v>158</v>
      </c>
      <c r="U179" s="146" t="s">
        <v>159</v>
      </c>
      <c r="V179" s="139" t="s">
        <v>155</v>
      </c>
      <c r="W179" s="144" t="s">
        <v>155</v>
      </c>
      <c r="X179" s="146" t="s">
        <v>157</v>
      </c>
      <c r="Y179" s="146" t="s">
        <v>158</v>
      </c>
      <c r="Z179" s="146" t="s">
        <v>160</v>
      </c>
      <c r="AA179" s="146" t="s">
        <v>161</v>
      </c>
      <c r="AB179" s="139" t="s">
        <v>160</v>
      </c>
      <c r="AC179" s="144" t="s">
        <v>162</v>
      </c>
      <c r="AD179" s="146" t="s">
        <v>163</v>
      </c>
      <c r="AE179" s="146" t="s">
        <v>164</v>
      </c>
      <c r="AF179" s="146" t="s">
        <v>165</v>
      </c>
      <c r="AG179" s="146" t="s">
        <v>166</v>
      </c>
      <c r="AH179" s="139" t="s">
        <v>167</v>
      </c>
      <c r="AI179" s="192"/>
    </row>
    <row r="180" spans="2:35" ht="15.75">
      <c r="B180" s="123"/>
      <c r="C180" s="123"/>
      <c r="D180" s="123"/>
      <c r="E180" s="123"/>
      <c r="F180" s="114"/>
      <c r="G180" s="118"/>
      <c r="H180" s="118"/>
      <c r="I180" s="118"/>
      <c r="J180" s="118"/>
      <c r="K180" s="114"/>
      <c r="L180" s="118"/>
      <c r="M180" s="118"/>
      <c r="N180" s="118"/>
      <c r="O180" s="118"/>
      <c r="P180" s="118"/>
      <c r="Q180" s="114"/>
      <c r="R180" s="118"/>
      <c r="S180" s="118"/>
      <c r="T180" s="118"/>
      <c r="U180" s="118"/>
      <c r="V180" s="118"/>
      <c r="W180" s="114"/>
      <c r="X180" s="118"/>
      <c r="Y180" s="118"/>
      <c r="Z180" s="118"/>
      <c r="AA180" s="118"/>
      <c r="AB180" s="118"/>
      <c r="AC180" s="114"/>
      <c r="AD180" s="118"/>
      <c r="AE180" s="118"/>
      <c r="AF180" s="118"/>
      <c r="AG180" s="118"/>
      <c r="AH180" s="118"/>
      <c r="AI180" s="192"/>
    </row>
    <row r="181" spans="2:35" ht="15.75">
      <c r="B181" s="123"/>
      <c r="C181" s="1" t="s">
        <v>33</v>
      </c>
      <c r="D181" s="44"/>
      <c r="E181" s="44"/>
      <c r="F181" s="44"/>
      <c r="G181" s="56"/>
      <c r="H181" s="56"/>
      <c r="I181" s="56"/>
      <c r="J181" s="56"/>
      <c r="K181" s="44"/>
      <c r="L181" s="56"/>
      <c r="M181" s="56"/>
      <c r="N181" s="56"/>
      <c r="O181" s="56"/>
      <c r="P181" s="56"/>
      <c r="Q181" s="44"/>
      <c r="R181" s="56"/>
      <c r="S181" s="56"/>
      <c r="T181" s="56"/>
      <c r="U181" s="56"/>
      <c r="V181" s="56"/>
      <c r="W181" s="44"/>
      <c r="X181" s="56"/>
      <c r="Y181" s="56"/>
      <c r="Z181" s="56"/>
      <c r="AA181" s="56"/>
      <c r="AB181" s="56"/>
      <c r="AC181" s="44"/>
      <c r="AD181" s="56"/>
      <c r="AE181" s="56"/>
      <c r="AF181" s="56"/>
      <c r="AG181" s="56"/>
      <c r="AH181" s="56"/>
      <c r="AI181" s="192"/>
    </row>
    <row r="182" spans="2:35" ht="15.75">
      <c r="B182" s="123">
        <v>1</v>
      </c>
      <c r="C182" s="101" t="s">
        <v>34</v>
      </c>
      <c r="D182" s="123" t="s">
        <v>35</v>
      </c>
      <c r="E182" s="52">
        <f aca="true" t="shared" si="34" ref="E182:E187">SUM(F182:AH182)</f>
        <v>-12736</v>
      </c>
      <c r="F182" s="52">
        <v>-12736</v>
      </c>
      <c r="G182" s="58">
        <v>0</v>
      </c>
      <c r="H182" s="58">
        <v>0</v>
      </c>
      <c r="I182" s="58">
        <v>0</v>
      </c>
      <c r="J182" s="58">
        <v>0</v>
      </c>
      <c r="K182" s="52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2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2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0</v>
      </c>
      <c r="AC182" s="52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192"/>
    </row>
    <row r="183" spans="2:35" ht="15.75">
      <c r="B183" s="123">
        <f aca="true" t="shared" si="35" ref="B183:B188">B182+1</f>
        <v>2</v>
      </c>
      <c r="C183" s="101" t="s">
        <v>36</v>
      </c>
      <c r="D183" s="123" t="s">
        <v>35</v>
      </c>
      <c r="E183" s="41">
        <f t="shared" si="34"/>
        <v>-2297</v>
      </c>
      <c r="F183" s="41">
        <v>-2297</v>
      </c>
      <c r="G183" s="54">
        <v>0</v>
      </c>
      <c r="H183" s="54">
        <v>0</v>
      </c>
      <c r="I183" s="54">
        <v>0</v>
      </c>
      <c r="J183" s="54">
        <v>0</v>
      </c>
      <c r="K183" s="41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41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41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41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192"/>
    </row>
    <row r="184" spans="2:35" ht="15.75">
      <c r="B184" s="123">
        <f t="shared" si="35"/>
        <v>3</v>
      </c>
      <c r="C184" s="101" t="s">
        <v>37</v>
      </c>
      <c r="D184" s="123" t="s">
        <v>35</v>
      </c>
      <c r="E184" s="41">
        <f t="shared" si="34"/>
        <v>0</v>
      </c>
      <c r="F184" s="41">
        <v>0</v>
      </c>
      <c r="G184" s="54">
        <v>0</v>
      </c>
      <c r="H184" s="54">
        <v>0</v>
      </c>
      <c r="I184" s="54">
        <v>0</v>
      </c>
      <c r="J184" s="54">
        <v>0</v>
      </c>
      <c r="K184" s="41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41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41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41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192"/>
    </row>
    <row r="185" spans="2:35" ht="15.75">
      <c r="B185" s="123">
        <f t="shared" si="35"/>
        <v>4</v>
      </c>
      <c r="C185" s="101" t="s">
        <v>38</v>
      </c>
      <c r="D185" s="123" t="s">
        <v>35</v>
      </c>
      <c r="E185" s="41">
        <f t="shared" si="34"/>
        <v>0</v>
      </c>
      <c r="F185" s="41">
        <v>0</v>
      </c>
      <c r="G185" s="54">
        <v>0</v>
      </c>
      <c r="H185" s="54">
        <v>0</v>
      </c>
      <c r="I185" s="54">
        <v>0</v>
      </c>
      <c r="J185" s="54">
        <v>0</v>
      </c>
      <c r="K185" s="41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41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41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41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192"/>
    </row>
    <row r="186" spans="2:35" ht="15.75">
      <c r="B186" s="123">
        <f t="shared" si="35"/>
        <v>5</v>
      </c>
      <c r="C186" s="101" t="s">
        <v>39</v>
      </c>
      <c r="D186" s="123" t="s">
        <v>35</v>
      </c>
      <c r="E186" s="41">
        <f t="shared" si="34"/>
        <v>0</v>
      </c>
      <c r="F186" s="41">
        <v>0</v>
      </c>
      <c r="G186" s="54">
        <v>0</v>
      </c>
      <c r="H186" s="54">
        <v>0</v>
      </c>
      <c r="I186" s="54">
        <v>0</v>
      </c>
      <c r="J186" s="54">
        <v>0</v>
      </c>
      <c r="K186" s="41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41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41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41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192"/>
    </row>
    <row r="187" spans="2:35" ht="15.75">
      <c r="B187" s="123">
        <f t="shared" si="35"/>
        <v>6</v>
      </c>
      <c r="C187" s="101" t="s">
        <v>40</v>
      </c>
      <c r="D187" s="123" t="s">
        <v>35</v>
      </c>
      <c r="E187" s="41">
        <f t="shared" si="34"/>
        <v>0</v>
      </c>
      <c r="F187" s="41">
        <v>0</v>
      </c>
      <c r="G187" s="54">
        <v>0</v>
      </c>
      <c r="H187" s="54">
        <v>0</v>
      </c>
      <c r="I187" s="54">
        <v>0</v>
      </c>
      <c r="J187" s="54">
        <v>0</v>
      </c>
      <c r="K187" s="41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41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41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41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192"/>
    </row>
    <row r="188" spans="2:35" ht="15.75">
      <c r="B188" s="123">
        <f t="shared" si="35"/>
        <v>7</v>
      </c>
      <c r="C188" s="92" t="s">
        <v>41</v>
      </c>
      <c r="D188" s="123" t="str">
        <f>"+Ln "&amp;FIXED(+B182,0,TRUE)&amp;" thru "&amp;FIXED(+B187,0,TRUE)</f>
        <v>+Ln 1 thru 6</v>
      </c>
      <c r="E188" s="16">
        <f aca="true" t="shared" si="36" ref="E188:AH188">SUM(E182:E187)</f>
        <v>-15033</v>
      </c>
      <c r="F188" s="16">
        <f t="shared" si="36"/>
        <v>-15033</v>
      </c>
      <c r="G188" s="10">
        <f t="shared" si="36"/>
        <v>0</v>
      </c>
      <c r="H188" s="10">
        <f t="shared" si="36"/>
        <v>0</v>
      </c>
      <c r="I188" s="10">
        <f t="shared" si="36"/>
        <v>0</v>
      </c>
      <c r="J188" s="10">
        <f t="shared" si="36"/>
        <v>0</v>
      </c>
      <c r="K188" s="16">
        <f t="shared" si="36"/>
        <v>0</v>
      </c>
      <c r="L188" s="10">
        <f t="shared" si="36"/>
        <v>0</v>
      </c>
      <c r="M188" s="10">
        <f t="shared" si="36"/>
        <v>0</v>
      </c>
      <c r="N188" s="10">
        <f t="shared" si="36"/>
        <v>0</v>
      </c>
      <c r="O188" s="10">
        <f t="shared" si="36"/>
        <v>0</v>
      </c>
      <c r="P188" s="10">
        <f t="shared" si="36"/>
        <v>0</v>
      </c>
      <c r="Q188" s="16">
        <f t="shared" si="36"/>
        <v>0</v>
      </c>
      <c r="R188" s="10">
        <f t="shared" si="36"/>
        <v>0</v>
      </c>
      <c r="S188" s="10">
        <f t="shared" si="36"/>
        <v>0</v>
      </c>
      <c r="T188" s="10">
        <f t="shared" si="36"/>
        <v>0</v>
      </c>
      <c r="U188" s="10">
        <f t="shared" si="36"/>
        <v>0</v>
      </c>
      <c r="V188" s="10">
        <f t="shared" si="36"/>
        <v>0</v>
      </c>
      <c r="W188" s="16">
        <f t="shared" si="36"/>
        <v>0</v>
      </c>
      <c r="X188" s="10">
        <f t="shared" si="36"/>
        <v>0</v>
      </c>
      <c r="Y188" s="10">
        <f t="shared" si="36"/>
        <v>0</v>
      </c>
      <c r="Z188" s="10">
        <f t="shared" si="36"/>
        <v>0</v>
      </c>
      <c r="AA188" s="10">
        <f t="shared" si="36"/>
        <v>0</v>
      </c>
      <c r="AB188" s="10">
        <f t="shared" si="36"/>
        <v>0</v>
      </c>
      <c r="AC188" s="16">
        <f t="shared" si="36"/>
        <v>0</v>
      </c>
      <c r="AD188" s="10">
        <f t="shared" si="36"/>
        <v>0</v>
      </c>
      <c r="AE188" s="10">
        <f t="shared" si="36"/>
        <v>0</v>
      </c>
      <c r="AF188" s="10">
        <f t="shared" si="36"/>
        <v>0</v>
      </c>
      <c r="AG188" s="10">
        <f t="shared" si="36"/>
        <v>0</v>
      </c>
      <c r="AH188" s="10">
        <f t="shared" si="36"/>
        <v>0</v>
      </c>
      <c r="AI188" s="192"/>
    </row>
    <row r="189" spans="2:35" ht="15.75">
      <c r="B189" s="123"/>
      <c r="C189" s="92"/>
      <c r="D189" s="123"/>
      <c r="E189" s="16"/>
      <c r="F189" s="16"/>
      <c r="G189" s="10"/>
      <c r="H189" s="10"/>
      <c r="I189" s="10"/>
      <c r="J189" s="10"/>
      <c r="K189" s="16"/>
      <c r="L189" s="10"/>
      <c r="M189" s="10"/>
      <c r="N189" s="10"/>
      <c r="O189" s="10"/>
      <c r="P189" s="10"/>
      <c r="Q189" s="16"/>
      <c r="R189" s="10"/>
      <c r="S189" s="10"/>
      <c r="T189" s="10"/>
      <c r="U189" s="10"/>
      <c r="V189" s="10"/>
      <c r="W189" s="16"/>
      <c r="X189" s="10"/>
      <c r="Y189" s="10"/>
      <c r="Z189" s="10"/>
      <c r="AA189" s="10"/>
      <c r="AB189" s="10"/>
      <c r="AC189" s="16"/>
      <c r="AD189" s="10"/>
      <c r="AE189" s="10"/>
      <c r="AF189" s="10"/>
      <c r="AG189" s="10"/>
      <c r="AH189" s="10"/>
      <c r="AI189" s="192"/>
    </row>
    <row r="190" spans="2:35" ht="15.75">
      <c r="B190" s="114"/>
      <c r="C190" s="1" t="s">
        <v>42</v>
      </c>
      <c r="D190" s="44"/>
      <c r="E190" s="44"/>
      <c r="F190" s="44"/>
      <c r="G190" s="56"/>
      <c r="H190" s="56"/>
      <c r="I190" s="56"/>
      <c r="J190" s="56"/>
      <c r="K190" s="44"/>
      <c r="L190" s="56"/>
      <c r="M190" s="56"/>
      <c r="N190" s="56"/>
      <c r="O190" s="56"/>
      <c r="P190" s="56"/>
      <c r="Q190" s="44"/>
      <c r="R190" s="56"/>
      <c r="S190" s="56"/>
      <c r="T190" s="56"/>
      <c r="U190" s="56"/>
      <c r="V190" s="56"/>
      <c r="W190" s="44"/>
      <c r="X190" s="56"/>
      <c r="Y190" s="56"/>
      <c r="Z190" s="56"/>
      <c r="AA190" s="56"/>
      <c r="AB190" s="56"/>
      <c r="AC190" s="44"/>
      <c r="AD190" s="56"/>
      <c r="AE190" s="56"/>
      <c r="AF190" s="56"/>
      <c r="AG190" s="56"/>
      <c r="AH190" s="56"/>
      <c r="AI190" s="192"/>
    </row>
    <row r="191" spans="2:35" ht="15.75">
      <c r="B191" s="123">
        <f>B188+1</f>
        <v>8</v>
      </c>
      <c r="C191" s="101" t="s">
        <v>43</v>
      </c>
      <c r="D191" s="123" t="s">
        <v>35</v>
      </c>
      <c r="E191" s="41">
        <f aca="true" t="shared" si="37" ref="E191:E227">SUM(F191:AH191)</f>
        <v>0</v>
      </c>
      <c r="F191" s="41">
        <v>0</v>
      </c>
      <c r="G191" s="54">
        <v>0</v>
      </c>
      <c r="H191" s="54">
        <v>0</v>
      </c>
      <c r="I191" s="54">
        <v>0</v>
      </c>
      <c r="J191" s="54">
        <v>0</v>
      </c>
      <c r="K191" s="41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41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41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41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192"/>
    </row>
    <row r="192" spans="2:35" ht="15.75">
      <c r="B192" s="123">
        <f aca="true" t="shared" si="38" ref="B192:B228">B191+1</f>
        <v>9</v>
      </c>
      <c r="C192" s="101" t="s">
        <v>44</v>
      </c>
      <c r="D192" s="123" t="s">
        <v>35</v>
      </c>
      <c r="E192" s="41">
        <f t="shared" si="37"/>
        <v>0</v>
      </c>
      <c r="F192" s="41">
        <v>0</v>
      </c>
      <c r="G192" s="54">
        <v>0</v>
      </c>
      <c r="H192" s="54">
        <v>0</v>
      </c>
      <c r="I192" s="54">
        <v>0</v>
      </c>
      <c r="J192" s="54">
        <v>0</v>
      </c>
      <c r="K192" s="41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41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41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41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192"/>
    </row>
    <row r="193" spans="2:35" ht="15.75">
      <c r="B193" s="123">
        <f t="shared" si="38"/>
        <v>10</v>
      </c>
      <c r="C193" s="101" t="s">
        <v>45</v>
      </c>
      <c r="D193" s="123" t="s">
        <v>35</v>
      </c>
      <c r="E193" s="41">
        <f t="shared" si="37"/>
        <v>0</v>
      </c>
      <c r="F193" s="41">
        <v>0</v>
      </c>
      <c r="G193" s="54">
        <v>0</v>
      </c>
      <c r="H193" s="54">
        <v>0</v>
      </c>
      <c r="I193" s="54">
        <v>0</v>
      </c>
      <c r="J193" s="54">
        <v>0</v>
      </c>
      <c r="K193" s="41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41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41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41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192"/>
    </row>
    <row r="194" spans="2:35" ht="15.75">
      <c r="B194" s="123">
        <f t="shared" si="38"/>
        <v>11</v>
      </c>
      <c r="C194" s="101" t="s">
        <v>46</v>
      </c>
      <c r="D194" s="123" t="s">
        <v>35</v>
      </c>
      <c r="E194" s="41">
        <f t="shared" si="37"/>
        <v>11168</v>
      </c>
      <c r="F194" s="41">
        <v>0</v>
      </c>
      <c r="G194" s="54">
        <v>0</v>
      </c>
      <c r="H194" s="54">
        <v>11168</v>
      </c>
      <c r="I194" s="54">
        <v>0</v>
      </c>
      <c r="J194" s="54">
        <v>0</v>
      </c>
      <c r="K194" s="41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41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41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41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192"/>
    </row>
    <row r="195" spans="2:35" ht="15.75">
      <c r="B195" s="123">
        <f t="shared" si="38"/>
        <v>12</v>
      </c>
      <c r="C195" s="101" t="s">
        <v>47</v>
      </c>
      <c r="D195" s="123" t="s">
        <v>35</v>
      </c>
      <c r="E195" s="41">
        <f t="shared" si="37"/>
        <v>0</v>
      </c>
      <c r="F195" s="43">
        <v>0</v>
      </c>
      <c r="G195" s="57">
        <v>0</v>
      </c>
      <c r="H195" s="57">
        <v>0</v>
      </c>
      <c r="I195" s="57">
        <v>0</v>
      </c>
      <c r="J195" s="57">
        <v>0</v>
      </c>
      <c r="K195" s="43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43">
        <v>0</v>
      </c>
      <c r="R195" s="57">
        <v>0</v>
      </c>
      <c r="S195" s="57">
        <v>0</v>
      </c>
      <c r="T195" s="57">
        <v>0</v>
      </c>
      <c r="U195" s="57">
        <v>0</v>
      </c>
      <c r="V195" s="57">
        <v>0</v>
      </c>
      <c r="W195" s="43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43">
        <v>0</v>
      </c>
      <c r="AD195" s="57">
        <v>0</v>
      </c>
      <c r="AE195" s="57">
        <v>0</v>
      </c>
      <c r="AF195" s="57">
        <v>0</v>
      </c>
      <c r="AG195" s="57">
        <v>0</v>
      </c>
      <c r="AH195" s="57">
        <v>0</v>
      </c>
      <c r="AI195" s="192"/>
    </row>
    <row r="196" spans="2:35" ht="15.75">
      <c r="B196" s="123">
        <f t="shared" si="38"/>
        <v>13</v>
      </c>
      <c r="C196" s="101" t="s">
        <v>48</v>
      </c>
      <c r="D196" s="123" t="s">
        <v>35</v>
      </c>
      <c r="E196" s="41">
        <f t="shared" si="37"/>
        <v>0</v>
      </c>
      <c r="F196" s="43">
        <v>0</v>
      </c>
      <c r="G196" s="57">
        <v>0</v>
      </c>
      <c r="H196" s="57">
        <v>0</v>
      </c>
      <c r="I196" s="57">
        <v>0</v>
      </c>
      <c r="J196" s="57">
        <v>0</v>
      </c>
      <c r="K196" s="43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43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43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43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0</v>
      </c>
      <c r="AI196" s="192"/>
    </row>
    <row r="197" spans="2:35" ht="15.75">
      <c r="B197" s="123">
        <f t="shared" si="38"/>
        <v>14</v>
      </c>
      <c r="C197" s="101" t="s">
        <v>49</v>
      </c>
      <c r="D197" s="123" t="s">
        <v>35</v>
      </c>
      <c r="E197" s="41">
        <f t="shared" si="37"/>
        <v>0</v>
      </c>
      <c r="F197" s="41">
        <v>0</v>
      </c>
      <c r="G197" s="54">
        <v>0</v>
      </c>
      <c r="H197" s="54">
        <v>0</v>
      </c>
      <c r="I197" s="54">
        <v>0</v>
      </c>
      <c r="J197" s="54">
        <v>0</v>
      </c>
      <c r="K197" s="41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41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41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41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192"/>
    </row>
    <row r="198" spans="2:35" ht="15.75">
      <c r="B198" s="123">
        <f t="shared" si="38"/>
        <v>15</v>
      </c>
      <c r="C198" s="101" t="s">
        <v>50</v>
      </c>
      <c r="D198" s="123" t="s">
        <v>35</v>
      </c>
      <c r="E198" s="41">
        <f t="shared" si="37"/>
        <v>0</v>
      </c>
      <c r="F198" s="41">
        <v>0</v>
      </c>
      <c r="G198" s="54">
        <v>0</v>
      </c>
      <c r="H198" s="54">
        <v>0</v>
      </c>
      <c r="I198" s="54">
        <v>0</v>
      </c>
      <c r="J198" s="54">
        <v>0</v>
      </c>
      <c r="K198" s="41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41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41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41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192"/>
    </row>
    <row r="199" spans="2:35" ht="15.75">
      <c r="B199" s="123">
        <f t="shared" si="38"/>
        <v>16</v>
      </c>
      <c r="C199" s="101" t="s">
        <v>51</v>
      </c>
      <c r="D199" s="123" t="s">
        <v>35</v>
      </c>
      <c r="E199" s="41">
        <f t="shared" si="37"/>
        <v>15833</v>
      </c>
      <c r="F199" s="41">
        <v>0</v>
      </c>
      <c r="G199" s="54">
        <v>15833</v>
      </c>
      <c r="H199" s="54">
        <v>0</v>
      </c>
      <c r="I199" s="54">
        <v>0</v>
      </c>
      <c r="J199" s="54">
        <v>0</v>
      </c>
      <c r="K199" s="41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41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41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41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192"/>
    </row>
    <row r="200" spans="2:35" ht="15.75">
      <c r="B200" s="123">
        <f t="shared" si="38"/>
        <v>17</v>
      </c>
      <c r="C200" s="101" t="s">
        <v>52</v>
      </c>
      <c r="D200" s="123" t="s">
        <v>35</v>
      </c>
      <c r="E200" s="41">
        <f t="shared" si="37"/>
        <v>2101</v>
      </c>
      <c r="F200" s="41">
        <v>0</v>
      </c>
      <c r="G200" s="54">
        <v>2101</v>
      </c>
      <c r="H200" s="54">
        <v>0</v>
      </c>
      <c r="I200" s="54">
        <v>0</v>
      </c>
      <c r="J200" s="54">
        <v>0</v>
      </c>
      <c r="K200" s="41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41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41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41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192"/>
    </row>
    <row r="201" spans="2:35" ht="15.75">
      <c r="B201" s="123">
        <f t="shared" si="38"/>
        <v>18</v>
      </c>
      <c r="C201" s="101" t="s">
        <v>53</v>
      </c>
      <c r="D201" s="123" t="s">
        <v>35</v>
      </c>
      <c r="E201" s="41">
        <f t="shared" si="37"/>
        <v>-290</v>
      </c>
      <c r="F201" s="41">
        <v>-290</v>
      </c>
      <c r="G201" s="54">
        <v>0</v>
      </c>
      <c r="H201" s="54">
        <v>0</v>
      </c>
      <c r="I201" s="54">
        <v>0</v>
      </c>
      <c r="J201" s="54">
        <v>0</v>
      </c>
      <c r="K201" s="41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41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41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41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192"/>
    </row>
    <row r="202" spans="2:35" ht="15.75">
      <c r="B202" s="123">
        <f t="shared" si="38"/>
        <v>19</v>
      </c>
      <c r="C202" s="101" t="s">
        <v>54</v>
      </c>
      <c r="D202" s="123" t="s">
        <v>35</v>
      </c>
      <c r="E202" s="41">
        <f t="shared" si="37"/>
        <v>-60</v>
      </c>
      <c r="F202" s="41">
        <v>-60</v>
      </c>
      <c r="G202" s="54">
        <v>0</v>
      </c>
      <c r="H202" s="54">
        <v>0</v>
      </c>
      <c r="I202" s="104">
        <v>0</v>
      </c>
      <c r="J202" s="54">
        <v>0</v>
      </c>
      <c r="K202" s="41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41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41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41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192"/>
    </row>
    <row r="203" spans="2:35" ht="15.75">
      <c r="B203" s="123">
        <f t="shared" si="38"/>
        <v>20</v>
      </c>
      <c r="C203" s="101" t="s">
        <v>55</v>
      </c>
      <c r="D203" s="123" t="s">
        <v>35</v>
      </c>
      <c r="E203" s="41">
        <f t="shared" si="37"/>
        <v>12561</v>
      </c>
      <c r="F203" s="41">
        <v>0</v>
      </c>
      <c r="G203" s="54">
        <v>0</v>
      </c>
      <c r="H203" s="54">
        <v>0</v>
      </c>
      <c r="I203" s="104">
        <f>62805/5</f>
        <v>12561</v>
      </c>
      <c r="J203" s="54">
        <v>0</v>
      </c>
      <c r="K203" s="41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41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41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41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192"/>
    </row>
    <row r="204" spans="2:35" ht="15.75">
      <c r="B204" s="123">
        <f t="shared" si="38"/>
        <v>21</v>
      </c>
      <c r="C204" s="101" t="s">
        <v>56</v>
      </c>
      <c r="D204" s="123" t="s">
        <v>35</v>
      </c>
      <c r="E204" s="41">
        <f t="shared" si="37"/>
        <v>0</v>
      </c>
      <c r="F204" s="41">
        <v>0</v>
      </c>
      <c r="G204" s="54">
        <v>0</v>
      </c>
      <c r="H204" s="54">
        <v>0</v>
      </c>
      <c r="I204" s="54">
        <v>0</v>
      </c>
      <c r="J204" s="54">
        <v>0</v>
      </c>
      <c r="K204" s="41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41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41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41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192"/>
    </row>
    <row r="205" spans="2:35" ht="15.75">
      <c r="B205" s="123">
        <f t="shared" si="38"/>
        <v>22</v>
      </c>
      <c r="C205" s="101" t="s">
        <v>57</v>
      </c>
      <c r="D205" s="123" t="s">
        <v>35</v>
      </c>
      <c r="E205" s="41">
        <f t="shared" si="37"/>
        <v>0</v>
      </c>
      <c r="F205" s="41">
        <v>0</v>
      </c>
      <c r="G205" s="54">
        <v>0</v>
      </c>
      <c r="H205" s="54">
        <v>0</v>
      </c>
      <c r="I205" s="54">
        <v>0</v>
      </c>
      <c r="J205" s="54">
        <v>0</v>
      </c>
      <c r="K205" s="41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41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41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41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192"/>
    </row>
    <row r="206" spans="2:35" ht="15.75">
      <c r="B206" s="123">
        <f t="shared" si="38"/>
        <v>23</v>
      </c>
      <c r="C206" s="101" t="s">
        <v>58</v>
      </c>
      <c r="D206" s="123" t="s">
        <v>35</v>
      </c>
      <c r="E206" s="41">
        <f t="shared" si="37"/>
        <v>0</v>
      </c>
      <c r="F206" s="43">
        <v>0</v>
      </c>
      <c r="G206" s="57">
        <v>0</v>
      </c>
      <c r="H206" s="57">
        <v>0</v>
      </c>
      <c r="I206" s="57">
        <v>0</v>
      </c>
      <c r="J206" s="57">
        <v>0</v>
      </c>
      <c r="K206" s="43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43">
        <v>0</v>
      </c>
      <c r="R206" s="57">
        <v>0</v>
      </c>
      <c r="S206" s="57">
        <v>0</v>
      </c>
      <c r="T206" s="57">
        <v>0</v>
      </c>
      <c r="U206" s="57">
        <v>0</v>
      </c>
      <c r="V206" s="57">
        <v>0</v>
      </c>
      <c r="W206" s="43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43">
        <v>0</v>
      </c>
      <c r="AD206" s="57">
        <v>0</v>
      </c>
      <c r="AE206" s="57">
        <v>0</v>
      </c>
      <c r="AF206" s="57">
        <v>0</v>
      </c>
      <c r="AG206" s="57">
        <v>0</v>
      </c>
      <c r="AH206" s="57">
        <v>0</v>
      </c>
      <c r="AI206" s="192"/>
    </row>
    <row r="207" spans="2:35" ht="15.75">
      <c r="B207" s="123">
        <f t="shared" si="38"/>
        <v>24</v>
      </c>
      <c r="C207" s="101" t="s">
        <v>59</v>
      </c>
      <c r="D207" s="123" t="s">
        <v>35</v>
      </c>
      <c r="E207" s="41">
        <f t="shared" si="37"/>
        <v>0</v>
      </c>
      <c r="F207" s="43">
        <v>0</v>
      </c>
      <c r="G207" s="57">
        <v>0</v>
      </c>
      <c r="H207" s="57">
        <v>0</v>
      </c>
      <c r="I207" s="57">
        <v>0</v>
      </c>
      <c r="J207" s="57">
        <v>0</v>
      </c>
      <c r="K207" s="43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43">
        <v>0</v>
      </c>
      <c r="R207" s="57">
        <v>0</v>
      </c>
      <c r="S207" s="57">
        <v>0</v>
      </c>
      <c r="T207" s="57">
        <v>0</v>
      </c>
      <c r="U207" s="57">
        <v>0</v>
      </c>
      <c r="V207" s="57">
        <v>0</v>
      </c>
      <c r="W207" s="43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43">
        <v>0</v>
      </c>
      <c r="AD207" s="57">
        <v>0</v>
      </c>
      <c r="AE207" s="57">
        <v>0</v>
      </c>
      <c r="AF207" s="57">
        <v>0</v>
      </c>
      <c r="AG207" s="57">
        <v>0</v>
      </c>
      <c r="AH207" s="57">
        <v>0</v>
      </c>
      <c r="AI207" s="192"/>
    </row>
    <row r="208" spans="2:35" ht="15.75">
      <c r="B208" s="123">
        <f t="shared" si="38"/>
        <v>25</v>
      </c>
      <c r="C208" s="101" t="s">
        <v>60</v>
      </c>
      <c r="D208" s="123" t="s">
        <v>35</v>
      </c>
      <c r="E208" s="41">
        <f t="shared" si="37"/>
        <v>0</v>
      </c>
      <c r="F208" s="43">
        <v>0</v>
      </c>
      <c r="G208" s="57">
        <v>0</v>
      </c>
      <c r="H208" s="57">
        <v>0</v>
      </c>
      <c r="I208" s="57">
        <v>0</v>
      </c>
      <c r="J208" s="57">
        <v>0</v>
      </c>
      <c r="K208" s="43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43">
        <v>0</v>
      </c>
      <c r="R208" s="57">
        <v>0</v>
      </c>
      <c r="S208" s="57">
        <v>0</v>
      </c>
      <c r="T208" s="57">
        <v>0</v>
      </c>
      <c r="U208" s="57">
        <v>0</v>
      </c>
      <c r="V208" s="57">
        <v>0</v>
      </c>
      <c r="W208" s="43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43">
        <v>0</v>
      </c>
      <c r="AD208" s="57">
        <v>0</v>
      </c>
      <c r="AE208" s="57">
        <v>0</v>
      </c>
      <c r="AF208" s="57">
        <v>0</v>
      </c>
      <c r="AG208" s="57">
        <v>0</v>
      </c>
      <c r="AH208" s="57">
        <v>0</v>
      </c>
      <c r="AI208" s="192"/>
    </row>
    <row r="209" spans="2:35" ht="15.75">
      <c r="B209" s="123">
        <f t="shared" si="38"/>
        <v>26</v>
      </c>
      <c r="C209" s="101" t="s">
        <v>61</v>
      </c>
      <c r="D209" s="123" t="s">
        <v>35</v>
      </c>
      <c r="E209" s="41">
        <f t="shared" si="37"/>
        <v>0</v>
      </c>
      <c r="F209" s="43">
        <v>0</v>
      </c>
      <c r="G209" s="57">
        <v>0</v>
      </c>
      <c r="H209" s="57">
        <v>0</v>
      </c>
      <c r="I209" s="57">
        <v>0</v>
      </c>
      <c r="J209" s="57">
        <v>0</v>
      </c>
      <c r="K209" s="43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43">
        <v>0</v>
      </c>
      <c r="R209" s="57">
        <v>0</v>
      </c>
      <c r="S209" s="57">
        <v>0</v>
      </c>
      <c r="T209" s="57">
        <v>0</v>
      </c>
      <c r="U209" s="57">
        <v>0</v>
      </c>
      <c r="V209" s="57">
        <v>0</v>
      </c>
      <c r="W209" s="43">
        <v>0</v>
      </c>
      <c r="X209" s="57">
        <v>0</v>
      </c>
      <c r="Y209" s="57">
        <v>0</v>
      </c>
      <c r="Z209" s="57">
        <v>0</v>
      </c>
      <c r="AA209" s="57">
        <v>0</v>
      </c>
      <c r="AB209" s="57">
        <v>0</v>
      </c>
      <c r="AC209" s="43">
        <v>0</v>
      </c>
      <c r="AD209" s="57">
        <v>0</v>
      </c>
      <c r="AE209" s="57">
        <v>0</v>
      </c>
      <c r="AF209" s="57">
        <v>0</v>
      </c>
      <c r="AG209" s="57">
        <v>0</v>
      </c>
      <c r="AH209" s="57">
        <v>0</v>
      </c>
      <c r="AI209" s="192"/>
    </row>
    <row r="210" spans="2:35" ht="15.75">
      <c r="B210" s="123">
        <f t="shared" si="38"/>
        <v>27</v>
      </c>
      <c r="C210" s="101" t="s">
        <v>62</v>
      </c>
      <c r="D210" s="123" t="s">
        <v>35</v>
      </c>
      <c r="E210" s="41">
        <f t="shared" si="37"/>
        <v>0</v>
      </c>
      <c r="F210" s="43">
        <v>0</v>
      </c>
      <c r="G210" s="57">
        <v>0</v>
      </c>
      <c r="H210" s="57">
        <v>0</v>
      </c>
      <c r="I210" s="57">
        <v>0</v>
      </c>
      <c r="J210" s="57">
        <v>0</v>
      </c>
      <c r="K210" s="43">
        <v>0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43">
        <v>0</v>
      </c>
      <c r="R210" s="57">
        <v>0</v>
      </c>
      <c r="S210" s="57">
        <v>0</v>
      </c>
      <c r="T210" s="57">
        <v>0</v>
      </c>
      <c r="U210" s="57">
        <v>0</v>
      </c>
      <c r="V210" s="57">
        <v>0</v>
      </c>
      <c r="W210" s="43">
        <v>0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43">
        <v>0</v>
      </c>
      <c r="AD210" s="57">
        <v>0</v>
      </c>
      <c r="AE210" s="57">
        <v>0</v>
      </c>
      <c r="AF210" s="57">
        <v>0</v>
      </c>
      <c r="AG210" s="57">
        <v>0</v>
      </c>
      <c r="AH210" s="57">
        <v>0</v>
      </c>
      <c r="AI210" s="192"/>
    </row>
    <row r="211" spans="2:35" ht="15.75">
      <c r="B211" s="123">
        <f t="shared" si="38"/>
        <v>28</v>
      </c>
      <c r="C211" s="101" t="s">
        <v>63</v>
      </c>
      <c r="D211" s="123" t="s">
        <v>35</v>
      </c>
      <c r="E211" s="41">
        <f t="shared" si="37"/>
        <v>0</v>
      </c>
      <c r="F211" s="43">
        <v>0</v>
      </c>
      <c r="G211" s="57">
        <v>0</v>
      </c>
      <c r="H211" s="57">
        <v>0</v>
      </c>
      <c r="I211" s="57">
        <v>0</v>
      </c>
      <c r="J211" s="57">
        <v>0</v>
      </c>
      <c r="K211" s="43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43">
        <v>0</v>
      </c>
      <c r="R211" s="57">
        <v>0</v>
      </c>
      <c r="S211" s="57">
        <v>0</v>
      </c>
      <c r="T211" s="57">
        <v>0</v>
      </c>
      <c r="U211" s="57">
        <v>0</v>
      </c>
      <c r="V211" s="57">
        <v>0</v>
      </c>
      <c r="W211" s="43">
        <v>0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43">
        <v>0</v>
      </c>
      <c r="AD211" s="57">
        <v>0</v>
      </c>
      <c r="AE211" s="57">
        <v>0</v>
      </c>
      <c r="AF211" s="57">
        <v>0</v>
      </c>
      <c r="AG211" s="57">
        <v>0</v>
      </c>
      <c r="AH211" s="57">
        <v>0</v>
      </c>
      <c r="AI211" s="192"/>
    </row>
    <row r="212" spans="2:35" ht="15.75">
      <c r="B212" s="123">
        <f t="shared" si="38"/>
        <v>29</v>
      </c>
      <c r="C212" s="101" t="s">
        <v>64</v>
      </c>
      <c r="D212" s="123" t="s">
        <v>35</v>
      </c>
      <c r="E212" s="41">
        <f t="shared" si="37"/>
        <v>0</v>
      </c>
      <c r="F212" s="43">
        <v>0</v>
      </c>
      <c r="G212" s="57">
        <v>0</v>
      </c>
      <c r="H212" s="57">
        <v>0</v>
      </c>
      <c r="I212" s="57">
        <v>0</v>
      </c>
      <c r="J212" s="57">
        <v>0</v>
      </c>
      <c r="K212" s="43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43">
        <v>0</v>
      </c>
      <c r="R212" s="57">
        <v>0</v>
      </c>
      <c r="S212" s="57">
        <v>0</v>
      </c>
      <c r="T212" s="57">
        <v>0</v>
      </c>
      <c r="U212" s="57">
        <v>0</v>
      </c>
      <c r="V212" s="57">
        <v>0</v>
      </c>
      <c r="W212" s="43">
        <v>0</v>
      </c>
      <c r="X212" s="57">
        <v>0</v>
      </c>
      <c r="Y212" s="57">
        <v>0</v>
      </c>
      <c r="Z212" s="57">
        <v>0</v>
      </c>
      <c r="AA212" s="57">
        <v>0</v>
      </c>
      <c r="AB212" s="57">
        <v>0</v>
      </c>
      <c r="AC212" s="43">
        <v>0</v>
      </c>
      <c r="AD212" s="57">
        <v>0</v>
      </c>
      <c r="AE212" s="57">
        <v>0</v>
      </c>
      <c r="AF212" s="57">
        <v>0</v>
      </c>
      <c r="AG212" s="57">
        <v>0</v>
      </c>
      <c r="AH212" s="57">
        <v>0</v>
      </c>
      <c r="AI212" s="192"/>
    </row>
    <row r="213" spans="2:35" ht="15.75">
      <c r="B213" s="123">
        <f t="shared" si="38"/>
        <v>30</v>
      </c>
      <c r="C213" s="101" t="s">
        <v>65</v>
      </c>
      <c r="D213" s="123" t="s">
        <v>35</v>
      </c>
      <c r="E213" s="41">
        <f t="shared" si="37"/>
        <v>0</v>
      </c>
      <c r="F213" s="43">
        <v>0</v>
      </c>
      <c r="G213" s="57">
        <v>0</v>
      </c>
      <c r="H213" s="57">
        <v>0</v>
      </c>
      <c r="I213" s="57">
        <v>0</v>
      </c>
      <c r="J213" s="57">
        <v>0</v>
      </c>
      <c r="K213" s="43">
        <v>0</v>
      </c>
      <c r="L213" s="57">
        <v>0</v>
      </c>
      <c r="M213" s="57">
        <v>0</v>
      </c>
      <c r="N213" s="57">
        <v>0</v>
      </c>
      <c r="O213" s="57">
        <v>0</v>
      </c>
      <c r="P213" s="57">
        <v>0</v>
      </c>
      <c r="Q213" s="43">
        <v>0</v>
      </c>
      <c r="R213" s="57">
        <v>0</v>
      </c>
      <c r="S213" s="57">
        <v>0</v>
      </c>
      <c r="T213" s="57">
        <v>0</v>
      </c>
      <c r="U213" s="57">
        <v>0</v>
      </c>
      <c r="V213" s="57">
        <v>0</v>
      </c>
      <c r="W213" s="43">
        <v>0</v>
      </c>
      <c r="X213" s="57">
        <v>0</v>
      </c>
      <c r="Y213" s="57">
        <v>0</v>
      </c>
      <c r="Z213" s="57">
        <v>0</v>
      </c>
      <c r="AA213" s="57">
        <v>0</v>
      </c>
      <c r="AB213" s="57">
        <v>0</v>
      </c>
      <c r="AC213" s="43">
        <v>0</v>
      </c>
      <c r="AD213" s="57">
        <v>0</v>
      </c>
      <c r="AE213" s="57">
        <v>0</v>
      </c>
      <c r="AF213" s="57">
        <v>0</v>
      </c>
      <c r="AG213" s="57">
        <v>0</v>
      </c>
      <c r="AH213" s="57">
        <v>0</v>
      </c>
      <c r="AI213" s="192"/>
    </row>
    <row r="214" spans="2:35" ht="15.75">
      <c r="B214" s="123">
        <f t="shared" si="38"/>
        <v>31</v>
      </c>
      <c r="C214" s="101" t="s">
        <v>48</v>
      </c>
      <c r="D214" s="123" t="s">
        <v>35</v>
      </c>
      <c r="E214" s="41">
        <f t="shared" si="37"/>
        <v>0</v>
      </c>
      <c r="F214" s="43">
        <v>0</v>
      </c>
      <c r="G214" s="57">
        <v>0</v>
      </c>
      <c r="H214" s="57">
        <v>0</v>
      </c>
      <c r="I214" s="57">
        <v>0</v>
      </c>
      <c r="J214" s="57">
        <v>0</v>
      </c>
      <c r="K214" s="43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43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43">
        <v>0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43">
        <v>0</v>
      </c>
      <c r="AD214" s="57">
        <v>0</v>
      </c>
      <c r="AE214" s="57">
        <v>0</v>
      </c>
      <c r="AF214" s="57">
        <v>0</v>
      </c>
      <c r="AG214" s="57">
        <v>0</v>
      </c>
      <c r="AH214" s="57">
        <v>0</v>
      </c>
      <c r="AI214" s="192"/>
    </row>
    <row r="215" spans="2:35" ht="15.75">
      <c r="B215" s="123">
        <f t="shared" si="38"/>
        <v>32</v>
      </c>
      <c r="C215" s="101" t="s">
        <v>66</v>
      </c>
      <c r="D215" s="123" t="s">
        <v>35</v>
      </c>
      <c r="E215" s="41">
        <f t="shared" si="37"/>
        <v>0</v>
      </c>
      <c r="F215" s="43">
        <v>0</v>
      </c>
      <c r="G215" s="57">
        <v>0</v>
      </c>
      <c r="H215" s="57">
        <v>0</v>
      </c>
      <c r="I215" s="57">
        <v>0</v>
      </c>
      <c r="J215" s="57">
        <v>0</v>
      </c>
      <c r="K215" s="43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43">
        <v>0</v>
      </c>
      <c r="R215" s="57">
        <v>0</v>
      </c>
      <c r="S215" s="57">
        <v>0</v>
      </c>
      <c r="T215" s="57">
        <v>0</v>
      </c>
      <c r="U215" s="57">
        <v>0</v>
      </c>
      <c r="V215" s="57">
        <v>0</v>
      </c>
      <c r="W215" s="43">
        <v>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43">
        <v>0</v>
      </c>
      <c r="AD215" s="57">
        <v>0</v>
      </c>
      <c r="AE215" s="57">
        <v>0</v>
      </c>
      <c r="AF215" s="57">
        <v>0</v>
      </c>
      <c r="AG215" s="57">
        <v>0</v>
      </c>
      <c r="AH215" s="57">
        <v>0</v>
      </c>
      <c r="AI215" s="192"/>
    </row>
    <row r="216" spans="2:35" ht="15.75">
      <c r="B216" s="123">
        <f t="shared" si="38"/>
        <v>33</v>
      </c>
      <c r="C216" s="101" t="s">
        <v>67</v>
      </c>
      <c r="D216" s="123" t="s">
        <v>35</v>
      </c>
      <c r="E216" s="41">
        <f t="shared" si="37"/>
        <v>0</v>
      </c>
      <c r="F216" s="43">
        <v>0</v>
      </c>
      <c r="G216" s="57">
        <v>0</v>
      </c>
      <c r="H216" s="57">
        <v>0</v>
      </c>
      <c r="I216" s="57">
        <v>0</v>
      </c>
      <c r="J216" s="57">
        <v>0</v>
      </c>
      <c r="K216" s="43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43">
        <v>0</v>
      </c>
      <c r="R216" s="57">
        <v>0</v>
      </c>
      <c r="S216" s="57">
        <v>0</v>
      </c>
      <c r="T216" s="57">
        <v>0</v>
      </c>
      <c r="U216" s="57">
        <v>0</v>
      </c>
      <c r="V216" s="57">
        <v>0</v>
      </c>
      <c r="W216" s="43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43">
        <v>0</v>
      </c>
      <c r="AD216" s="57">
        <v>0</v>
      </c>
      <c r="AE216" s="57">
        <v>0</v>
      </c>
      <c r="AF216" s="57">
        <v>0</v>
      </c>
      <c r="AG216" s="57">
        <v>0</v>
      </c>
      <c r="AH216" s="57">
        <v>0</v>
      </c>
      <c r="AI216" s="192"/>
    </row>
    <row r="217" spans="2:35" ht="15.75">
      <c r="B217" s="123">
        <f t="shared" si="38"/>
        <v>34</v>
      </c>
      <c r="C217" s="101" t="s">
        <v>68</v>
      </c>
      <c r="D217" s="123" t="s">
        <v>35</v>
      </c>
      <c r="E217" s="41">
        <f t="shared" si="37"/>
        <v>0</v>
      </c>
      <c r="F217" s="43">
        <v>0</v>
      </c>
      <c r="G217" s="57">
        <v>0</v>
      </c>
      <c r="H217" s="57">
        <v>0</v>
      </c>
      <c r="I217" s="57">
        <v>0</v>
      </c>
      <c r="J217" s="57">
        <v>0</v>
      </c>
      <c r="K217" s="43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43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43">
        <v>0</v>
      </c>
      <c r="X217" s="57">
        <v>0</v>
      </c>
      <c r="Y217" s="57">
        <v>0</v>
      </c>
      <c r="Z217" s="57">
        <v>0</v>
      </c>
      <c r="AA217" s="57">
        <v>0</v>
      </c>
      <c r="AB217" s="57">
        <v>0</v>
      </c>
      <c r="AC217" s="43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192"/>
    </row>
    <row r="218" spans="2:35" ht="15.75">
      <c r="B218" s="123">
        <f t="shared" si="38"/>
        <v>35</v>
      </c>
      <c r="C218" s="101" t="s">
        <v>69</v>
      </c>
      <c r="D218" s="123" t="s">
        <v>35</v>
      </c>
      <c r="E218" s="41">
        <f t="shared" si="37"/>
        <v>0</v>
      </c>
      <c r="F218" s="43">
        <v>0</v>
      </c>
      <c r="G218" s="57">
        <v>0</v>
      </c>
      <c r="H218" s="57">
        <v>0</v>
      </c>
      <c r="I218" s="57">
        <v>0</v>
      </c>
      <c r="J218" s="57">
        <v>0</v>
      </c>
      <c r="K218" s="43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43">
        <v>0</v>
      </c>
      <c r="R218" s="57">
        <v>0</v>
      </c>
      <c r="S218" s="57">
        <v>0</v>
      </c>
      <c r="T218" s="57">
        <v>0</v>
      </c>
      <c r="U218" s="57">
        <v>0</v>
      </c>
      <c r="V218" s="57">
        <v>0</v>
      </c>
      <c r="W218" s="43">
        <v>0</v>
      </c>
      <c r="X218" s="57">
        <v>0</v>
      </c>
      <c r="Y218" s="57">
        <v>0</v>
      </c>
      <c r="Z218" s="57">
        <v>0</v>
      </c>
      <c r="AA218" s="57">
        <v>0</v>
      </c>
      <c r="AB218" s="57">
        <v>0</v>
      </c>
      <c r="AC218" s="43">
        <v>0</v>
      </c>
      <c r="AD218" s="57">
        <v>0</v>
      </c>
      <c r="AE218" s="57">
        <v>0</v>
      </c>
      <c r="AF218" s="57">
        <v>0</v>
      </c>
      <c r="AG218" s="57">
        <v>0</v>
      </c>
      <c r="AH218" s="57">
        <v>0</v>
      </c>
      <c r="AI218" s="192"/>
    </row>
    <row r="219" spans="2:35" ht="15.75">
      <c r="B219" s="123">
        <f t="shared" si="38"/>
        <v>36</v>
      </c>
      <c r="C219" s="101" t="s">
        <v>208</v>
      </c>
      <c r="D219" s="123" t="s">
        <v>35</v>
      </c>
      <c r="E219" s="41">
        <f t="shared" si="37"/>
        <v>0</v>
      </c>
      <c r="F219" s="43">
        <v>0</v>
      </c>
      <c r="G219" s="57">
        <v>0</v>
      </c>
      <c r="H219" s="57">
        <v>0</v>
      </c>
      <c r="I219" s="57">
        <v>0</v>
      </c>
      <c r="J219" s="57">
        <v>0</v>
      </c>
      <c r="K219" s="43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43">
        <v>0</v>
      </c>
      <c r="R219" s="57">
        <v>0</v>
      </c>
      <c r="S219" s="57">
        <v>0</v>
      </c>
      <c r="T219" s="57">
        <v>0</v>
      </c>
      <c r="U219" s="57">
        <v>0</v>
      </c>
      <c r="V219" s="57">
        <v>0</v>
      </c>
      <c r="W219" s="43">
        <v>0</v>
      </c>
      <c r="X219" s="57">
        <v>0</v>
      </c>
      <c r="Y219" s="57">
        <v>0</v>
      </c>
      <c r="Z219" s="57">
        <v>0</v>
      </c>
      <c r="AA219" s="57">
        <v>0</v>
      </c>
      <c r="AB219" s="57">
        <v>0</v>
      </c>
      <c r="AC219" s="43">
        <v>0</v>
      </c>
      <c r="AD219" s="57">
        <v>0</v>
      </c>
      <c r="AE219" s="57">
        <v>0</v>
      </c>
      <c r="AF219" s="57">
        <v>0</v>
      </c>
      <c r="AG219" s="57">
        <v>0</v>
      </c>
      <c r="AH219" s="57">
        <v>0</v>
      </c>
      <c r="AI219" s="192"/>
    </row>
    <row r="220" spans="2:35" ht="15.75">
      <c r="B220" s="123">
        <f t="shared" si="38"/>
        <v>37</v>
      </c>
      <c r="C220" s="101" t="s">
        <v>71</v>
      </c>
      <c r="D220" s="123" t="s">
        <v>35</v>
      </c>
      <c r="E220" s="41">
        <f t="shared" si="37"/>
        <v>0</v>
      </c>
      <c r="F220" s="43">
        <v>0</v>
      </c>
      <c r="G220" s="57">
        <v>0</v>
      </c>
      <c r="H220" s="57">
        <v>0</v>
      </c>
      <c r="I220" s="57">
        <v>0</v>
      </c>
      <c r="J220" s="57">
        <v>0</v>
      </c>
      <c r="K220" s="43">
        <v>0</v>
      </c>
      <c r="L220" s="57">
        <v>0</v>
      </c>
      <c r="M220" s="57">
        <v>0</v>
      </c>
      <c r="N220" s="57">
        <v>0</v>
      </c>
      <c r="O220" s="57">
        <v>0</v>
      </c>
      <c r="P220" s="57">
        <v>0</v>
      </c>
      <c r="Q220" s="43">
        <v>0</v>
      </c>
      <c r="R220" s="57">
        <v>0</v>
      </c>
      <c r="S220" s="57">
        <v>0</v>
      </c>
      <c r="T220" s="57">
        <v>0</v>
      </c>
      <c r="U220" s="57">
        <v>0</v>
      </c>
      <c r="V220" s="57">
        <v>0</v>
      </c>
      <c r="W220" s="43">
        <v>0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43">
        <v>0</v>
      </c>
      <c r="AD220" s="57">
        <v>0</v>
      </c>
      <c r="AE220" s="57">
        <v>0</v>
      </c>
      <c r="AF220" s="57">
        <v>0</v>
      </c>
      <c r="AG220" s="57">
        <v>0</v>
      </c>
      <c r="AH220" s="57">
        <v>0</v>
      </c>
      <c r="AI220" s="192"/>
    </row>
    <row r="221" spans="2:35" ht="15.75">
      <c r="B221" s="123">
        <f t="shared" si="38"/>
        <v>38</v>
      </c>
      <c r="C221" s="101" t="s">
        <v>72</v>
      </c>
      <c r="D221" s="123" t="s">
        <v>35</v>
      </c>
      <c r="E221" s="41">
        <f t="shared" si="37"/>
        <v>0</v>
      </c>
      <c r="F221" s="43">
        <v>0</v>
      </c>
      <c r="G221" s="57">
        <v>0</v>
      </c>
      <c r="H221" s="57">
        <v>0</v>
      </c>
      <c r="I221" s="57">
        <v>0</v>
      </c>
      <c r="J221" s="57">
        <v>0</v>
      </c>
      <c r="K221" s="43">
        <v>0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43">
        <v>0</v>
      </c>
      <c r="R221" s="57">
        <v>0</v>
      </c>
      <c r="S221" s="57">
        <v>0</v>
      </c>
      <c r="T221" s="57">
        <v>0</v>
      </c>
      <c r="U221" s="57">
        <v>0</v>
      </c>
      <c r="V221" s="57">
        <v>0</v>
      </c>
      <c r="W221" s="43">
        <v>0</v>
      </c>
      <c r="X221" s="57">
        <v>0</v>
      </c>
      <c r="Y221" s="57">
        <v>0</v>
      </c>
      <c r="Z221" s="57">
        <v>0</v>
      </c>
      <c r="AA221" s="57">
        <v>0</v>
      </c>
      <c r="AB221" s="57">
        <v>0</v>
      </c>
      <c r="AC221" s="43">
        <v>0</v>
      </c>
      <c r="AD221" s="57">
        <v>0</v>
      </c>
      <c r="AE221" s="57">
        <v>0</v>
      </c>
      <c r="AF221" s="57">
        <v>0</v>
      </c>
      <c r="AG221" s="57">
        <v>0</v>
      </c>
      <c r="AH221" s="57">
        <v>0</v>
      </c>
      <c r="AI221" s="192"/>
    </row>
    <row r="222" spans="2:35" ht="15.75">
      <c r="B222" s="123">
        <f t="shared" si="38"/>
        <v>39</v>
      </c>
      <c r="C222" s="101" t="s">
        <v>73</v>
      </c>
      <c r="D222" s="123" t="s">
        <v>35</v>
      </c>
      <c r="E222" s="41">
        <f t="shared" si="37"/>
        <v>0</v>
      </c>
      <c r="F222" s="43">
        <v>0</v>
      </c>
      <c r="G222" s="57">
        <v>0</v>
      </c>
      <c r="H222" s="57">
        <v>0</v>
      </c>
      <c r="I222" s="57">
        <v>0</v>
      </c>
      <c r="J222" s="57">
        <v>0</v>
      </c>
      <c r="K222" s="43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43">
        <v>0</v>
      </c>
      <c r="R222" s="57">
        <v>0</v>
      </c>
      <c r="S222" s="57">
        <v>0</v>
      </c>
      <c r="T222" s="57">
        <v>0</v>
      </c>
      <c r="U222" s="57">
        <v>0</v>
      </c>
      <c r="V222" s="57">
        <v>0</v>
      </c>
      <c r="W222" s="43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0</v>
      </c>
      <c r="AC222" s="43">
        <v>0</v>
      </c>
      <c r="AD222" s="57">
        <v>0</v>
      </c>
      <c r="AE222" s="57">
        <v>0</v>
      </c>
      <c r="AF222" s="57">
        <v>0</v>
      </c>
      <c r="AG222" s="57">
        <v>0</v>
      </c>
      <c r="AH222" s="57">
        <v>0</v>
      </c>
      <c r="AI222" s="192"/>
    </row>
    <row r="223" spans="2:35" ht="15.75">
      <c r="B223" s="123">
        <f t="shared" si="38"/>
        <v>40</v>
      </c>
      <c r="C223" s="101" t="s">
        <v>74</v>
      </c>
      <c r="D223" s="123" t="s">
        <v>35</v>
      </c>
      <c r="E223" s="41">
        <f t="shared" si="37"/>
        <v>0</v>
      </c>
      <c r="F223" s="43">
        <v>0</v>
      </c>
      <c r="G223" s="57">
        <v>0</v>
      </c>
      <c r="H223" s="57">
        <v>0</v>
      </c>
      <c r="I223" s="57">
        <v>0</v>
      </c>
      <c r="J223" s="57">
        <v>0</v>
      </c>
      <c r="K223" s="43">
        <v>0</v>
      </c>
      <c r="L223" s="57">
        <v>0</v>
      </c>
      <c r="M223" s="57">
        <v>0</v>
      </c>
      <c r="N223" s="57">
        <v>0</v>
      </c>
      <c r="O223" s="57">
        <v>0</v>
      </c>
      <c r="P223" s="57">
        <v>0</v>
      </c>
      <c r="Q223" s="43">
        <v>0</v>
      </c>
      <c r="R223" s="57">
        <v>0</v>
      </c>
      <c r="S223" s="57">
        <v>0</v>
      </c>
      <c r="T223" s="57">
        <v>0</v>
      </c>
      <c r="U223" s="57">
        <v>0</v>
      </c>
      <c r="V223" s="57">
        <v>0</v>
      </c>
      <c r="W223" s="43">
        <v>0</v>
      </c>
      <c r="X223" s="57">
        <v>0</v>
      </c>
      <c r="Y223" s="57">
        <v>0</v>
      </c>
      <c r="Z223" s="57">
        <v>0</v>
      </c>
      <c r="AA223" s="57">
        <v>0</v>
      </c>
      <c r="AB223" s="57">
        <v>0</v>
      </c>
      <c r="AC223" s="43">
        <v>0</v>
      </c>
      <c r="AD223" s="57">
        <v>0</v>
      </c>
      <c r="AE223" s="57">
        <v>0</v>
      </c>
      <c r="AF223" s="57">
        <v>0</v>
      </c>
      <c r="AG223" s="57">
        <v>0</v>
      </c>
      <c r="AH223" s="57">
        <v>0</v>
      </c>
      <c r="AI223" s="192"/>
    </row>
    <row r="224" spans="2:35" ht="15.75">
      <c r="B224" s="123">
        <f t="shared" si="38"/>
        <v>41</v>
      </c>
      <c r="C224" s="101" t="s">
        <v>75</v>
      </c>
      <c r="D224" s="123" t="s">
        <v>35</v>
      </c>
      <c r="E224" s="41">
        <f t="shared" si="37"/>
        <v>0</v>
      </c>
      <c r="F224" s="43">
        <v>0</v>
      </c>
      <c r="G224" s="57">
        <v>0</v>
      </c>
      <c r="H224" s="57">
        <v>0</v>
      </c>
      <c r="I224" s="57">
        <v>0</v>
      </c>
      <c r="J224" s="57">
        <v>0</v>
      </c>
      <c r="K224" s="43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0</v>
      </c>
      <c r="Q224" s="43">
        <v>0</v>
      </c>
      <c r="R224" s="57">
        <v>0</v>
      </c>
      <c r="S224" s="57">
        <v>0</v>
      </c>
      <c r="T224" s="57">
        <v>0</v>
      </c>
      <c r="U224" s="57">
        <v>0</v>
      </c>
      <c r="V224" s="57">
        <v>0</v>
      </c>
      <c r="W224" s="43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43">
        <v>0</v>
      </c>
      <c r="AD224" s="57">
        <v>0</v>
      </c>
      <c r="AE224" s="57">
        <v>0</v>
      </c>
      <c r="AF224" s="57">
        <v>0</v>
      </c>
      <c r="AG224" s="57">
        <v>0</v>
      </c>
      <c r="AH224" s="57">
        <v>0</v>
      </c>
      <c r="AI224" s="192"/>
    </row>
    <row r="225" spans="2:35" ht="15.75">
      <c r="B225" s="123">
        <f t="shared" si="38"/>
        <v>42</v>
      </c>
      <c r="C225" s="101" t="s">
        <v>76</v>
      </c>
      <c r="D225" s="123" t="s">
        <v>35</v>
      </c>
      <c r="E225" s="41">
        <f t="shared" si="37"/>
        <v>0</v>
      </c>
      <c r="F225" s="43">
        <v>0</v>
      </c>
      <c r="G225" s="57">
        <v>0</v>
      </c>
      <c r="H225" s="57">
        <v>0</v>
      </c>
      <c r="I225" s="57">
        <v>0</v>
      </c>
      <c r="J225" s="57">
        <v>0</v>
      </c>
      <c r="K225" s="43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0</v>
      </c>
      <c r="Q225" s="43">
        <v>0</v>
      </c>
      <c r="R225" s="57">
        <v>0</v>
      </c>
      <c r="S225" s="57">
        <v>0</v>
      </c>
      <c r="T225" s="57">
        <v>0</v>
      </c>
      <c r="U225" s="57">
        <v>0</v>
      </c>
      <c r="V225" s="57">
        <v>0</v>
      </c>
      <c r="W225" s="43">
        <v>0</v>
      </c>
      <c r="X225" s="57">
        <v>0</v>
      </c>
      <c r="Y225" s="57">
        <v>0</v>
      </c>
      <c r="Z225" s="57">
        <v>0</v>
      </c>
      <c r="AA225" s="57">
        <v>0</v>
      </c>
      <c r="AB225" s="57">
        <v>0</v>
      </c>
      <c r="AC225" s="43">
        <v>0</v>
      </c>
      <c r="AD225" s="57">
        <v>0</v>
      </c>
      <c r="AE225" s="57">
        <v>0</v>
      </c>
      <c r="AF225" s="57">
        <v>0</v>
      </c>
      <c r="AG225" s="57">
        <v>0</v>
      </c>
      <c r="AH225" s="57">
        <v>0</v>
      </c>
      <c r="AI225" s="192"/>
    </row>
    <row r="226" spans="2:35" ht="15.75">
      <c r="B226" s="123">
        <f t="shared" si="38"/>
        <v>43</v>
      </c>
      <c r="C226" s="101" t="s">
        <v>77</v>
      </c>
      <c r="D226" s="123" t="s">
        <v>35</v>
      </c>
      <c r="E226" s="41">
        <f t="shared" si="37"/>
        <v>0</v>
      </c>
      <c r="F226" s="43">
        <v>0</v>
      </c>
      <c r="G226" s="57">
        <v>0</v>
      </c>
      <c r="H226" s="57">
        <v>0</v>
      </c>
      <c r="I226" s="57">
        <v>0</v>
      </c>
      <c r="J226" s="57">
        <v>0</v>
      </c>
      <c r="K226" s="43">
        <v>0</v>
      </c>
      <c r="L226" s="57">
        <v>0</v>
      </c>
      <c r="M226" s="57">
        <v>0</v>
      </c>
      <c r="N226" s="57">
        <v>0</v>
      </c>
      <c r="O226" s="57">
        <v>0</v>
      </c>
      <c r="P226" s="57">
        <v>0</v>
      </c>
      <c r="Q226" s="43">
        <v>0</v>
      </c>
      <c r="R226" s="57">
        <v>0</v>
      </c>
      <c r="S226" s="57">
        <v>0</v>
      </c>
      <c r="T226" s="57">
        <v>0</v>
      </c>
      <c r="U226" s="57">
        <v>0</v>
      </c>
      <c r="V226" s="57">
        <v>0</v>
      </c>
      <c r="W226" s="43">
        <v>0</v>
      </c>
      <c r="X226" s="57">
        <v>0</v>
      </c>
      <c r="Y226" s="57">
        <v>0</v>
      </c>
      <c r="Z226" s="57">
        <v>0</v>
      </c>
      <c r="AA226" s="57">
        <v>0</v>
      </c>
      <c r="AB226" s="57">
        <v>0</v>
      </c>
      <c r="AC226" s="43">
        <v>0</v>
      </c>
      <c r="AD226" s="57">
        <v>0</v>
      </c>
      <c r="AE226" s="57">
        <v>0</v>
      </c>
      <c r="AF226" s="57">
        <v>0</v>
      </c>
      <c r="AG226" s="57">
        <v>0</v>
      </c>
      <c r="AH226" s="57">
        <v>0</v>
      </c>
      <c r="AI226" s="192"/>
    </row>
    <row r="227" spans="2:35" ht="15.75">
      <c r="B227" s="123">
        <f t="shared" si="38"/>
        <v>44</v>
      </c>
      <c r="C227" s="101" t="s">
        <v>78</v>
      </c>
      <c r="D227" s="123" t="s">
        <v>35</v>
      </c>
      <c r="E227" s="41">
        <f t="shared" si="37"/>
        <v>0</v>
      </c>
      <c r="F227" s="43">
        <v>0</v>
      </c>
      <c r="G227" s="57">
        <v>0</v>
      </c>
      <c r="H227" s="57">
        <v>0</v>
      </c>
      <c r="I227" s="57">
        <v>0</v>
      </c>
      <c r="J227" s="57">
        <v>0</v>
      </c>
      <c r="K227" s="43">
        <v>0</v>
      </c>
      <c r="L227" s="57">
        <v>0</v>
      </c>
      <c r="M227" s="57">
        <v>0</v>
      </c>
      <c r="N227" s="57">
        <v>0</v>
      </c>
      <c r="O227" s="57">
        <v>0</v>
      </c>
      <c r="P227" s="57">
        <v>0</v>
      </c>
      <c r="Q227" s="43">
        <v>0</v>
      </c>
      <c r="R227" s="57">
        <v>0</v>
      </c>
      <c r="S227" s="57">
        <v>0</v>
      </c>
      <c r="T227" s="57">
        <v>0</v>
      </c>
      <c r="U227" s="57">
        <v>0</v>
      </c>
      <c r="V227" s="57">
        <v>0</v>
      </c>
      <c r="W227" s="43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43">
        <v>0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192"/>
    </row>
    <row r="228" spans="2:35" ht="15.75">
      <c r="B228" s="123">
        <f t="shared" si="38"/>
        <v>45</v>
      </c>
      <c r="C228" s="92" t="s">
        <v>209</v>
      </c>
      <c r="D228" s="123" t="str">
        <f>"+Ln "&amp;FIXED(+B191,0,TRUE)&amp;" thru "&amp;FIXED(+B227,0,TRUE)</f>
        <v>+Ln 8 thru 44</v>
      </c>
      <c r="E228" s="16">
        <f aca="true" t="shared" si="39" ref="E228:AH228">SUM(E191:E227)</f>
        <v>41313</v>
      </c>
      <c r="F228" s="16">
        <f t="shared" si="39"/>
        <v>-350</v>
      </c>
      <c r="G228" s="10">
        <f t="shared" si="39"/>
        <v>17934</v>
      </c>
      <c r="H228" s="10">
        <f t="shared" si="39"/>
        <v>11168</v>
      </c>
      <c r="I228" s="10">
        <f t="shared" si="39"/>
        <v>12561</v>
      </c>
      <c r="J228" s="10">
        <f t="shared" si="39"/>
        <v>0</v>
      </c>
      <c r="K228" s="16">
        <f t="shared" si="39"/>
        <v>0</v>
      </c>
      <c r="L228" s="10">
        <f t="shared" si="39"/>
        <v>0</v>
      </c>
      <c r="M228" s="10">
        <f t="shared" si="39"/>
        <v>0</v>
      </c>
      <c r="N228" s="10">
        <f t="shared" si="39"/>
        <v>0</v>
      </c>
      <c r="O228" s="10">
        <f t="shared" si="39"/>
        <v>0</v>
      </c>
      <c r="P228" s="10">
        <f t="shared" si="39"/>
        <v>0</v>
      </c>
      <c r="Q228" s="16">
        <f t="shared" si="39"/>
        <v>0</v>
      </c>
      <c r="R228" s="10">
        <f t="shared" si="39"/>
        <v>0</v>
      </c>
      <c r="S228" s="10">
        <f t="shared" si="39"/>
        <v>0</v>
      </c>
      <c r="T228" s="10">
        <f t="shared" si="39"/>
        <v>0</v>
      </c>
      <c r="U228" s="10">
        <f t="shared" si="39"/>
        <v>0</v>
      </c>
      <c r="V228" s="10">
        <f t="shared" si="39"/>
        <v>0</v>
      </c>
      <c r="W228" s="16">
        <f t="shared" si="39"/>
        <v>0</v>
      </c>
      <c r="X228" s="10">
        <f t="shared" si="39"/>
        <v>0</v>
      </c>
      <c r="Y228" s="10">
        <f t="shared" si="39"/>
        <v>0</v>
      </c>
      <c r="Z228" s="10">
        <f t="shared" si="39"/>
        <v>0</v>
      </c>
      <c r="AA228" s="10">
        <f t="shared" si="39"/>
        <v>0</v>
      </c>
      <c r="AB228" s="10">
        <f t="shared" si="39"/>
        <v>0</v>
      </c>
      <c r="AC228" s="16">
        <f t="shared" si="39"/>
        <v>0</v>
      </c>
      <c r="AD228" s="10">
        <f t="shared" si="39"/>
        <v>0</v>
      </c>
      <c r="AE228" s="10">
        <f t="shared" si="39"/>
        <v>0</v>
      </c>
      <c r="AF228" s="10">
        <f t="shared" si="39"/>
        <v>0</v>
      </c>
      <c r="AG228" s="10">
        <f t="shared" si="39"/>
        <v>0</v>
      </c>
      <c r="AH228" s="10">
        <f t="shared" si="39"/>
        <v>0</v>
      </c>
      <c r="AI228" s="192"/>
    </row>
    <row r="229" spans="2:35" ht="15.75">
      <c r="B229" s="123"/>
      <c r="C229" s="101"/>
      <c r="D229" s="123"/>
      <c r="E229" s="16"/>
      <c r="F229" s="16"/>
      <c r="G229" s="10"/>
      <c r="H229" s="10"/>
      <c r="I229" s="10"/>
      <c r="J229" s="10"/>
      <c r="K229" s="16"/>
      <c r="L229" s="10"/>
      <c r="M229" s="10"/>
      <c r="N229" s="10"/>
      <c r="O229" s="10"/>
      <c r="P229" s="10"/>
      <c r="Q229" s="16"/>
      <c r="R229" s="10"/>
      <c r="S229" s="10"/>
      <c r="T229" s="10"/>
      <c r="U229" s="10"/>
      <c r="V229" s="10"/>
      <c r="W229" s="16"/>
      <c r="X229" s="10"/>
      <c r="Y229" s="10"/>
      <c r="Z229" s="10"/>
      <c r="AA229" s="10"/>
      <c r="AB229" s="10"/>
      <c r="AC229" s="16"/>
      <c r="AD229" s="10"/>
      <c r="AE229" s="10"/>
      <c r="AF229" s="10"/>
      <c r="AG229" s="10"/>
      <c r="AH229" s="10"/>
      <c r="AI229" s="192"/>
    </row>
    <row r="230" spans="2:35" ht="15.75">
      <c r="B230" s="123">
        <f>B228+1</f>
        <v>46</v>
      </c>
      <c r="C230" s="92" t="s">
        <v>80</v>
      </c>
      <c r="D230" s="123" t="str">
        <f>"Ln "&amp;FIXED(+B188,0,TRUE)&amp;"-"&amp;FIXED(+B228,0,TRUE)</f>
        <v>Ln 7-45</v>
      </c>
      <c r="E230" s="16">
        <f aca="true" t="shared" si="40" ref="E230:AH230">E188-E228</f>
        <v>-56346</v>
      </c>
      <c r="F230" s="16">
        <f t="shared" si="40"/>
        <v>-14683</v>
      </c>
      <c r="G230" s="10">
        <f t="shared" si="40"/>
        <v>-17934</v>
      </c>
      <c r="H230" s="10">
        <f t="shared" si="40"/>
        <v>-11168</v>
      </c>
      <c r="I230" s="10">
        <f t="shared" si="40"/>
        <v>-12561</v>
      </c>
      <c r="J230" s="10">
        <f t="shared" si="40"/>
        <v>0</v>
      </c>
      <c r="K230" s="16">
        <f t="shared" si="40"/>
        <v>0</v>
      </c>
      <c r="L230" s="10">
        <f t="shared" si="40"/>
        <v>0</v>
      </c>
      <c r="M230" s="10">
        <f t="shared" si="40"/>
        <v>0</v>
      </c>
      <c r="N230" s="10">
        <f t="shared" si="40"/>
        <v>0</v>
      </c>
      <c r="O230" s="10">
        <f t="shared" si="40"/>
        <v>0</v>
      </c>
      <c r="P230" s="10">
        <f t="shared" si="40"/>
        <v>0</v>
      </c>
      <c r="Q230" s="16">
        <f t="shared" si="40"/>
        <v>0</v>
      </c>
      <c r="R230" s="10">
        <f t="shared" si="40"/>
        <v>0</v>
      </c>
      <c r="S230" s="10">
        <f t="shared" si="40"/>
        <v>0</v>
      </c>
      <c r="T230" s="10">
        <f t="shared" si="40"/>
        <v>0</v>
      </c>
      <c r="U230" s="10">
        <f t="shared" si="40"/>
        <v>0</v>
      </c>
      <c r="V230" s="10">
        <f t="shared" si="40"/>
        <v>0</v>
      </c>
      <c r="W230" s="16">
        <f t="shared" si="40"/>
        <v>0</v>
      </c>
      <c r="X230" s="10">
        <f t="shared" si="40"/>
        <v>0</v>
      </c>
      <c r="Y230" s="10">
        <f t="shared" si="40"/>
        <v>0</v>
      </c>
      <c r="Z230" s="10">
        <f t="shared" si="40"/>
        <v>0</v>
      </c>
      <c r="AA230" s="10">
        <f t="shared" si="40"/>
        <v>0</v>
      </c>
      <c r="AB230" s="10">
        <f t="shared" si="40"/>
        <v>0</v>
      </c>
      <c r="AC230" s="16">
        <f t="shared" si="40"/>
        <v>0</v>
      </c>
      <c r="AD230" s="10">
        <f t="shared" si="40"/>
        <v>0</v>
      </c>
      <c r="AE230" s="10">
        <f t="shared" si="40"/>
        <v>0</v>
      </c>
      <c r="AF230" s="10">
        <f t="shared" si="40"/>
        <v>0</v>
      </c>
      <c r="AG230" s="10">
        <f t="shared" si="40"/>
        <v>0</v>
      </c>
      <c r="AH230" s="10">
        <f t="shared" si="40"/>
        <v>0</v>
      </c>
      <c r="AI230" s="192"/>
    </row>
    <row r="231" spans="2:35" ht="15.75">
      <c r="B231" s="123"/>
      <c r="C231" s="92"/>
      <c r="D231" s="123"/>
      <c r="E231" s="46"/>
      <c r="F231" s="46"/>
      <c r="G231" s="22"/>
      <c r="H231" s="22"/>
      <c r="I231" s="22"/>
      <c r="J231" s="22"/>
      <c r="K231" s="46"/>
      <c r="L231" s="22"/>
      <c r="M231" s="22"/>
      <c r="N231" s="22"/>
      <c r="O231" s="22"/>
      <c r="P231" s="22"/>
      <c r="Q231" s="46"/>
      <c r="R231" s="22"/>
      <c r="S231" s="22"/>
      <c r="T231" s="22"/>
      <c r="U231" s="22"/>
      <c r="V231" s="22"/>
      <c r="W231" s="46"/>
      <c r="X231" s="22"/>
      <c r="Y231" s="22"/>
      <c r="Z231" s="22"/>
      <c r="AA231" s="22"/>
      <c r="AB231" s="22"/>
      <c r="AC231" s="46"/>
      <c r="AD231" s="22"/>
      <c r="AE231" s="22"/>
      <c r="AF231" s="22"/>
      <c r="AG231" s="22"/>
      <c r="AH231" s="22"/>
      <c r="AI231" s="192"/>
    </row>
    <row r="232" spans="2:35" ht="15.75">
      <c r="B232" s="114"/>
      <c r="C232" s="1" t="s">
        <v>81</v>
      </c>
      <c r="D232" s="44"/>
      <c r="E232" s="41"/>
      <c r="F232" s="43"/>
      <c r="G232" s="57"/>
      <c r="H232" s="57"/>
      <c r="I232" s="57"/>
      <c r="J232" s="57"/>
      <c r="K232" s="43"/>
      <c r="L232" s="57"/>
      <c r="M232" s="57"/>
      <c r="N232" s="57"/>
      <c r="O232" s="57"/>
      <c r="P232" s="57"/>
      <c r="Q232" s="43"/>
      <c r="R232" s="57"/>
      <c r="S232" s="57"/>
      <c r="T232" s="57"/>
      <c r="U232" s="57"/>
      <c r="V232" s="57"/>
      <c r="W232" s="43"/>
      <c r="X232" s="57"/>
      <c r="Y232" s="57"/>
      <c r="Z232" s="57"/>
      <c r="AA232" s="57"/>
      <c r="AB232" s="57"/>
      <c r="AC232" s="43"/>
      <c r="AD232" s="57"/>
      <c r="AE232" s="57"/>
      <c r="AF232" s="57"/>
      <c r="AG232" s="57"/>
      <c r="AH232" s="57"/>
      <c r="AI232" s="192"/>
    </row>
    <row r="233" spans="2:35" ht="15.75">
      <c r="B233" s="123">
        <f>B230+1</f>
        <v>47</v>
      </c>
      <c r="C233" s="101" t="s">
        <v>82</v>
      </c>
      <c r="D233" s="123" t="s">
        <v>35</v>
      </c>
      <c r="E233" s="41">
        <f aca="true" t="shared" si="41" ref="E233:E243">SUM(F233:AH233)</f>
        <v>0</v>
      </c>
      <c r="F233" s="43">
        <v>0</v>
      </c>
      <c r="G233" s="57">
        <v>0</v>
      </c>
      <c r="H233" s="57">
        <v>0</v>
      </c>
      <c r="I233" s="57">
        <v>0</v>
      </c>
      <c r="J233" s="57">
        <v>0</v>
      </c>
      <c r="K233" s="43">
        <v>0</v>
      </c>
      <c r="L233" s="57">
        <v>0</v>
      </c>
      <c r="M233" s="57">
        <v>0</v>
      </c>
      <c r="N233" s="57">
        <v>0</v>
      </c>
      <c r="O233" s="57">
        <v>0</v>
      </c>
      <c r="P233" s="57">
        <v>0</v>
      </c>
      <c r="Q233" s="43">
        <v>0</v>
      </c>
      <c r="R233" s="57">
        <v>0</v>
      </c>
      <c r="S233" s="57">
        <v>0</v>
      </c>
      <c r="T233" s="57">
        <v>0</v>
      </c>
      <c r="U233" s="57">
        <v>0</v>
      </c>
      <c r="V233" s="57">
        <v>0</v>
      </c>
      <c r="W233" s="43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43">
        <v>0</v>
      </c>
      <c r="AD233" s="57">
        <v>0</v>
      </c>
      <c r="AE233" s="57">
        <v>0</v>
      </c>
      <c r="AF233" s="57">
        <v>0</v>
      </c>
      <c r="AG233" s="57">
        <v>0</v>
      </c>
      <c r="AH233" s="57">
        <v>0</v>
      </c>
      <c r="AI233" s="192"/>
    </row>
    <row r="234" spans="2:35" ht="15.75">
      <c r="B234" s="123">
        <f aca="true" t="shared" si="42" ref="B234:B244">B233+1</f>
        <v>48</v>
      </c>
      <c r="C234" s="101" t="s">
        <v>83</v>
      </c>
      <c r="D234" s="123" t="s">
        <v>35</v>
      </c>
      <c r="E234" s="41">
        <f t="shared" si="41"/>
        <v>0</v>
      </c>
      <c r="F234" s="43">
        <v>0</v>
      </c>
      <c r="G234" s="57">
        <v>0</v>
      </c>
      <c r="H234" s="57">
        <v>0</v>
      </c>
      <c r="I234" s="57">
        <v>0</v>
      </c>
      <c r="J234" s="57">
        <v>0</v>
      </c>
      <c r="K234" s="43">
        <v>0</v>
      </c>
      <c r="L234" s="57">
        <v>0</v>
      </c>
      <c r="M234" s="57">
        <v>0</v>
      </c>
      <c r="N234" s="57">
        <v>0</v>
      </c>
      <c r="O234" s="57">
        <v>0</v>
      </c>
      <c r="P234" s="57">
        <v>0</v>
      </c>
      <c r="Q234" s="43">
        <v>0</v>
      </c>
      <c r="R234" s="57">
        <v>0</v>
      </c>
      <c r="S234" s="57">
        <v>0</v>
      </c>
      <c r="T234" s="57">
        <v>0</v>
      </c>
      <c r="U234" s="57">
        <v>0</v>
      </c>
      <c r="V234" s="57">
        <v>0</v>
      </c>
      <c r="W234" s="43">
        <v>0</v>
      </c>
      <c r="X234" s="57">
        <v>0</v>
      </c>
      <c r="Y234" s="57">
        <v>0</v>
      </c>
      <c r="Z234" s="57">
        <v>0</v>
      </c>
      <c r="AA234" s="57">
        <v>0</v>
      </c>
      <c r="AB234" s="57">
        <v>0</v>
      </c>
      <c r="AC234" s="43">
        <v>0</v>
      </c>
      <c r="AD234" s="57">
        <v>0</v>
      </c>
      <c r="AE234" s="57">
        <v>0</v>
      </c>
      <c r="AF234" s="57">
        <v>0</v>
      </c>
      <c r="AG234" s="57">
        <v>0</v>
      </c>
      <c r="AH234" s="57">
        <v>0</v>
      </c>
      <c r="AI234" s="192"/>
    </row>
    <row r="235" spans="2:35" ht="15.75">
      <c r="B235" s="123">
        <f t="shared" si="42"/>
        <v>49</v>
      </c>
      <c r="C235" s="101" t="s">
        <v>84</v>
      </c>
      <c r="D235" s="123" t="s">
        <v>35</v>
      </c>
      <c r="E235" s="41">
        <f t="shared" si="41"/>
        <v>0</v>
      </c>
      <c r="F235" s="43">
        <v>0</v>
      </c>
      <c r="G235" s="57">
        <v>0</v>
      </c>
      <c r="H235" s="57">
        <v>0</v>
      </c>
      <c r="I235" s="57">
        <v>0</v>
      </c>
      <c r="J235" s="57">
        <v>0</v>
      </c>
      <c r="K235" s="43">
        <v>0</v>
      </c>
      <c r="L235" s="57">
        <v>0</v>
      </c>
      <c r="M235" s="57">
        <v>0</v>
      </c>
      <c r="N235" s="57">
        <v>0</v>
      </c>
      <c r="O235" s="57">
        <v>0</v>
      </c>
      <c r="P235" s="57">
        <v>0</v>
      </c>
      <c r="Q235" s="43">
        <v>0</v>
      </c>
      <c r="R235" s="57">
        <v>0</v>
      </c>
      <c r="S235" s="57">
        <v>0</v>
      </c>
      <c r="T235" s="57">
        <v>0</v>
      </c>
      <c r="U235" s="57">
        <v>0</v>
      </c>
      <c r="V235" s="57">
        <v>0</v>
      </c>
      <c r="W235" s="43">
        <v>0</v>
      </c>
      <c r="X235" s="57">
        <v>0</v>
      </c>
      <c r="Y235" s="57">
        <v>0</v>
      </c>
      <c r="Z235" s="57">
        <v>0</v>
      </c>
      <c r="AA235" s="57">
        <v>0</v>
      </c>
      <c r="AB235" s="57">
        <v>0</v>
      </c>
      <c r="AC235" s="43">
        <v>0</v>
      </c>
      <c r="AD235" s="57">
        <v>0</v>
      </c>
      <c r="AE235" s="57">
        <v>0</v>
      </c>
      <c r="AF235" s="57">
        <v>0</v>
      </c>
      <c r="AG235" s="57">
        <v>0</v>
      </c>
      <c r="AH235" s="57">
        <v>0</v>
      </c>
      <c r="AI235" s="192"/>
    </row>
    <row r="236" spans="2:35" ht="15.75">
      <c r="B236" s="123">
        <f t="shared" si="42"/>
        <v>50</v>
      </c>
      <c r="C236" s="101" t="s">
        <v>85</v>
      </c>
      <c r="D236" s="123" t="s">
        <v>35</v>
      </c>
      <c r="E236" s="41">
        <f t="shared" si="41"/>
        <v>0</v>
      </c>
      <c r="F236" s="43">
        <v>0</v>
      </c>
      <c r="G236" s="57">
        <v>0</v>
      </c>
      <c r="H236" s="57">
        <v>0</v>
      </c>
      <c r="I236" s="57">
        <v>0</v>
      </c>
      <c r="J236" s="57">
        <v>0</v>
      </c>
      <c r="K236" s="43">
        <v>0</v>
      </c>
      <c r="L236" s="57">
        <v>0</v>
      </c>
      <c r="M236" s="57">
        <v>0</v>
      </c>
      <c r="N236" s="57">
        <v>0</v>
      </c>
      <c r="O236" s="57">
        <v>0</v>
      </c>
      <c r="P236" s="57">
        <v>0</v>
      </c>
      <c r="Q236" s="43">
        <v>0</v>
      </c>
      <c r="R236" s="57">
        <v>0</v>
      </c>
      <c r="S236" s="57">
        <v>0</v>
      </c>
      <c r="T236" s="57">
        <v>0</v>
      </c>
      <c r="U236" s="57">
        <v>0</v>
      </c>
      <c r="V236" s="57">
        <v>0</v>
      </c>
      <c r="W236" s="43">
        <v>0</v>
      </c>
      <c r="X236" s="57">
        <v>0</v>
      </c>
      <c r="Y236" s="57">
        <v>0</v>
      </c>
      <c r="Z236" s="57">
        <v>0</v>
      </c>
      <c r="AA236" s="57">
        <v>0</v>
      </c>
      <c r="AB236" s="57">
        <v>0</v>
      </c>
      <c r="AC236" s="43">
        <v>0</v>
      </c>
      <c r="AD236" s="57">
        <v>0</v>
      </c>
      <c r="AE236" s="57">
        <v>0</v>
      </c>
      <c r="AF236" s="57">
        <v>0</v>
      </c>
      <c r="AG236" s="57">
        <v>0</v>
      </c>
      <c r="AH236" s="57">
        <v>0</v>
      </c>
      <c r="AI236" s="192"/>
    </row>
    <row r="237" spans="2:35" ht="15.75">
      <c r="B237" s="123">
        <f t="shared" si="42"/>
        <v>51</v>
      </c>
      <c r="C237" s="101" t="s">
        <v>86</v>
      </c>
      <c r="D237" s="123" t="s">
        <v>35</v>
      </c>
      <c r="E237" s="41">
        <f t="shared" si="41"/>
        <v>0</v>
      </c>
      <c r="F237" s="43">
        <v>0</v>
      </c>
      <c r="G237" s="57">
        <v>0</v>
      </c>
      <c r="H237" s="57">
        <v>0</v>
      </c>
      <c r="I237" s="57">
        <v>0</v>
      </c>
      <c r="J237" s="57">
        <v>0</v>
      </c>
      <c r="K237" s="43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0</v>
      </c>
      <c r="Q237" s="43">
        <v>0</v>
      </c>
      <c r="R237" s="57">
        <v>0</v>
      </c>
      <c r="S237" s="57">
        <v>0</v>
      </c>
      <c r="T237" s="57">
        <v>0</v>
      </c>
      <c r="U237" s="57">
        <v>0</v>
      </c>
      <c r="V237" s="57">
        <v>0</v>
      </c>
      <c r="W237" s="43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0</v>
      </c>
      <c r="AC237" s="43">
        <v>0</v>
      </c>
      <c r="AD237" s="57">
        <v>0</v>
      </c>
      <c r="AE237" s="57">
        <v>0</v>
      </c>
      <c r="AF237" s="57">
        <v>0</v>
      </c>
      <c r="AG237" s="57">
        <v>0</v>
      </c>
      <c r="AH237" s="57">
        <v>0</v>
      </c>
      <c r="AI237" s="192"/>
    </row>
    <row r="238" spans="2:35" ht="15.75">
      <c r="B238" s="123">
        <f t="shared" si="42"/>
        <v>52</v>
      </c>
      <c r="C238" s="101" t="s">
        <v>87</v>
      </c>
      <c r="D238" s="123" t="s">
        <v>35</v>
      </c>
      <c r="E238" s="41">
        <f t="shared" si="41"/>
        <v>0</v>
      </c>
      <c r="F238" s="43">
        <v>0</v>
      </c>
      <c r="G238" s="57">
        <v>0</v>
      </c>
      <c r="H238" s="57">
        <v>0</v>
      </c>
      <c r="I238" s="57">
        <v>0</v>
      </c>
      <c r="J238" s="57">
        <v>0</v>
      </c>
      <c r="K238" s="43">
        <v>0</v>
      </c>
      <c r="L238" s="57">
        <v>0</v>
      </c>
      <c r="M238" s="57">
        <v>0</v>
      </c>
      <c r="N238" s="57">
        <v>0</v>
      </c>
      <c r="O238" s="57">
        <v>0</v>
      </c>
      <c r="P238" s="57">
        <v>0</v>
      </c>
      <c r="Q238" s="43">
        <v>0</v>
      </c>
      <c r="R238" s="57">
        <v>0</v>
      </c>
      <c r="S238" s="57">
        <v>0</v>
      </c>
      <c r="T238" s="57">
        <v>0</v>
      </c>
      <c r="U238" s="57">
        <v>0</v>
      </c>
      <c r="V238" s="57">
        <v>0</v>
      </c>
      <c r="W238" s="43">
        <v>0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43">
        <v>0</v>
      </c>
      <c r="AD238" s="57">
        <v>0</v>
      </c>
      <c r="AE238" s="57">
        <v>0</v>
      </c>
      <c r="AF238" s="57">
        <v>0</v>
      </c>
      <c r="AG238" s="57">
        <v>0</v>
      </c>
      <c r="AH238" s="57">
        <v>0</v>
      </c>
      <c r="AI238" s="192"/>
    </row>
    <row r="239" spans="2:35" ht="15.75">
      <c r="B239" s="123">
        <f t="shared" si="42"/>
        <v>53</v>
      </c>
      <c r="C239" s="101" t="s">
        <v>88</v>
      </c>
      <c r="D239" s="123" t="s">
        <v>35</v>
      </c>
      <c r="E239" s="41">
        <f t="shared" si="41"/>
        <v>0</v>
      </c>
      <c r="F239" s="43">
        <v>0</v>
      </c>
      <c r="G239" s="57">
        <v>0</v>
      </c>
      <c r="H239" s="57">
        <v>0</v>
      </c>
      <c r="I239" s="57">
        <v>0</v>
      </c>
      <c r="J239" s="57">
        <v>0</v>
      </c>
      <c r="K239" s="43">
        <v>0</v>
      </c>
      <c r="L239" s="57">
        <v>0</v>
      </c>
      <c r="M239" s="57">
        <v>0</v>
      </c>
      <c r="N239" s="57">
        <v>0</v>
      </c>
      <c r="O239" s="57">
        <v>0</v>
      </c>
      <c r="P239" s="57">
        <v>0</v>
      </c>
      <c r="Q239" s="43">
        <v>0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43">
        <v>0</v>
      </c>
      <c r="X239" s="57">
        <v>0</v>
      </c>
      <c r="Y239" s="57">
        <v>0</v>
      </c>
      <c r="Z239" s="57">
        <v>0</v>
      </c>
      <c r="AA239" s="57">
        <v>0</v>
      </c>
      <c r="AB239" s="57">
        <v>0</v>
      </c>
      <c r="AC239" s="43">
        <v>0</v>
      </c>
      <c r="AD239" s="57">
        <v>0</v>
      </c>
      <c r="AE239" s="57">
        <v>0</v>
      </c>
      <c r="AF239" s="57">
        <v>0</v>
      </c>
      <c r="AG239" s="57">
        <v>0</v>
      </c>
      <c r="AH239" s="57">
        <v>0</v>
      </c>
      <c r="AI239" s="192"/>
    </row>
    <row r="240" spans="2:35" ht="15.75">
      <c r="B240" s="123">
        <f t="shared" si="42"/>
        <v>54</v>
      </c>
      <c r="C240" s="101" t="s">
        <v>89</v>
      </c>
      <c r="D240" s="123" t="s">
        <v>35</v>
      </c>
      <c r="E240" s="41">
        <f t="shared" si="41"/>
        <v>0</v>
      </c>
      <c r="F240" s="43">
        <v>0</v>
      </c>
      <c r="G240" s="57">
        <v>0</v>
      </c>
      <c r="H240" s="57">
        <v>0</v>
      </c>
      <c r="I240" s="57">
        <v>0</v>
      </c>
      <c r="J240" s="57">
        <v>0</v>
      </c>
      <c r="K240" s="43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0</v>
      </c>
      <c r="Q240" s="43">
        <v>0</v>
      </c>
      <c r="R240" s="57">
        <v>0</v>
      </c>
      <c r="S240" s="57">
        <v>0</v>
      </c>
      <c r="T240" s="57">
        <v>0</v>
      </c>
      <c r="U240" s="57">
        <v>0</v>
      </c>
      <c r="V240" s="57">
        <v>0</v>
      </c>
      <c r="W240" s="43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43">
        <v>0</v>
      </c>
      <c r="AD240" s="57">
        <v>0</v>
      </c>
      <c r="AE240" s="57">
        <v>0</v>
      </c>
      <c r="AF240" s="57">
        <v>0</v>
      </c>
      <c r="AG240" s="57">
        <v>0</v>
      </c>
      <c r="AH240" s="57">
        <v>0</v>
      </c>
      <c r="AI240" s="192"/>
    </row>
    <row r="241" spans="2:35" ht="15.75">
      <c r="B241" s="123">
        <f t="shared" si="42"/>
        <v>55</v>
      </c>
      <c r="C241" s="101" t="s">
        <v>38</v>
      </c>
      <c r="D241" s="123" t="s">
        <v>35</v>
      </c>
      <c r="E241" s="41">
        <f t="shared" si="41"/>
        <v>0</v>
      </c>
      <c r="F241" s="43">
        <v>0</v>
      </c>
      <c r="G241" s="57">
        <v>0</v>
      </c>
      <c r="H241" s="57">
        <v>0</v>
      </c>
      <c r="I241" s="57">
        <v>0</v>
      </c>
      <c r="J241" s="57">
        <v>0</v>
      </c>
      <c r="K241" s="43">
        <v>0</v>
      </c>
      <c r="L241" s="57">
        <v>0</v>
      </c>
      <c r="M241" s="57">
        <v>0</v>
      </c>
      <c r="N241" s="57">
        <v>0</v>
      </c>
      <c r="O241" s="57">
        <v>0</v>
      </c>
      <c r="P241" s="57">
        <v>0</v>
      </c>
      <c r="Q241" s="43">
        <v>0</v>
      </c>
      <c r="R241" s="57">
        <v>0</v>
      </c>
      <c r="S241" s="57">
        <v>0</v>
      </c>
      <c r="T241" s="57">
        <v>0</v>
      </c>
      <c r="U241" s="57">
        <v>0</v>
      </c>
      <c r="V241" s="57">
        <v>0</v>
      </c>
      <c r="W241" s="43">
        <v>0</v>
      </c>
      <c r="X241" s="57">
        <v>0</v>
      </c>
      <c r="Y241" s="57">
        <v>0</v>
      </c>
      <c r="Z241" s="57">
        <v>0</v>
      </c>
      <c r="AA241" s="57">
        <v>0</v>
      </c>
      <c r="AB241" s="57">
        <v>0</v>
      </c>
      <c r="AC241" s="43">
        <v>0</v>
      </c>
      <c r="AD241" s="57">
        <v>0</v>
      </c>
      <c r="AE241" s="57">
        <v>0</v>
      </c>
      <c r="AF241" s="57">
        <v>0</v>
      </c>
      <c r="AG241" s="57">
        <v>0</v>
      </c>
      <c r="AH241" s="57">
        <v>0</v>
      </c>
      <c r="AI241" s="192"/>
    </row>
    <row r="242" spans="2:35" ht="15.75">
      <c r="B242" s="123">
        <f t="shared" si="42"/>
        <v>56</v>
      </c>
      <c r="C242" s="101" t="s">
        <v>40</v>
      </c>
      <c r="D242" s="123" t="s">
        <v>35</v>
      </c>
      <c r="E242" s="41">
        <f t="shared" si="41"/>
        <v>0</v>
      </c>
      <c r="F242" s="43">
        <v>0</v>
      </c>
      <c r="G242" s="57">
        <v>0</v>
      </c>
      <c r="H242" s="57">
        <v>0</v>
      </c>
      <c r="I242" s="57">
        <v>0</v>
      </c>
      <c r="J242" s="57">
        <v>0</v>
      </c>
      <c r="K242" s="43">
        <v>0</v>
      </c>
      <c r="L242" s="57">
        <v>0</v>
      </c>
      <c r="M242" s="57">
        <v>0</v>
      </c>
      <c r="N242" s="57">
        <v>0</v>
      </c>
      <c r="O242" s="57">
        <v>0</v>
      </c>
      <c r="P242" s="57">
        <v>0</v>
      </c>
      <c r="Q242" s="43">
        <v>0</v>
      </c>
      <c r="R242" s="57">
        <v>0</v>
      </c>
      <c r="S242" s="57">
        <v>0</v>
      </c>
      <c r="T242" s="57">
        <v>0</v>
      </c>
      <c r="U242" s="57">
        <v>0</v>
      </c>
      <c r="V242" s="57">
        <v>0</v>
      </c>
      <c r="W242" s="43">
        <v>0</v>
      </c>
      <c r="X242" s="57">
        <v>0</v>
      </c>
      <c r="Y242" s="57">
        <v>0</v>
      </c>
      <c r="Z242" s="57">
        <v>0</v>
      </c>
      <c r="AA242" s="57">
        <v>0</v>
      </c>
      <c r="AB242" s="57">
        <v>0</v>
      </c>
      <c r="AC242" s="43">
        <v>0</v>
      </c>
      <c r="AD242" s="57">
        <v>0</v>
      </c>
      <c r="AE242" s="57">
        <v>0</v>
      </c>
      <c r="AF242" s="57">
        <v>0</v>
      </c>
      <c r="AG242" s="57">
        <v>0</v>
      </c>
      <c r="AH242" s="57">
        <v>0</v>
      </c>
      <c r="AI242" s="192"/>
    </row>
    <row r="243" spans="2:35" ht="15.75">
      <c r="B243" s="123">
        <f t="shared" si="42"/>
        <v>57</v>
      </c>
      <c r="C243" s="101" t="s">
        <v>90</v>
      </c>
      <c r="D243" s="123" t="s">
        <v>35</v>
      </c>
      <c r="E243" s="41">
        <f t="shared" si="41"/>
        <v>0</v>
      </c>
      <c r="F243" s="43">
        <v>0</v>
      </c>
      <c r="G243" s="57">
        <v>0</v>
      </c>
      <c r="H243" s="57">
        <v>0</v>
      </c>
      <c r="I243" s="57">
        <v>0</v>
      </c>
      <c r="J243" s="57">
        <v>0</v>
      </c>
      <c r="K243" s="43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43">
        <v>0</v>
      </c>
      <c r="R243" s="57">
        <v>0</v>
      </c>
      <c r="S243" s="57">
        <v>0</v>
      </c>
      <c r="T243" s="57">
        <v>0</v>
      </c>
      <c r="U243" s="57">
        <v>0</v>
      </c>
      <c r="V243" s="57">
        <v>0</v>
      </c>
      <c r="W243" s="43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43">
        <v>0</v>
      </c>
      <c r="AD243" s="57">
        <v>0</v>
      </c>
      <c r="AE243" s="57">
        <v>0</v>
      </c>
      <c r="AF243" s="57">
        <v>0</v>
      </c>
      <c r="AG243" s="57">
        <v>0</v>
      </c>
      <c r="AH243" s="57">
        <v>0</v>
      </c>
      <c r="AI243" s="192"/>
    </row>
    <row r="244" spans="2:35" ht="15.75">
      <c r="B244" s="123">
        <f t="shared" si="42"/>
        <v>58</v>
      </c>
      <c r="C244" s="92" t="s">
        <v>91</v>
      </c>
      <c r="D244" s="123" t="str">
        <f>"+Ln "&amp;FIXED(+B233,0,TRUE)&amp;" thru "&amp;FIXED(+B243,0,TRUE)</f>
        <v>+Ln 47 thru 57</v>
      </c>
      <c r="E244" s="16">
        <f aca="true" t="shared" si="43" ref="E244:O244">SUM(E233:E243)</f>
        <v>0</v>
      </c>
      <c r="F244" s="16">
        <f t="shared" si="43"/>
        <v>0</v>
      </c>
      <c r="G244" s="10">
        <f t="shared" si="43"/>
        <v>0</v>
      </c>
      <c r="H244" s="10">
        <f t="shared" si="43"/>
        <v>0</v>
      </c>
      <c r="I244" s="10">
        <f t="shared" si="43"/>
        <v>0</v>
      </c>
      <c r="J244" s="10">
        <f t="shared" si="43"/>
        <v>0</v>
      </c>
      <c r="K244" s="16">
        <f t="shared" si="43"/>
        <v>0</v>
      </c>
      <c r="L244" s="10">
        <f t="shared" si="43"/>
        <v>0</v>
      </c>
      <c r="M244" s="10">
        <f t="shared" si="43"/>
        <v>0</v>
      </c>
      <c r="N244" s="10">
        <f t="shared" si="43"/>
        <v>0</v>
      </c>
      <c r="O244" s="10">
        <f t="shared" si="43"/>
        <v>0</v>
      </c>
      <c r="P244" s="10">
        <f>SUM(P205:P243)</f>
        <v>0</v>
      </c>
      <c r="Q244" s="16">
        <f>SUM(Q233:Q243)</f>
        <v>0</v>
      </c>
      <c r="R244" s="10">
        <f>SUM(R233:R243)</f>
        <v>0</v>
      </c>
      <c r="S244" s="10">
        <f>SUM(S233:S243)</f>
        <v>0</v>
      </c>
      <c r="T244" s="10">
        <f>SUM(T233:T243)</f>
        <v>0</v>
      </c>
      <c r="U244" s="10">
        <f>SUM(U233:U243)</f>
        <v>0</v>
      </c>
      <c r="V244" s="10">
        <f>SUM(V205:V243)</f>
        <v>0</v>
      </c>
      <c r="W244" s="16">
        <f>SUM(W233:W243)</f>
        <v>0</v>
      </c>
      <c r="X244" s="10">
        <f>SUM(X233:X243)</f>
        <v>0</v>
      </c>
      <c r="Y244" s="10">
        <f>SUM(Y233:Y243)</f>
        <v>0</v>
      </c>
      <c r="Z244" s="10">
        <f>SUM(Z233:Z243)</f>
        <v>0</v>
      </c>
      <c r="AA244" s="10">
        <f>SUM(AA233:AA243)</f>
        <v>0</v>
      </c>
      <c r="AB244" s="10">
        <f>SUM(AB205:AB243)</f>
        <v>0</v>
      </c>
      <c r="AC244" s="16">
        <f>SUM(AC233:AC243)</f>
        <v>0</v>
      </c>
      <c r="AD244" s="10">
        <f>SUM(AD233:AD243)</f>
        <v>0</v>
      </c>
      <c r="AE244" s="10">
        <f>SUM(AE233:AE243)</f>
        <v>0</v>
      </c>
      <c r="AF244" s="10">
        <f>SUM(AF233:AF243)</f>
        <v>0</v>
      </c>
      <c r="AG244" s="10">
        <f>SUM(AG233:AG243)</f>
        <v>0</v>
      </c>
      <c r="AH244" s="10">
        <f>SUM(AH205:AH243)</f>
        <v>0</v>
      </c>
      <c r="AI244" s="192"/>
    </row>
    <row r="245" spans="2:35" ht="15.75">
      <c r="B245" s="123"/>
      <c r="C245" s="92"/>
      <c r="D245" s="123"/>
      <c r="E245" s="16"/>
      <c r="F245" s="16"/>
      <c r="G245" s="10"/>
      <c r="H245" s="10"/>
      <c r="I245" s="10"/>
      <c r="J245" s="10"/>
      <c r="K245" s="16"/>
      <c r="L245" s="10"/>
      <c r="M245" s="10"/>
      <c r="N245" s="10"/>
      <c r="O245" s="10"/>
      <c r="P245" s="10"/>
      <c r="Q245" s="16"/>
      <c r="R245" s="10"/>
      <c r="S245" s="10"/>
      <c r="T245" s="10"/>
      <c r="U245" s="10"/>
      <c r="V245" s="10"/>
      <c r="W245" s="16"/>
      <c r="X245" s="10"/>
      <c r="Y245" s="10"/>
      <c r="Z245" s="10"/>
      <c r="AA245" s="10"/>
      <c r="AB245" s="10"/>
      <c r="AC245" s="16"/>
      <c r="AD245" s="10"/>
      <c r="AE245" s="10"/>
      <c r="AF245" s="10"/>
      <c r="AG245" s="10"/>
      <c r="AH245" s="10"/>
      <c r="AI245" s="192"/>
    </row>
    <row r="246" spans="2:35" ht="15.75">
      <c r="B246" s="123">
        <f>B244+1</f>
        <v>59</v>
      </c>
      <c r="C246" s="92" t="s">
        <v>92</v>
      </c>
      <c r="D246" s="123" t="str">
        <f>"Ln "&amp;FIXED(+B230,0,TRUE)&amp;" + "&amp;FIXED(+B244,0,TRUE)</f>
        <v>Ln 46 + 58</v>
      </c>
      <c r="E246" s="16">
        <f aca="true" t="shared" si="44" ref="E246:AH246">E230+E244</f>
        <v>-56346</v>
      </c>
      <c r="F246" s="16">
        <f t="shared" si="44"/>
        <v>-14683</v>
      </c>
      <c r="G246" s="10">
        <f t="shared" si="44"/>
        <v>-17934</v>
      </c>
      <c r="H246" s="10">
        <f t="shared" si="44"/>
        <v>-11168</v>
      </c>
      <c r="I246" s="10">
        <f t="shared" si="44"/>
        <v>-12561</v>
      </c>
      <c r="J246" s="10">
        <f t="shared" si="44"/>
        <v>0</v>
      </c>
      <c r="K246" s="16">
        <f t="shared" si="44"/>
        <v>0</v>
      </c>
      <c r="L246" s="10">
        <f t="shared" si="44"/>
        <v>0</v>
      </c>
      <c r="M246" s="10">
        <f t="shared" si="44"/>
        <v>0</v>
      </c>
      <c r="N246" s="10">
        <f t="shared" si="44"/>
        <v>0</v>
      </c>
      <c r="O246" s="10">
        <f t="shared" si="44"/>
        <v>0</v>
      </c>
      <c r="P246" s="10">
        <f t="shared" si="44"/>
        <v>0</v>
      </c>
      <c r="Q246" s="16">
        <f t="shared" si="44"/>
        <v>0</v>
      </c>
      <c r="R246" s="10">
        <f t="shared" si="44"/>
        <v>0</v>
      </c>
      <c r="S246" s="10">
        <f t="shared" si="44"/>
        <v>0</v>
      </c>
      <c r="T246" s="10">
        <f t="shared" si="44"/>
        <v>0</v>
      </c>
      <c r="U246" s="10">
        <f t="shared" si="44"/>
        <v>0</v>
      </c>
      <c r="V246" s="10">
        <f t="shared" si="44"/>
        <v>0</v>
      </c>
      <c r="W246" s="16">
        <f t="shared" si="44"/>
        <v>0</v>
      </c>
      <c r="X246" s="10">
        <f t="shared" si="44"/>
        <v>0</v>
      </c>
      <c r="Y246" s="10">
        <f t="shared" si="44"/>
        <v>0</v>
      </c>
      <c r="Z246" s="10">
        <f t="shared" si="44"/>
        <v>0</v>
      </c>
      <c r="AA246" s="10">
        <f t="shared" si="44"/>
        <v>0</v>
      </c>
      <c r="AB246" s="10">
        <f t="shared" si="44"/>
        <v>0</v>
      </c>
      <c r="AC246" s="16">
        <f t="shared" si="44"/>
        <v>0</v>
      </c>
      <c r="AD246" s="10">
        <f t="shared" si="44"/>
        <v>0</v>
      </c>
      <c r="AE246" s="10">
        <f t="shared" si="44"/>
        <v>0</v>
      </c>
      <c r="AF246" s="10">
        <f t="shared" si="44"/>
        <v>0</v>
      </c>
      <c r="AG246" s="10">
        <f t="shared" si="44"/>
        <v>0</v>
      </c>
      <c r="AH246" s="10">
        <f t="shared" si="44"/>
        <v>0</v>
      </c>
      <c r="AI246" s="192"/>
    </row>
    <row r="247" spans="2:35" ht="15.75">
      <c r="B247" s="123"/>
      <c r="C247" s="92"/>
      <c r="D247" s="123"/>
      <c r="E247" s="41"/>
      <c r="F247" s="43"/>
      <c r="G247" s="57"/>
      <c r="H247" s="57"/>
      <c r="I247" s="57"/>
      <c r="J247" s="57"/>
      <c r="K247" s="43"/>
      <c r="L247" s="57"/>
      <c r="M247" s="57"/>
      <c r="N247" s="57"/>
      <c r="O247" s="57"/>
      <c r="P247" s="57"/>
      <c r="Q247" s="43"/>
      <c r="R247" s="57"/>
      <c r="S247" s="57"/>
      <c r="T247" s="57"/>
      <c r="U247" s="57"/>
      <c r="V247" s="57"/>
      <c r="W247" s="43"/>
      <c r="X247" s="57"/>
      <c r="Y247" s="57"/>
      <c r="Z247" s="57"/>
      <c r="AA247" s="57"/>
      <c r="AB247" s="57"/>
      <c r="AC247" s="43"/>
      <c r="AD247" s="57"/>
      <c r="AE247" s="57"/>
      <c r="AF247" s="57"/>
      <c r="AG247" s="57"/>
      <c r="AH247" s="57"/>
      <c r="AI247" s="192"/>
    </row>
    <row r="248" spans="2:35" ht="15.75">
      <c r="B248" s="114"/>
      <c r="C248" s="101"/>
      <c r="D248" s="43"/>
      <c r="E248" s="51"/>
      <c r="F248" s="51"/>
      <c r="G248" s="55"/>
      <c r="H248" s="55"/>
      <c r="I248" s="55"/>
      <c r="J248" s="55"/>
      <c r="K248" s="51"/>
      <c r="L248" s="55"/>
      <c r="M248" s="55"/>
      <c r="N248" s="55"/>
      <c r="O248" s="55"/>
      <c r="P248" s="55"/>
      <c r="Q248" s="51"/>
      <c r="R248" s="55"/>
      <c r="S248" s="55"/>
      <c r="T248" s="55"/>
      <c r="U248" s="55"/>
      <c r="V248" s="55"/>
      <c r="W248" s="51"/>
      <c r="X248" s="55"/>
      <c r="Y248" s="55"/>
      <c r="Z248" s="55"/>
      <c r="AA248" s="55"/>
      <c r="AB248" s="55"/>
      <c r="AC248" s="51"/>
      <c r="AD248" s="55"/>
      <c r="AE248" s="55"/>
      <c r="AF248" s="55"/>
      <c r="AG248" s="55"/>
      <c r="AH248" s="55"/>
      <c r="AI248" s="192"/>
    </row>
    <row r="249" spans="2:34" ht="15.75"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</row>
    <row r="253" ht="15.75">
      <c r="B253" t="s">
        <v>210</v>
      </c>
    </row>
    <row r="254" spans="2:9" ht="15.75">
      <c r="B254" s="94" t="s">
        <v>211</v>
      </c>
      <c r="C254" s="22"/>
      <c r="D254" s="22"/>
      <c r="E254" s="22"/>
      <c r="F254" s="22"/>
      <c r="G254" s="90" t="s">
        <v>212</v>
      </c>
      <c r="H254" s="23"/>
      <c r="I254" s="192"/>
    </row>
    <row r="255" spans="1:9" ht="15.75">
      <c r="A255" t="s">
        <v>213</v>
      </c>
      <c r="B255" s="91" t="s">
        <v>214</v>
      </c>
      <c r="E255" s="59"/>
      <c r="G255" s="152" t="s">
        <v>215</v>
      </c>
      <c r="H255" s="56"/>
      <c r="I255" s="192"/>
    </row>
    <row r="256" spans="2:9" ht="15.75">
      <c r="B256" s="91" t="s">
        <v>216</v>
      </c>
      <c r="G256" s="152" t="s">
        <v>217</v>
      </c>
      <c r="H256" s="56"/>
      <c r="I256" s="192"/>
    </row>
    <row r="257" spans="2:9" ht="15.75">
      <c r="B257" s="91" t="s">
        <v>210</v>
      </c>
      <c r="G257" s="152"/>
      <c r="H257" s="56"/>
      <c r="I257" s="192"/>
    </row>
    <row r="258" spans="2:9" ht="15.75">
      <c r="B258" s="92" t="str">
        <f>$B$6</f>
        <v>PER DECISION</v>
      </c>
      <c r="G258" s="152"/>
      <c r="H258" s="56"/>
      <c r="I258" s="192"/>
    </row>
    <row r="259" spans="2:9" ht="15.75">
      <c r="B259" s="92"/>
      <c r="G259" s="152"/>
      <c r="H259" s="56"/>
      <c r="I259" s="192"/>
    </row>
    <row r="260" spans="2:9" ht="15.75">
      <c r="B260" s="92"/>
      <c r="C260" s="76"/>
      <c r="D260" s="76"/>
      <c r="E260" s="147" t="s">
        <v>218</v>
      </c>
      <c r="F260" s="76"/>
      <c r="G260" s="116"/>
      <c r="H260" s="56"/>
      <c r="I260" s="192"/>
    </row>
    <row r="261" spans="2:9" ht="15.75">
      <c r="B261" s="13" t="s">
        <v>219</v>
      </c>
      <c r="C261" s="61" t="s">
        <v>16</v>
      </c>
      <c r="D261" s="76"/>
      <c r="E261" s="147" t="s">
        <v>220</v>
      </c>
      <c r="F261" s="152" t="s">
        <v>221</v>
      </c>
      <c r="G261" s="118"/>
      <c r="H261" s="126"/>
      <c r="I261" s="192"/>
    </row>
    <row r="262" spans="2:9" ht="15.75">
      <c r="B262" s="143"/>
      <c r="C262" s="140" t="s">
        <v>24</v>
      </c>
      <c r="D262" s="138"/>
      <c r="E262" s="140" t="s">
        <v>25</v>
      </c>
      <c r="F262" s="140" t="s">
        <v>26</v>
      </c>
      <c r="G262" s="121"/>
      <c r="H262" s="121"/>
      <c r="I262" s="192"/>
    </row>
    <row r="263" spans="2:9" ht="15.75">
      <c r="B263" s="43"/>
      <c r="C263" s="100"/>
      <c r="D263" s="57"/>
      <c r="E263" s="120"/>
      <c r="F263" s="120"/>
      <c r="G263" s="33"/>
      <c r="H263" s="33"/>
      <c r="I263" s="192"/>
    </row>
    <row r="264" spans="2:9" ht="15.75">
      <c r="B264" s="43">
        <v>1</v>
      </c>
      <c r="C264" s="100" t="s">
        <v>222</v>
      </c>
      <c r="D264" s="57"/>
      <c r="E264" s="120">
        <v>2000</v>
      </c>
      <c r="F264" s="120" t="s">
        <v>223</v>
      </c>
      <c r="G264" s="33"/>
      <c r="H264" s="33"/>
      <c r="I264" s="192"/>
    </row>
    <row r="265" spans="2:9" ht="15.75">
      <c r="B265" s="43"/>
      <c r="C265" s="100"/>
      <c r="D265" s="57"/>
      <c r="E265" s="120"/>
      <c r="F265" s="120"/>
      <c r="G265" s="33"/>
      <c r="H265" s="33"/>
      <c r="I265" s="192"/>
    </row>
    <row r="266" spans="2:9" ht="15.75">
      <c r="B266" s="43">
        <f>B264+1</f>
        <v>2</v>
      </c>
      <c r="C266" s="100" t="s">
        <v>224</v>
      </c>
      <c r="E266" s="29">
        <f>G310</f>
        <v>0.8302290000000001</v>
      </c>
      <c r="F266" s="32">
        <f>E266</f>
        <v>0.8302290000000001</v>
      </c>
      <c r="G266" s="30"/>
      <c r="H266" s="30"/>
      <c r="I266" s="192"/>
    </row>
    <row r="267" spans="2:9" ht="15.75">
      <c r="B267" s="43"/>
      <c r="C267" s="100"/>
      <c r="E267" s="28"/>
      <c r="F267" s="32"/>
      <c r="G267" s="30"/>
      <c r="H267" s="30"/>
      <c r="I267" s="192"/>
    </row>
    <row r="268" spans="2:9" ht="15.75">
      <c r="B268" s="43">
        <f>B266+1</f>
        <v>3</v>
      </c>
      <c r="C268" s="100" t="s">
        <v>225</v>
      </c>
      <c r="E268" s="24">
        <v>0</v>
      </c>
      <c r="F268" s="32">
        <f>E268</f>
        <v>0</v>
      </c>
      <c r="G268" s="30"/>
      <c r="H268" s="30"/>
      <c r="I268" s="192"/>
    </row>
    <row r="269" spans="2:9" ht="15.75">
      <c r="B269" s="43"/>
      <c r="C269" s="100"/>
      <c r="E269" s="24"/>
      <c r="F269" s="32"/>
      <c r="G269" s="30"/>
      <c r="H269" s="30"/>
      <c r="I269" s="192"/>
    </row>
    <row r="270" spans="2:10" ht="15.75">
      <c r="B270" s="43">
        <f>B268+1</f>
        <v>4</v>
      </c>
      <c r="C270" s="100" t="s">
        <v>226</v>
      </c>
      <c r="E270" s="24">
        <v>0.01926</v>
      </c>
      <c r="F270" s="32">
        <f>E270</f>
        <v>0.01926</v>
      </c>
      <c r="G270" s="33"/>
      <c r="H270" s="33"/>
      <c r="I270" s="192"/>
      <c r="J270" s="193"/>
    </row>
    <row r="271" spans="2:9" ht="15.75">
      <c r="B271" s="43"/>
      <c r="C271" s="100"/>
      <c r="E271" s="24"/>
      <c r="F271" s="32"/>
      <c r="G271" s="33"/>
      <c r="H271" s="33"/>
      <c r="I271" s="192"/>
    </row>
    <row r="272" spans="2:9" ht="15.75">
      <c r="B272" s="43">
        <f>B270+1</f>
        <v>5</v>
      </c>
      <c r="C272" s="100" t="s">
        <v>227</v>
      </c>
      <c r="E272" s="24">
        <v>0.004</v>
      </c>
      <c r="F272" s="32">
        <f>E272</f>
        <v>0.004</v>
      </c>
      <c r="G272" s="30"/>
      <c r="H272" s="30"/>
      <c r="I272" s="192"/>
    </row>
    <row r="273" spans="2:9" ht="15.75">
      <c r="B273" s="43"/>
      <c r="C273" s="100"/>
      <c r="E273" s="24"/>
      <c r="F273" s="32"/>
      <c r="G273" s="30"/>
      <c r="H273" s="30"/>
      <c r="I273" s="192"/>
    </row>
    <row r="274" spans="2:9" ht="15.75">
      <c r="B274" s="43">
        <f>B272+1</f>
        <v>6</v>
      </c>
      <c r="C274" s="100" t="s">
        <v>228</v>
      </c>
      <c r="E274" s="24">
        <v>0.15</v>
      </c>
      <c r="F274" s="32">
        <f>E274</f>
        <v>0.15</v>
      </c>
      <c r="G274" s="30"/>
      <c r="H274" s="30"/>
      <c r="I274" s="192"/>
    </row>
    <row r="275" spans="2:9" ht="15.75">
      <c r="B275" s="43"/>
      <c r="C275" s="100"/>
      <c r="E275" s="24"/>
      <c r="F275" s="32"/>
      <c r="G275" s="30"/>
      <c r="H275" s="30"/>
      <c r="I275" s="192"/>
    </row>
    <row r="276" spans="2:9" ht="15.75">
      <c r="B276" s="43">
        <f>B274+1</f>
        <v>7</v>
      </c>
      <c r="C276" s="100"/>
      <c r="E276" s="24">
        <v>0</v>
      </c>
      <c r="F276" s="32">
        <f>E276</f>
        <v>0</v>
      </c>
      <c r="G276" s="30"/>
      <c r="H276" s="30"/>
      <c r="I276" s="192"/>
    </row>
    <row r="277" spans="2:9" ht="15.75">
      <c r="B277" s="43"/>
      <c r="C277" s="100"/>
      <c r="E277" s="24"/>
      <c r="F277" s="32"/>
      <c r="G277" s="30"/>
      <c r="H277" s="30"/>
      <c r="I277" s="192"/>
    </row>
    <row r="278" spans="2:9" ht="15.75">
      <c r="B278" s="43">
        <v>9</v>
      </c>
      <c r="C278" s="100"/>
      <c r="E278" s="24">
        <v>0</v>
      </c>
      <c r="F278" s="32">
        <f>E278</f>
        <v>0</v>
      </c>
      <c r="G278" s="30"/>
      <c r="H278" s="30"/>
      <c r="I278" s="192"/>
    </row>
    <row r="279" spans="2:9" ht="15.75">
      <c r="B279" s="43"/>
      <c r="C279" s="100"/>
      <c r="E279" s="24"/>
      <c r="F279" s="32"/>
      <c r="G279" s="30"/>
      <c r="H279" s="30"/>
      <c r="I279" s="192"/>
    </row>
    <row r="280" spans="2:9" ht="15.75">
      <c r="B280" s="43">
        <v>10</v>
      </c>
      <c r="C280" s="100" t="s">
        <v>229</v>
      </c>
      <c r="E280" s="24">
        <v>0.93</v>
      </c>
      <c r="F280" s="32">
        <f>E280</f>
        <v>0.93</v>
      </c>
      <c r="G280" s="30"/>
      <c r="H280" s="30"/>
      <c r="I280" s="192"/>
    </row>
    <row r="281" spans="2:9" ht="15.75">
      <c r="B281" s="43"/>
      <c r="C281" s="100"/>
      <c r="E281" s="24"/>
      <c r="F281" s="32"/>
      <c r="G281" s="30"/>
      <c r="H281" s="30"/>
      <c r="I281" s="192"/>
    </row>
    <row r="282" spans="2:9" ht="15.75">
      <c r="B282" s="43"/>
      <c r="C282" s="100"/>
      <c r="E282" s="24"/>
      <c r="F282" s="32"/>
      <c r="G282" s="30"/>
      <c r="H282" s="30"/>
      <c r="I282" s="192"/>
    </row>
    <row r="283" spans="2:9" ht="15.75">
      <c r="B283" s="43"/>
      <c r="C283" s="100"/>
      <c r="E283" s="24"/>
      <c r="F283" s="32"/>
      <c r="G283" s="30"/>
      <c r="H283" s="30"/>
      <c r="I283" s="192"/>
    </row>
    <row r="284" spans="2:8" ht="15.75">
      <c r="B284" s="189"/>
      <c r="C284" s="189"/>
      <c r="D284" s="189"/>
      <c r="E284" s="189"/>
      <c r="F284" s="189"/>
      <c r="G284" s="189"/>
      <c r="H284" s="189"/>
    </row>
    <row r="286" spans="2:9" ht="15.75">
      <c r="B286" s="17" t="str">
        <f>B254</f>
        <v>BREMERTON-KITSAP AIRPORTER, INC. C-903</v>
      </c>
      <c r="C286" s="23"/>
      <c r="D286" s="23"/>
      <c r="E286" s="23"/>
      <c r="F286" s="23"/>
      <c r="G286" s="11" t="str">
        <f>G254</f>
        <v>Initial Order Decision</v>
      </c>
      <c r="H286" s="23"/>
      <c r="I286" s="192"/>
    </row>
    <row r="287" spans="1:9" ht="15.75">
      <c r="A287" s="81" t="s">
        <v>230</v>
      </c>
      <c r="B287" s="93" t="s">
        <v>231</v>
      </c>
      <c r="E287" s="60"/>
      <c r="G287" s="77" t="str">
        <f>G255</f>
        <v>Docket No. TC-001846</v>
      </c>
      <c r="H287" s="56"/>
      <c r="I287" s="192"/>
    </row>
    <row r="288" spans="2:9" ht="15.75">
      <c r="B288" s="14" t="str">
        <f>B256</f>
        <v>FOR THE 12 MONTHS ENDED SEPTEMBER 30, 2000</v>
      </c>
      <c r="G288" s="152" t="s">
        <v>217</v>
      </c>
      <c r="H288" s="56"/>
      <c r="I288" s="192"/>
    </row>
    <row r="289" spans="2:9" ht="15.75">
      <c r="B289" s="92" t="str">
        <f>$B$6</f>
        <v>PER DECISION</v>
      </c>
      <c r="H289" s="56"/>
      <c r="I289" s="192"/>
    </row>
    <row r="290" spans="2:9" ht="15.75">
      <c r="B290" s="44"/>
      <c r="F290" s="147" t="s">
        <v>232</v>
      </c>
      <c r="G290" s="77"/>
      <c r="H290" s="56"/>
      <c r="I290" s="192"/>
    </row>
    <row r="291" spans="2:9" ht="15.75">
      <c r="B291" s="44"/>
      <c r="F291" s="147" t="s">
        <v>233</v>
      </c>
      <c r="G291" s="147" t="s">
        <v>234</v>
      </c>
      <c r="H291" s="56"/>
      <c r="I291" s="192"/>
    </row>
    <row r="292" spans="2:9" ht="15.75">
      <c r="B292" s="142" t="s">
        <v>219</v>
      </c>
      <c r="C292" s="147" t="s">
        <v>235</v>
      </c>
      <c r="D292" s="77"/>
      <c r="E292" s="147" t="s">
        <v>236</v>
      </c>
      <c r="F292" s="147" t="s">
        <v>237</v>
      </c>
      <c r="G292" s="147" t="s">
        <v>238</v>
      </c>
      <c r="H292" s="19"/>
      <c r="I292" s="192"/>
    </row>
    <row r="293" spans="2:9" ht="15.75">
      <c r="B293" s="17"/>
      <c r="C293" s="144" t="s">
        <v>24</v>
      </c>
      <c r="D293" s="73"/>
      <c r="E293" s="141" t="s">
        <v>25</v>
      </c>
      <c r="F293" s="141" t="s">
        <v>26</v>
      </c>
      <c r="G293" s="141" t="s">
        <v>27</v>
      </c>
      <c r="H293" s="141"/>
      <c r="I293" s="192"/>
    </row>
    <row r="294" spans="2:9" ht="15.75">
      <c r="B294" s="44"/>
      <c r="C294" s="123"/>
      <c r="E294" s="190"/>
      <c r="F294" s="120"/>
      <c r="G294" s="120"/>
      <c r="H294" s="120"/>
      <c r="I294" s="192"/>
    </row>
    <row r="295" spans="2:9" ht="15.75">
      <c r="B295" s="44"/>
      <c r="C295" s="44"/>
      <c r="E295" s="190"/>
      <c r="F295" s="30"/>
      <c r="G295" s="30"/>
      <c r="H295" s="30"/>
      <c r="I295" s="192"/>
    </row>
    <row r="296" spans="2:9" ht="15.75">
      <c r="B296" s="42">
        <v>1</v>
      </c>
      <c r="C296" s="92" t="s">
        <v>239</v>
      </c>
      <c r="E296" s="112" t="s">
        <v>240</v>
      </c>
      <c r="F296" s="33"/>
      <c r="G296" s="27">
        <v>1</v>
      </c>
      <c r="H296" s="30"/>
      <c r="I296" s="192"/>
    </row>
    <row r="297" spans="2:9" ht="15.75">
      <c r="B297" s="42"/>
      <c r="C297" s="101"/>
      <c r="E297" s="190"/>
      <c r="F297" s="33"/>
      <c r="G297" s="27"/>
      <c r="H297" s="30"/>
      <c r="I297" s="192"/>
    </row>
    <row r="298" spans="2:9" ht="15.75">
      <c r="B298" s="44"/>
      <c r="C298" s="92" t="s">
        <v>241</v>
      </c>
      <c r="E298" s="190"/>
      <c r="F298" s="30"/>
      <c r="G298" s="30"/>
      <c r="H298" s="30"/>
      <c r="I298" s="192"/>
    </row>
    <row r="299" spans="2:9" ht="15.75">
      <c r="B299" s="42">
        <f>B296+1</f>
        <v>2</v>
      </c>
      <c r="C299" s="101" t="s">
        <v>242</v>
      </c>
      <c r="E299" s="112" t="s">
        <v>35</v>
      </c>
      <c r="F299" s="29">
        <f>E268</f>
        <v>0</v>
      </c>
      <c r="G299" s="27">
        <f>F299*G296</f>
        <v>0</v>
      </c>
      <c r="H299" s="30"/>
      <c r="I299" s="192"/>
    </row>
    <row r="300" spans="2:9" ht="15.75">
      <c r="B300" s="42">
        <f>B299+1</f>
        <v>3</v>
      </c>
      <c r="C300" s="101" t="s">
        <v>243</v>
      </c>
      <c r="E300" s="112" t="s">
        <v>35</v>
      </c>
      <c r="F300" s="99">
        <f>E272</f>
        <v>0.004</v>
      </c>
      <c r="G300" s="27">
        <f>F300*G296</f>
        <v>0.004</v>
      </c>
      <c r="H300" s="33"/>
      <c r="I300" s="192"/>
    </row>
    <row r="301" spans="2:9" ht="15.75">
      <c r="B301" s="42">
        <f>B300+1</f>
        <v>4</v>
      </c>
      <c r="C301" s="101" t="s">
        <v>244</v>
      </c>
      <c r="E301" s="112" t="s">
        <v>35</v>
      </c>
      <c r="F301" s="99">
        <f>E270</f>
        <v>0.01926</v>
      </c>
      <c r="G301" s="27">
        <f>F301*G296</f>
        <v>0.01926</v>
      </c>
      <c r="H301" s="33"/>
      <c r="I301" s="192"/>
    </row>
    <row r="302" spans="2:9" ht="15.75">
      <c r="B302" s="42">
        <f>B301+1</f>
        <v>5</v>
      </c>
      <c r="C302" s="101"/>
      <c r="E302" s="112" t="s">
        <v>35</v>
      </c>
      <c r="F302" s="29">
        <f>E276</f>
        <v>0</v>
      </c>
      <c r="G302" s="27">
        <f>F302*G296</f>
        <v>0</v>
      </c>
      <c r="H302" s="30"/>
      <c r="I302" s="192"/>
    </row>
    <row r="303" spans="2:9" ht="15.75">
      <c r="B303" s="42">
        <f>B302+1</f>
        <v>6</v>
      </c>
      <c r="C303" s="101"/>
      <c r="E303" s="112" t="s">
        <v>35</v>
      </c>
      <c r="F303" s="29">
        <v>0</v>
      </c>
      <c r="G303" s="27">
        <f>F303*G296</f>
        <v>0</v>
      </c>
      <c r="H303" s="30"/>
      <c r="I303" s="192"/>
    </row>
    <row r="304" spans="2:9" ht="15.75">
      <c r="B304" s="42">
        <f>B303+1</f>
        <v>7</v>
      </c>
      <c r="C304" s="101" t="s">
        <v>245</v>
      </c>
      <c r="E304" s="112" t="s">
        <v>246</v>
      </c>
      <c r="F304" s="29"/>
      <c r="G304" s="37">
        <f>SUM(G299:G303)</f>
        <v>0.02326</v>
      </c>
      <c r="H304" s="30"/>
      <c r="I304" s="192"/>
    </row>
    <row r="305" spans="2:9" ht="15.75">
      <c r="B305" s="42"/>
      <c r="C305" s="101"/>
      <c r="E305" s="190"/>
      <c r="F305" s="29"/>
      <c r="G305" s="27"/>
      <c r="H305" s="30"/>
      <c r="I305" s="192"/>
    </row>
    <row r="306" spans="2:9" ht="15.75">
      <c r="B306" s="42">
        <f>B304+1</f>
        <v>8</v>
      </c>
      <c r="C306" s="101" t="s">
        <v>247</v>
      </c>
      <c r="E306" s="112" t="s">
        <v>248</v>
      </c>
      <c r="F306" s="29"/>
      <c r="G306" s="37">
        <f>G296-G304</f>
        <v>0.97674</v>
      </c>
      <c r="H306" s="30"/>
      <c r="I306" s="192"/>
    </row>
    <row r="307" spans="2:9" ht="15.75">
      <c r="B307" s="44"/>
      <c r="C307" s="44"/>
      <c r="E307" s="190"/>
      <c r="F307" s="29"/>
      <c r="G307" s="30"/>
      <c r="H307" s="30"/>
      <c r="I307" s="192"/>
    </row>
    <row r="308" spans="2:9" ht="15.75">
      <c r="B308" s="42">
        <f>B306+1</f>
        <v>9</v>
      </c>
      <c r="C308" s="101" t="s">
        <v>249</v>
      </c>
      <c r="E308" s="112" t="s">
        <v>35</v>
      </c>
      <c r="F308" s="29">
        <f>E274</f>
        <v>0.15</v>
      </c>
      <c r="G308" s="27">
        <f>G306*F308</f>
        <v>0.146511</v>
      </c>
      <c r="H308" s="33"/>
      <c r="I308" s="82"/>
    </row>
    <row r="309" spans="2:9" ht="15.75">
      <c r="B309" s="44"/>
      <c r="C309" s="44"/>
      <c r="E309" s="190"/>
      <c r="F309" s="29"/>
      <c r="G309" s="107"/>
      <c r="H309" s="30"/>
      <c r="I309" s="192"/>
    </row>
    <row r="310" spans="2:11" ht="15.75">
      <c r="B310" s="42">
        <f>B308+1</f>
        <v>10</v>
      </c>
      <c r="C310" s="101" t="s">
        <v>80</v>
      </c>
      <c r="E310" s="112" t="s">
        <v>250</v>
      </c>
      <c r="F310" s="29"/>
      <c r="G310" s="12">
        <f>G306-G308</f>
        <v>0.8302290000000001</v>
      </c>
      <c r="H310" s="30"/>
      <c r="I310" s="192"/>
      <c r="J310" s="193"/>
      <c r="K310" s="193"/>
    </row>
    <row r="311" spans="2:9" ht="15.75">
      <c r="B311" s="44"/>
      <c r="C311" s="44"/>
      <c r="E311" s="190"/>
      <c r="F311" s="29"/>
      <c r="G311" s="108"/>
      <c r="H311" s="30"/>
      <c r="I311" s="192"/>
    </row>
    <row r="312" spans="2:9" ht="15.75">
      <c r="B312" s="42">
        <f>B310+1</f>
        <v>11</v>
      </c>
      <c r="C312" s="101" t="s">
        <v>251</v>
      </c>
      <c r="E312" s="112" t="s">
        <v>252</v>
      </c>
      <c r="F312" s="29"/>
      <c r="G312" s="12">
        <f>1/G310</f>
        <v>1.2044869548040358</v>
      </c>
      <c r="H312" s="30"/>
      <c r="I312" s="192"/>
    </row>
    <row r="313" spans="2:9" ht="15.75">
      <c r="B313" s="44"/>
      <c r="C313" s="44"/>
      <c r="E313" s="190"/>
      <c r="F313" s="29"/>
      <c r="G313" s="108"/>
      <c r="H313" s="30"/>
      <c r="I313" s="192"/>
    </row>
    <row r="314" spans="2:9" ht="15.75">
      <c r="B314" s="42"/>
      <c r="C314" s="101"/>
      <c r="D314" s="57"/>
      <c r="E314" s="33"/>
      <c r="F314" s="29"/>
      <c r="G314" s="31"/>
      <c r="H314" s="30"/>
      <c r="I314" s="192"/>
    </row>
    <row r="315" spans="2:8" ht="15.75">
      <c r="B315" s="189"/>
      <c r="C315" s="189"/>
      <c r="D315" s="189"/>
      <c r="E315" s="189"/>
      <c r="F315" s="189"/>
      <c r="G315" s="189"/>
      <c r="H315" s="189"/>
    </row>
    <row r="316" ht="15.75">
      <c r="I316" s="152"/>
    </row>
    <row r="320" spans="2:7" ht="15.75">
      <c r="B320" s="16" t="str">
        <f>B254</f>
        <v>BREMERTON-KITSAP AIRPORTER, INC. C-903</v>
      </c>
      <c r="C320" s="23"/>
      <c r="D320" s="23"/>
      <c r="E320" s="10" t="str">
        <f>G254</f>
        <v>Initial Order Decision</v>
      </c>
      <c r="F320" s="23"/>
      <c r="G320" s="192"/>
    </row>
    <row r="321" spans="1:7" ht="15.75">
      <c r="A321" t="s">
        <v>253</v>
      </c>
      <c r="B321" s="92" t="s">
        <v>254</v>
      </c>
      <c r="E321" s="76" t="str">
        <f>G255</f>
        <v>Docket No. TC-001846</v>
      </c>
      <c r="F321" s="60"/>
      <c r="G321" s="192"/>
    </row>
    <row r="322" spans="2:7" ht="15.75">
      <c r="B322" s="13" t="str">
        <f>B256</f>
        <v>FOR THE 12 MONTHS ENDED SEPTEMBER 30, 2000</v>
      </c>
      <c r="E322" s="180" t="s">
        <v>217</v>
      </c>
      <c r="G322" s="192"/>
    </row>
    <row r="323" spans="2:7" ht="15.75">
      <c r="B323" s="92" t="str">
        <f>$B$6</f>
        <v>PER DECISION</v>
      </c>
      <c r="G323" s="192"/>
    </row>
    <row r="324" spans="2:7" ht="15.75">
      <c r="B324" s="44"/>
      <c r="F324" s="118"/>
      <c r="G324" s="192"/>
    </row>
    <row r="325" spans="2:7" ht="15.75">
      <c r="B325" s="44"/>
      <c r="F325" s="118"/>
      <c r="G325" s="192"/>
    </row>
    <row r="326" spans="2:7" ht="15.75">
      <c r="B326" s="102" t="s">
        <v>255</v>
      </c>
      <c r="C326" s="118" t="s">
        <v>235</v>
      </c>
      <c r="D326" s="117" t="s">
        <v>236</v>
      </c>
      <c r="E326" s="117"/>
      <c r="F326" s="117" t="s">
        <v>256</v>
      </c>
      <c r="G326" s="192"/>
    </row>
    <row r="327" spans="2:7" ht="15.75">
      <c r="B327" s="124"/>
      <c r="C327" s="124" t="s">
        <v>24</v>
      </c>
      <c r="D327" s="115" t="s">
        <v>25</v>
      </c>
      <c r="E327" s="111"/>
      <c r="F327" s="122" t="s">
        <v>26</v>
      </c>
      <c r="G327" s="192"/>
    </row>
    <row r="328" spans="2:7" ht="15.75">
      <c r="B328" s="123"/>
      <c r="C328" s="123"/>
      <c r="D328" s="190"/>
      <c r="F328" s="120"/>
      <c r="G328" s="192"/>
    </row>
    <row r="329" spans="2:7" ht="15.75">
      <c r="B329" s="123">
        <v>1</v>
      </c>
      <c r="C329" s="101" t="s">
        <v>257</v>
      </c>
      <c r="D329" s="112" t="s">
        <v>35</v>
      </c>
      <c r="E329" s="117"/>
      <c r="F329" s="35">
        <f>I61</f>
        <v>1391746.9631232878</v>
      </c>
      <c r="G329" s="192"/>
    </row>
    <row r="330" spans="2:7" ht="15.75">
      <c r="B330" s="123"/>
      <c r="C330" s="162"/>
      <c r="D330" s="190"/>
      <c r="F330" s="30"/>
      <c r="G330" s="192"/>
    </row>
    <row r="331" spans="2:7" ht="15.75">
      <c r="B331" s="123">
        <v>2</v>
      </c>
      <c r="C331" s="101" t="s">
        <v>258</v>
      </c>
      <c r="D331" s="112" t="s">
        <v>35</v>
      </c>
      <c r="F331" s="28">
        <f>E280</f>
        <v>0.93</v>
      </c>
      <c r="G331" s="192"/>
    </row>
    <row r="332" spans="2:7" ht="15.75">
      <c r="B332" s="123"/>
      <c r="C332" s="101"/>
      <c r="D332" s="190"/>
      <c r="F332" s="29"/>
      <c r="G332" s="192"/>
    </row>
    <row r="333" spans="2:7" ht="15.75">
      <c r="B333" s="123">
        <v>3</v>
      </c>
      <c r="C333" s="101" t="s">
        <v>259</v>
      </c>
      <c r="D333" s="112" t="s">
        <v>260</v>
      </c>
      <c r="E333" s="117"/>
      <c r="F333" s="38">
        <f>F329/F331</f>
        <v>1496502.1108852555</v>
      </c>
      <c r="G333" s="192"/>
    </row>
    <row r="334" spans="2:7" ht="15.75">
      <c r="B334" s="123"/>
      <c r="C334" s="101"/>
      <c r="D334" s="112"/>
      <c r="E334" s="117"/>
      <c r="F334" s="35"/>
      <c r="G334" s="192"/>
    </row>
    <row r="335" spans="2:7" ht="15.75">
      <c r="B335" s="123">
        <v>4</v>
      </c>
      <c r="C335" s="101" t="s">
        <v>261</v>
      </c>
      <c r="D335" s="112" t="s">
        <v>35</v>
      </c>
      <c r="F335" s="35">
        <f>I21</f>
        <v>1653961</v>
      </c>
      <c r="G335" s="192"/>
    </row>
    <row r="336" spans="2:7" ht="15.75">
      <c r="B336" s="123"/>
      <c r="C336" s="101"/>
      <c r="D336" s="190"/>
      <c r="F336" s="29"/>
      <c r="G336" s="192"/>
    </row>
    <row r="337" spans="2:7" ht="15.75">
      <c r="B337" s="123">
        <v>5</v>
      </c>
      <c r="C337" s="101" t="s">
        <v>262</v>
      </c>
      <c r="D337" s="112" t="s">
        <v>263</v>
      </c>
      <c r="F337" s="38">
        <f>F333-F335</f>
        <v>-157458.8891147445</v>
      </c>
      <c r="G337" s="192"/>
    </row>
    <row r="338" spans="2:7" ht="15.75">
      <c r="B338" s="123"/>
      <c r="C338" s="101"/>
      <c r="D338" s="190"/>
      <c r="F338" s="40"/>
      <c r="G338" s="192"/>
    </row>
    <row r="339" spans="2:7" ht="15.75">
      <c r="B339" s="123">
        <v>6</v>
      </c>
      <c r="C339" s="101" t="s">
        <v>264</v>
      </c>
      <c r="D339" s="112" t="s">
        <v>35</v>
      </c>
      <c r="F339" s="31">
        <f>G306</f>
        <v>0.97674</v>
      </c>
      <c r="G339" s="192"/>
    </row>
    <row r="340" spans="2:7" ht="15.75">
      <c r="B340" s="123"/>
      <c r="C340" s="101"/>
      <c r="D340" s="190"/>
      <c r="F340" s="35"/>
      <c r="G340" s="192"/>
    </row>
    <row r="341" spans="2:7" ht="15.75">
      <c r="B341" s="123">
        <v>7</v>
      </c>
      <c r="C341" s="101" t="s">
        <v>265</v>
      </c>
      <c r="D341" s="112" t="s">
        <v>266</v>
      </c>
      <c r="F341" s="38">
        <f>F337/F339</f>
        <v>-161208.6011781482</v>
      </c>
      <c r="G341" s="192"/>
    </row>
    <row r="342" spans="2:7" ht="15.75">
      <c r="B342" s="123"/>
      <c r="C342" s="101"/>
      <c r="D342" s="112"/>
      <c r="F342" s="38"/>
      <c r="G342" s="192"/>
    </row>
    <row r="343" spans="2:7" ht="15.75">
      <c r="B343" s="123">
        <v>8</v>
      </c>
      <c r="C343" s="101" t="s">
        <v>267</v>
      </c>
      <c r="D343" s="112" t="s">
        <v>268</v>
      </c>
      <c r="F343" s="38">
        <f>E430</f>
        <v>-150051.65029344786</v>
      </c>
      <c r="G343" s="192"/>
    </row>
    <row r="344" spans="2:7" ht="15.75">
      <c r="B344" s="123"/>
      <c r="C344" s="101"/>
      <c r="D344" s="112"/>
      <c r="F344" s="40"/>
      <c r="G344" s="192"/>
    </row>
    <row r="345" spans="2:7" ht="15.75">
      <c r="B345" s="123">
        <v>9</v>
      </c>
      <c r="C345" s="101" t="s">
        <v>269</v>
      </c>
      <c r="D345" s="112"/>
      <c r="F345" s="28">
        <f>F343/(+I15+I16)</f>
        <v>-0.09146679940643111</v>
      </c>
      <c r="G345" s="192"/>
    </row>
    <row r="346" spans="2:7" ht="15.75">
      <c r="B346" s="123"/>
      <c r="C346" s="101"/>
      <c r="D346" s="112"/>
      <c r="F346" s="35"/>
      <c r="G346" s="192"/>
    </row>
    <row r="347" spans="2:7" ht="15.75">
      <c r="B347" s="123"/>
      <c r="C347" s="154"/>
      <c r="D347" s="190"/>
      <c r="F347" s="30"/>
      <c r="G347" s="192"/>
    </row>
    <row r="348" spans="2:6" ht="15.75">
      <c r="B348" s="189"/>
      <c r="C348" s="189"/>
      <c r="D348" s="189"/>
      <c r="E348" s="189"/>
      <c r="F348" s="189"/>
    </row>
    <row r="350" spans="1:16" ht="15.75">
      <c r="A350" s="72"/>
      <c r="B350" s="72"/>
      <c r="C350" s="72"/>
      <c r="D350" s="72"/>
      <c r="E350" s="62"/>
      <c r="F350" s="62"/>
      <c r="G350" s="62"/>
      <c r="H350" s="62"/>
      <c r="I350" s="72"/>
      <c r="J350" s="72"/>
      <c r="N350" s="72"/>
      <c r="O350" s="72"/>
      <c r="P350" s="72"/>
    </row>
    <row r="351" spans="1:16" ht="15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M351" s="72"/>
      <c r="N351" s="72"/>
      <c r="O351" s="72"/>
      <c r="P351" s="72"/>
    </row>
    <row r="352" spans="1:9" ht="15.75">
      <c r="A352" t="s">
        <v>270</v>
      </c>
      <c r="B352" s="16" t="str">
        <f>$B$254</f>
        <v>BREMERTON-KITSAP AIRPORTER, INC. C-903</v>
      </c>
      <c r="C352" s="22"/>
      <c r="D352" s="22"/>
      <c r="E352" s="96"/>
      <c r="F352" s="23"/>
      <c r="G352" s="10" t="str">
        <f>$G$254</f>
        <v>Initial Order Decision</v>
      </c>
      <c r="H352" s="23"/>
      <c r="I352" s="192"/>
    </row>
    <row r="353" spans="2:9" ht="15.75">
      <c r="B353" s="13" t="s">
        <v>271</v>
      </c>
      <c r="E353" s="81"/>
      <c r="G353" s="76" t="str">
        <f>$G$255</f>
        <v>Docket No. TC-001846</v>
      </c>
      <c r="H353" s="56"/>
      <c r="I353" s="192"/>
    </row>
    <row r="354" spans="2:9" ht="15.75">
      <c r="B354" s="14" t="str">
        <f>$B$256</f>
        <v>FOR THE 12 MONTHS ENDED SEPTEMBER 30, 2000</v>
      </c>
      <c r="E354" s="98"/>
      <c r="G354" s="152"/>
      <c r="H354" s="56"/>
      <c r="I354" s="192"/>
    </row>
    <row r="355" spans="2:9" ht="15.75">
      <c r="B355" s="92" t="str">
        <f>$B$6</f>
        <v>PER DECISION</v>
      </c>
      <c r="E355" s="98"/>
      <c r="G355" s="89"/>
      <c r="H355" s="56"/>
      <c r="I355" s="192"/>
    </row>
    <row r="356" spans="2:9" ht="15.75">
      <c r="B356" s="192"/>
      <c r="E356" s="98"/>
      <c r="G356" s="89"/>
      <c r="H356" s="145" t="s">
        <v>272</v>
      </c>
      <c r="I356" s="192"/>
    </row>
    <row r="357" spans="2:9" ht="15.75">
      <c r="B357" s="74"/>
      <c r="C357" s="77"/>
      <c r="D357" s="77"/>
      <c r="E357" s="147"/>
      <c r="F357" s="147"/>
      <c r="G357" s="77"/>
      <c r="H357" s="145" t="s">
        <v>273</v>
      </c>
      <c r="I357" s="192"/>
    </row>
    <row r="358" spans="2:9" ht="15.75">
      <c r="B358" s="14"/>
      <c r="C358" s="77"/>
      <c r="D358" s="77"/>
      <c r="E358" s="147" t="s">
        <v>274</v>
      </c>
      <c r="F358" s="147" t="s">
        <v>275</v>
      </c>
      <c r="G358" s="147" t="s">
        <v>275</v>
      </c>
      <c r="H358" s="145" t="s">
        <v>276</v>
      </c>
      <c r="I358" s="192"/>
    </row>
    <row r="359" spans="2:9" ht="15.75">
      <c r="B359" s="142" t="s">
        <v>9</v>
      </c>
      <c r="C359" s="77"/>
      <c r="D359" s="147" t="s">
        <v>277</v>
      </c>
      <c r="E359" s="147" t="s">
        <v>278</v>
      </c>
      <c r="F359" s="147" t="s">
        <v>279</v>
      </c>
      <c r="G359" s="147" t="s">
        <v>279</v>
      </c>
      <c r="H359" s="145" t="s">
        <v>280</v>
      </c>
      <c r="I359" s="192"/>
    </row>
    <row r="360" spans="2:9" ht="15.75">
      <c r="B360" s="142" t="s">
        <v>15</v>
      </c>
      <c r="C360" s="147" t="s">
        <v>16</v>
      </c>
      <c r="D360" s="147" t="s">
        <v>281</v>
      </c>
      <c r="E360" s="147" t="s">
        <v>282</v>
      </c>
      <c r="F360" s="147" t="s">
        <v>283</v>
      </c>
      <c r="G360" s="147" t="s">
        <v>22</v>
      </c>
      <c r="H360" s="145" t="s">
        <v>22</v>
      </c>
      <c r="I360" s="192"/>
    </row>
    <row r="361" spans="2:9" ht="15.75">
      <c r="B361" s="144"/>
      <c r="C361" s="144" t="s">
        <v>24</v>
      </c>
      <c r="D361" s="144" t="s">
        <v>25</v>
      </c>
      <c r="E361" s="144" t="s">
        <v>26</v>
      </c>
      <c r="F361" s="146" t="s">
        <v>27</v>
      </c>
      <c r="G361" s="146" t="s">
        <v>28</v>
      </c>
      <c r="H361" s="146" t="s">
        <v>29</v>
      </c>
      <c r="I361" s="192"/>
    </row>
    <row r="362" spans="2:9" ht="15.75">
      <c r="B362" s="123"/>
      <c r="C362" s="123"/>
      <c r="D362" s="123"/>
      <c r="E362" s="123"/>
      <c r="F362" s="118"/>
      <c r="G362" s="118"/>
      <c r="H362" s="118"/>
      <c r="I362" s="192"/>
    </row>
    <row r="363" spans="2:9" ht="15.75">
      <c r="B363" s="123"/>
      <c r="C363" s="1" t="s">
        <v>33</v>
      </c>
      <c r="D363" s="44"/>
      <c r="E363" s="44"/>
      <c r="I363" s="192"/>
    </row>
    <row r="364" spans="2:9" ht="15.75">
      <c r="B364" s="123">
        <v>1</v>
      </c>
      <c r="C364" s="101" t="s">
        <v>34</v>
      </c>
      <c r="D364" s="123" t="s">
        <v>35</v>
      </c>
      <c r="E364" s="41">
        <f aca="true" t="shared" si="45" ref="E364:E369">I15</f>
        <v>1443354</v>
      </c>
      <c r="F364" s="193">
        <v>1</v>
      </c>
      <c r="G364">
        <f>E364*F364</f>
        <v>1443354</v>
      </c>
      <c r="H364">
        <f aca="true" t="shared" si="46" ref="H364:H369">E364-G364</f>
        <v>0</v>
      </c>
      <c r="I364" s="192"/>
    </row>
    <row r="365" spans="2:9" ht="15.75">
      <c r="B365" s="123">
        <f aca="true" t="shared" si="47" ref="B365:B370">B364+1</f>
        <v>2</v>
      </c>
      <c r="C365" s="101" t="s">
        <v>36</v>
      </c>
      <c r="D365" s="123" t="s">
        <v>35</v>
      </c>
      <c r="E365" s="41">
        <f t="shared" si="45"/>
        <v>197150</v>
      </c>
      <c r="F365" s="193">
        <v>0</v>
      </c>
      <c r="G365">
        <f>E365*F365</f>
        <v>0</v>
      </c>
      <c r="H365">
        <f t="shared" si="46"/>
        <v>197150</v>
      </c>
      <c r="I365" s="192"/>
    </row>
    <row r="366" spans="2:9" ht="15.75">
      <c r="B366" s="123">
        <f t="shared" si="47"/>
        <v>3</v>
      </c>
      <c r="C366" s="101" t="s">
        <v>37</v>
      </c>
      <c r="D366" s="123" t="s">
        <v>35</v>
      </c>
      <c r="E366" s="41">
        <f t="shared" si="45"/>
        <v>-2466</v>
      </c>
      <c r="F366" s="193">
        <v>0.8795620437956204</v>
      </c>
      <c r="G366">
        <f>E366*F366</f>
        <v>-2169</v>
      </c>
      <c r="H366">
        <f t="shared" si="46"/>
        <v>-297</v>
      </c>
      <c r="I366" s="192"/>
    </row>
    <row r="367" spans="2:9" ht="15.75">
      <c r="B367" s="123">
        <f t="shared" si="47"/>
        <v>4</v>
      </c>
      <c r="C367" s="101" t="s">
        <v>38</v>
      </c>
      <c r="D367" s="123" t="s">
        <v>35</v>
      </c>
      <c r="E367" s="41">
        <f t="shared" si="45"/>
        <v>8203</v>
      </c>
      <c r="F367" s="193">
        <v>1</v>
      </c>
      <c r="G367">
        <f>E367*F367</f>
        <v>8203</v>
      </c>
      <c r="H367">
        <f t="shared" si="46"/>
        <v>0</v>
      </c>
      <c r="I367" s="192"/>
    </row>
    <row r="368" spans="2:9" ht="15.75">
      <c r="B368" s="123">
        <f t="shared" si="47"/>
        <v>5</v>
      </c>
      <c r="C368" s="101" t="s">
        <v>39</v>
      </c>
      <c r="D368" s="123" t="s">
        <v>35</v>
      </c>
      <c r="E368" s="41">
        <f t="shared" si="45"/>
        <v>2300</v>
      </c>
      <c r="F368" s="193">
        <v>0</v>
      </c>
      <c r="G368">
        <f>E368*F368</f>
        <v>0</v>
      </c>
      <c r="H368">
        <f t="shared" si="46"/>
        <v>2300</v>
      </c>
      <c r="I368" s="192"/>
    </row>
    <row r="369" spans="2:9" ht="15.75">
      <c r="B369" s="123">
        <f t="shared" si="47"/>
        <v>6</v>
      </c>
      <c r="C369" s="101" t="s">
        <v>40</v>
      </c>
      <c r="D369" s="123" t="s">
        <v>35</v>
      </c>
      <c r="E369" s="41">
        <f t="shared" si="45"/>
        <v>5420</v>
      </c>
      <c r="F369" s="193">
        <v>0.840959409594096</v>
      </c>
      <c r="H369">
        <f t="shared" si="46"/>
        <v>5420</v>
      </c>
      <c r="I369" s="192"/>
    </row>
    <row r="370" spans="2:9" ht="15.75">
      <c r="B370" s="123">
        <f t="shared" si="47"/>
        <v>7</v>
      </c>
      <c r="C370" s="92" t="s">
        <v>41</v>
      </c>
      <c r="D370" s="123" t="str">
        <f>"+Ln "&amp;FIXED(+B364,0,TRUE)&amp;" thru "&amp;FIXED(+B369,0,TRUE)</f>
        <v>+Ln 1 thru 6</v>
      </c>
      <c r="E370" s="186">
        <f>SUM(E364:E369)</f>
        <v>1653961</v>
      </c>
      <c r="F370" s="185">
        <f>G370/E370</f>
        <v>0.8763132867099043</v>
      </c>
      <c r="G370" s="185">
        <f>SUM(G364:G369)</f>
        <v>1449388</v>
      </c>
      <c r="H370" s="185">
        <f>SUM(H364:H369)</f>
        <v>204573</v>
      </c>
      <c r="I370" s="192"/>
    </row>
    <row r="371" spans="2:9" ht="15.75">
      <c r="B371" s="123"/>
      <c r="C371" s="92"/>
      <c r="D371" s="123"/>
      <c r="E371" s="16"/>
      <c r="F371" s="9"/>
      <c r="G371" s="10"/>
      <c r="H371" s="10"/>
      <c r="I371" s="192"/>
    </row>
    <row r="372" spans="2:9" ht="15.75">
      <c r="B372" s="114"/>
      <c r="C372" s="1" t="s">
        <v>42</v>
      </c>
      <c r="D372" s="44"/>
      <c r="E372" s="43"/>
      <c r="F372" s="193"/>
      <c r="I372" s="192"/>
    </row>
    <row r="373" spans="2:9" ht="15.75">
      <c r="B373" s="123">
        <f>B370+1</f>
        <v>8</v>
      </c>
      <c r="C373" s="101" t="s">
        <v>43</v>
      </c>
      <c r="D373" s="123" t="s">
        <v>284</v>
      </c>
      <c r="E373" s="41">
        <f aca="true" t="shared" si="48" ref="E373:E409">I24</f>
        <v>10774</v>
      </c>
      <c r="F373" s="193">
        <f>F416</f>
        <v>0.84087</v>
      </c>
      <c r="G373">
        <f aca="true" t="shared" si="49" ref="G373:G409">E373*F373</f>
        <v>9059.53338</v>
      </c>
      <c r="H373">
        <f aca="true" t="shared" si="50" ref="H373:H409">E373-G373</f>
        <v>1714.4666199999992</v>
      </c>
      <c r="I373" s="192"/>
    </row>
    <row r="374" spans="2:9" ht="15.75">
      <c r="B374" s="123">
        <f aca="true" t="shared" si="51" ref="B374:B410">B373+1</f>
        <v>9</v>
      </c>
      <c r="C374" s="101" t="s">
        <v>44</v>
      </c>
      <c r="D374" s="123" t="s">
        <v>284</v>
      </c>
      <c r="E374" s="41">
        <f t="shared" si="48"/>
        <v>13634</v>
      </c>
      <c r="F374" s="193">
        <f>F416</f>
        <v>0.84087</v>
      </c>
      <c r="G374">
        <f t="shared" si="49"/>
        <v>11464.42158</v>
      </c>
      <c r="H374">
        <f t="shared" si="50"/>
        <v>2169.57842</v>
      </c>
      <c r="I374" s="192"/>
    </row>
    <row r="375" spans="2:9" ht="15.75">
      <c r="B375" s="123">
        <f t="shared" si="51"/>
        <v>10</v>
      </c>
      <c r="C375" s="101" t="s">
        <v>45</v>
      </c>
      <c r="D375" s="123" t="s">
        <v>285</v>
      </c>
      <c r="E375" s="41">
        <f t="shared" si="48"/>
        <v>13415</v>
      </c>
      <c r="F375" s="193">
        <v>0.81203</v>
      </c>
      <c r="G375">
        <f t="shared" si="49"/>
        <v>10893.382450000001</v>
      </c>
      <c r="H375">
        <f t="shared" si="50"/>
        <v>2521.617549999999</v>
      </c>
      <c r="I375" s="192"/>
    </row>
    <row r="376" spans="2:9" ht="15.75">
      <c r="B376" s="123">
        <f t="shared" si="51"/>
        <v>11</v>
      </c>
      <c r="C376" s="101" t="s">
        <v>46</v>
      </c>
      <c r="D376" s="123" t="s">
        <v>286</v>
      </c>
      <c r="E376" s="41">
        <f t="shared" si="48"/>
        <v>177466</v>
      </c>
      <c r="F376" s="193">
        <v>0.896467</v>
      </c>
      <c r="G376">
        <f t="shared" si="49"/>
        <v>159092.412622</v>
      </c>
      <c r="H376">
        <f t="shared" si="50"/>
        <v>18373.587377999997</v>
      </c>
      <c r="I376" s="192"/>
    </row>
    <row r="377" spans="2:9" ht="15.75">
      <c r="B377" s="123">
        <f t="shared" si="51"/>
        <v>12</v>
      </c>
      <c r="C377" s="101" t="s">
        <v>47</v>
      </c>
      <c r="D377" s="123" t="s">
        <v>287</v>
      </c>
      <c r="E377" s="41">
        <f t="shared" si="48"/>
        <v>0</v>
      </c>
      <c r="F377" s="193">
        <v>0.89645</v>
      </c>
      <c r="G377">
        <f t="shared" si="49"/>
        <v>0</v>
      </c>
      <c r="H377">
        <f t="shared" si="50"/>
        <v>0</v>
      </c>
      <c r="I377" s="192"/>
    </row>
    <row r="378" spans="2:9" ht="15.75">
      <c r="B378" s="123">
        <f t="shared" si="51"/>
        <v>13</v>
      </c>
      <c r="C378" s="101" t="s">
        <v>48</v>
      </c>
      <c r="D378" s="123" t="s">
        <v>285</v>
      </c>
      <c r="E378" s="41">
        <f t="shared" si="48"/>
        <v>75278</v>
      </c>
      <c r="F378" s="193">
        <v>0.81203</v>
      </c>
      <c r="G378">
        <f t="shared" si="49"/>
        <v>61127.994340000005</v>
      </c>
      <c r="H378">
        <f t="shared" si="50"/>
        <v>14150.005659999995</v>
      </c>
      <c r="I378" s="192"/>
    </row>
    <row r="379" spans="2:9" ht="15.75">
      <c r="B379" s="123">
        <f t="shared" si="51"/>
        <v>14</v>
      </c>
      <c r="C379" s="101" t="s">
        <v>49</v>
      </c>
      <c r="D379" s="123" t="s">
        <v>285</v>
      </c>
      <c r="E379" s="41">
        <f t="shared" si="48"/>
        <v>2632</v>
      </c>
      <c r="F379" s="193">
        <v>0.81203</v>
      </c>
      <c r="G379">
        <f t="shared" si="49"/>
        <v>2137.26296</v>
      </c>
      <c r="H379">
        <f t="shared" si="50"/>
        <v>494.73704</v>
      </c>
      <c r="I379" s="192"/>
    </row>
    <row r="380" spans="2:9" ht="15.75">
      <c r="B380" s="123">
        <f t="shared" si="51"/>
        <v>15</v>
      </c>
      <c r="C380" s="101" t="s">
        <v>50</v>
      </c>
      <c r="D380" s="123" t="s">
        <v>285</v>
      </c>
      <c r="E380" s="41">
        <f t="shared" si="48"/>
        <v>52506</v>
      </c>
      <c r="F380" s="193">
        <v>0.81203</v>
      </c>
      <c r="G380">
        <f t="shared" si="49"/>
        <v>42636.44718</v>
      </c>
      <c r="H380">
        <f t="shared" si="50"/>
        <v>9869.552819999997</v>
      </c>
      <c r="I380" s="192"/>
    </row>
    <row r="381" spans="2:9" ht="15.75">
      <c r="B381" s="123">
        <f t="shared" si="51"/>
        <v>16</v>
      </c>
      <c r="C381" s="101" t="s">
        <v>51</v>
      </c>
      <c r="D381" s="123" t="s">
        <v>288</v>
      </c>
      <c r="E381" s="41">
        <f t="shared" si="48"/>
        <v>624254</v>
      </c>
      <c r="F381" s="193">
        <v>0.820821</v>
      </c>
      <c r="G381">
        <f t="shared" si="49"/>
        <v>512400.792534</v>
      </c>
      <c r="H381">
        <f t="shared" si="50"/>
        <v>111853.20746599999</v>
      </c>
      <c r="I381" s="192"/>
    </row>
    <row r="382" spans="2:9" ht="15.75">
      <c r="B382" s="123">
        <f t="shared" si="51"/>
        <v>17</v>
      </c>
      <c r="C382" s="101" t="s">
        <v>52</v>
      </c>
      <c r="D382" s="123" t="s">
        <v>289</v>
      </c>
      <c r="E382" s="41">
        <f t="shared" si="48"/>
        <v>89612.5</v>
      </c>
      <c r="F382" s="193">
        <v>0.820821</v>
      </c>
      <c r="G382">
        <f t="shared" si="49"/>
        <v>73555.8218625</v>
      </c>
      <c r="H382">
        <f t="shared" si="50"/>
        <v>16056.6781375</v>
      </c>
      <c r="I382" s="192"/>
    </row>
    <row r="383" spans="2:9" ht="15.75">
      <c r="B383" s="123">
        <f t="shared" si="51"/>
        <v>18</v>
      </c>
      <c r="C383" s="101" t="s">
        <v>53</v>
      </c>
      <c r="D383" s="123" t="s">
        <v>290</v>
      </c>
      <c r="E383" s="41">
        <f t="shared" si="48"/>
        <v>31822</v>
      </c>
      <c r="F383" s="193">
        <f>F370</f>
        <v>0.8763132867099043</v>
      </c>
      <c r="G383">
        <f t="shared" si="49"/>
        <v>27886.041409682573</v>
      </c>
      <c r="H383">
        <f t="shared" si="50"/>
        <v>3935.9585903174266</v>
      </c>
      <c r="I383" s="192"/>
    </row>
    <row r="384" spans="2:9" ht="15.75">
      <c r="B384" s="123">
        <f t="shared" si="51"/>
        <v>19</v>
      </c>
      <c r="C384" s="101" t="s">
        <v>54</v>
      </c>
      <c r="D384" s="123" t="s">
        <v>291</v>
      </c>
      <c r="E384" s="41">
        <f t="shared" si="48"/>
        <v>9203</v>
      </c>
      <c r="F384" s="193">
        <v>0.8798</v>
      </c>
      <c r="G384">
        <f t="shared" si="49"/>
        <v>8096.7994</v>
      </c>
      <c r="H384">
        <f t="shared" si="50"/>
        <v>1106.2006000000001</v>
      </c>
      <c r="I384" s="192"/>
    </row>
    <row r="385" spans="2:9" ht="15.75">
      <c r="B385" s="123">
        <f t="shared" si="51"/>
        <v>20</v>
      </c>
      <c r="C385" s="101" t="s">
        <v>55</v>
      </c>
      <c r="D385" s="123" t="s">
        <v>292</v>
      </c>
      <c r="E385" s="41">
        <f t="shared" si="48"/>
        <v>21116</v>
      </c>
      <c r="F385" s="193">
        <v>0.8329</v>
      </c>
      <c r="G385">
        <f t="shared" si="49"/>
        <v>17587.5164</v>
      </c>
      <c r="H385">
        <f t="shared" si="50"/>
        <v>3528.4835999999996</v>
      </c>
      <c r="I385" s="192"/>
    </row>
    <row r="386" spans="2:9" ht="15.75">
      <c r="B386" s="123">
        <f t="shared" si="51"/>
        <v>21</v>
      </c>
      <c r="C386" s="101" t="s">
        <v>56</v>
      </c>
      <c r="D386" s="123" t="s">
        <v>290</v>
      </c>
      <c r="E386" s="41">
        <f t="shared" si="48"/>
        <v>1805</v>
      </c>
      <c r="F386" s="193">
        <f>F370</f>
        <v>0.8763132867099043</v>
      </c>
      <c r="G386">
        <f t="shared" si="49"/>
        <v>1581.7454825113773</v>
      </c>
      <c r="H386">
        <f t="shared" si="50"/>
        <v>223.2545174886227</v>
      </c>
      <c r="I386" s="192"/>
    </row>
    <row r="387" spans="2:9" ht="15.75">
      <c r="B387" s="123">
        <f t="shared" si="51"/>
        <v>22</v>
      </c>
      <c r="C387" s="101" t="s">
        <v>57</v>
      </c>
      <c r="D387" s="123" t="s">
        <v>290</v>
      </c>
      <c r="E387" s="41">
        <f t="shared" si="48"/>
        <v>201</v>
      </c>
      <c r="F387" s="193">
        <f>F370</f>
        <v>0.8763132867099043</v>
      </c>
      <c r="G387">
        <f t="shared" si="49"/>
        <v>176.13897062869077</v>
      </c>
      <c r="H387">
        <f t="shared" si="50"/>
        <v>24.86102937130923</v>
      </c>
      <c r="I387" s="192"/>
    </row>
    <row r="388" spans="2:9" ht="15.75">
      <c r="B388" s="123">
        <f t="shared" si="51"/>
        <v>23</v>
      </c>
      <c r="C388" s="101" t="s">
        <v>58</v>
      </c>
      <c r="D388" s="123" t="s">
        <v>284</v>
      </c>
      <c r="E388" s="41">
        <f t="shared" si="48"/>
        <v>1160</v>
      </c>
      <c r="F388" s="193">
        <f>F416</f>
        <v>0.84087</v>
      </c>
      <c r="G388">
        <f t="shared" si="49"/>
        <v>975.4092</v>
      </c>
      <c r="H388">
        <f t="shared" si="50"/>
        <v>184.59079999999994</v>
      </c>
      <c r="I388" s="192"/>
    </row>
    <row r="389" spans="2:9" ht="15.75">
      <c r="B389" s="123">
        <f t="shared" si="51"/>
        <v>24</v>
      </c>
      <c r="C389" s="101" t="s">
        <v>59</v>
      </c>
      <c r="D389" s="123" t="s">
        <v>284</v>
      </c>
      <c r="E389" s="41">
        <f t="shared" si="48"/>
        <v>549</v>
      </c>
      <c r="F389" s="193">
        <f>F416</f>
        <v>0.84087</v>
      </c>
      <c r="G389">
        <f t="shared" si="49"/>
        <v>461.63763</v>
      </c>
      <c r="H389">
        <f t="shared" si="50"/>
        <v>87.36237</v>
      </c>
      <c r="I389" s="192"/>
    </row>
    <row r="390" spans="2:9" ht="15.75">
      <c r="B390" s="123">
        <f t="shared" si="51"/>
        <v>25</v>
      </c>
      <c r="C390" s="101" t="s">
        <v>60</v>
      </c>
      <c r="D390" s="123" t="s">
        <v>292</v>
      </c>
      <c r="E390" s="41">
        <f t="shared" si="48"/>
        <v>4876</v>
      </c>
      <c r="F390" s="193">
        <v>0.83288</v>
      </c>
      <c r="G390">
        <f t="shared" si="49"/>
        <v>4061.12288</v>
      </c>
      <c r="H390">
        <f t="shared" si="50"/>
        <v>814.8771200000001</v>
      </c>
      <c r="I390" s="192"/>
    </row>
    <row r="391" spans="2:9" ht="15.75">
      <c r="B391" s="123">
        <f t="shared" si="51"/>
        <v>26</v>
      </c>
      <c r="C391" s="101" t="s">
        <v>61</v>
      </c>
      <c r="D391" s="123" t="s">
        <v>293</v>
      </c>
      <c r="E391" s="41">
        <f t="shared" si="48"/>
        <v>11531</v>
      </c>
      <c r="F391" s="193">
        <v>0.8798</v>
      </c>
      <c r="G391">
        <f t="shared" si="49"/>
        <v>10144.9738</v>
      </c>
      <c r="H391">
        <f t="shared" si="50"/>
        <v>1386.0262000000002</v>
      </c>
      <c r="I391" s="192"/>
    </row>
    <row r="392" spans="2:9" ht="15.75">
      <c r="B392" s="123">
        <f t="shared" si="51"/>
        <v>27</v>
      </c>
      <c r="C392" s="101" t="s">
        <v>62</v>
      </c>
      <c r="D392" s="123" t="s">
        <v>294</v>
      </c>
      <c r="E392" s="41">
        <f t="shared" si="48"/>
        <v>90990</v>
      </c>
      <c r="F392" s="193">
        <v>0.813</v>
      </c>
      <c r="G392">
        <f t="shared" si="49"/>
        <v>73974.87</v>
      </c>
      <c r="H392">
        <f t="shared" si="50"/>
        <v>17015.130000000005</v>
      </c>
      <c r="I392" s="192"/>
    </row>
    <row r="393" spans="2:9" ht="15.75">
      <c r="B393" s="123">
        <f t="shared" si="51"/>
        <v>28</v>
      </c>
      <c r="C393" s="101" t="s">
        <v>63</v>
      </c>
      <c r="D393" s="123" t="s">
        <v>285</v>
      </c>
      <c r="E393" s="41">
        <f t="shared" si="48"/>
        <v>1566</v>
      </c>
      <c r="F393" s="193">
        <v>0.81203</v>
      </c>
      <c r="G393">
        <f t="shared" si="49"/>
        <v>1271.63898</v>
      </c>
      <c r="H393">
        <f t="shared" si="50"/>
        <v>294.36102000000005</v>
      </c>
      <c r="I393" s="192"/>
    </row>
    <row r="394" spans="2:9" ht="15.75">
      <c r="B394" s="123">
        <f t="shared" si="51"/>
        <v>29</v>
      </c>
      <c r="C394" s="101" t="s">
        <v>64</v>
      </c>
      <c r="D394" s="123" t="s">
        <v>292</v>
      </c>
      <c r="E394" s="41">
        <f t="shared" si="48"/>
        <v>3694</v>
      </c>
      <c r="F394" s="193">
        <v>0.83288</v>
      </c>
      <c r="G394">
        <f t="shared" si="49"/>
        <v>3076.65872</v>
      </c>
      <c r="H394">
        <f t="shared" si="50"/>
        <v>617.3412800000001</v>
      </c>
      <c r="I394" s="192"/>
    </row>
    <row r="395" spans="2:9" ht="15.75">
      <c r="B395" s="123">
        <f t="shared" si="51"/>
        <v>30</v>
      </c>
      <c r="C395" s="101" t="s">
        <v>65</v>
      </c>
      <c r="D395" s="123" t="s">
        <v>292</v>
      </c>
      <c r="E395" s="41">
        <f t="shared" si="48"/>
        <v>2406</v>
      </c>
      <c r="F395" s="193">
        <v>0.83288</v>
      </c>
      <c r="G395">
        <f t="shared" si="49"/>
        <v>2003.9092799999999</v>
      </c>
      <c r="H395">
        <f t="shared" si="50"/>
        <v>402.09072000000015</v>
      </c>
      <c r="I395" s="192"/>
    </row>
    <row r="396" spans="2:9" ht="15.75">
      <c r="B396" s="123">
        <f t="shared" si="51"/>
        <v>31</v>
      </c>
      <c r="C396" s="101" t="s">
        <v>48</v>
      </c>
      <c r="D396" s="123" t="s">
        <v>292</v>
      </c>
      <c r="E396" s="41">
        <f t="shared" si="48"/>
        <v>2383</v>
      </c>
      <c r="F396" s="193">
        <v>0.83288</v>
      </c>
      <c r="G396">
        <f t="shared" si="49"/>
        <v>1984.7530399999998</v>
      </c>
      <c r="H396">
        <f t="shared" si="50"/>
        <v>398.2469600000002</v>
      </c>
      <c r="I396" s="192"/>
    </row>
    <row r="397" spans="2:9" ht="15.75">
      <c r="B397" s="123">
        <f t="shared" si="51"/>
        <v>32</v>
      </c>
      <c r="C397" s="101" t="s">
        <v>66</v>
      </c>
      <c r="D397" s="123" t="s">
        <v>292</v>
      </c>
      <c r="E397" s="41">
        <f t="shared" si="48"/>
        <v>1018</v>
      </c>
      <c r="F397" s="193">
        <v>0.83288</v>
      </c>
      <c r="G397">
        <f t="shared" si="49"/>
        <v>847.8718399999999</v>
      </c>
      <c r="H397">
        <f t="shared" si="50"/>
        <v>170.1281600000001</v>
      </c>
      <c r="I397" s="192"/>
    </row>
    <row r="398" spans="2:9" ht="15.75">
      <c r="B398" s="123">
        <f t="shared" si="51"/>
        <v>33</v>
      </c>
      <c r="C398" s="101" t="s">
        <v>67</v>
      </c>
      <c r="D398" s="123" t="s">
        <v>292</v>
      </c>
      <c r="E398" s="41">
        <f t="shared" si="48"/>
        <v>1803</v>
      </c>
      <c r="F398" s="193">
        <v>0.83288</v>
      </c>
      <c r="G398">
        <f t="shared" si="49"/>
        <v>1501.68264</v>
      </c>
      <c r="H398">
        <f t="shared" si="50"/>
        <v>301.31736</v>
      </c>
      <c r="I398" s="192"/>
    </row>
    <row r="399" spans="2:9" ht="15.75">
      <c r="B399" s="123">
        <f t="shared" si="51"/>
        <v>34</v>
      </c>
      <c r="C399" s="101" t="s">
        <v>68</v>
      </c>
      <c r="D399" s="123" t="s">
        <v>292</v>
      </c>
      <c r="E399" s="41">
        <f t="shared" si="48"/>
        <v>937</v>
      </c>
      <c r="F399" s="193">
        <v>0.83288</v>
      </c>
      <c r="G399">
        <f t="shared" si="49"/>
        <v>780.40856</v>
      </c>
      <c r="H399">
        <f t="shared" si="50"/>
        <v>156.59144000000003</v>
      </c>
      <c r="I399" s="192"/>
    </row>
    <row r="400" spans="2:9" ht="15.75">
      <c r="B400" s="123">
        <f t="shared" si="51"/>
        <v>35</v>
      </c>
      <c r="C400" s="101" t="s">
        <v>69</v>
      </c>
      <c r="D400" s="123" t="s">
        <v>292</v>
      </c>
      <c r="E400" s="41">
        <f t="shared" si="48"/>
        <v>3139</v>
      </c>
      <c r="F400" s="193">
        <v>0.83288</v>
      </c>
      <c r="G400">
        <f t="shared" si="49"/>
        <v>2614.41032</v>
      </c>
      <c r="H400">
        <f t="shared" si="50"/>
        <v>524.58968</v>
      </c>
      <c r="I400" s="192"/>
    </row>
    <row r="401" spans="2:9" ht="15.75">
      <c r="B401" s="123">
        <f t="shared" si="51"/>
        <v>36</v>
      </c>
      <c r="C401" s="101" t="s">
        <v>70</v>
      </c>
      <c r="D401" s="123" t="s">
        <v>292</v>
      </c>
      <c r="E401" s="41">
        <f t="shared" si="48"/>
        <v>5142</v>
      </c>
      <c r="F401" s="193">
        <v>0.83288</v>
      </c>
      <c r="G401">
        <f t="shared" si="49"/>
        <v>4282.66896</v>
      </c>
      <c r="H401">
        <f t="shared" si="50"/>
        <v>859.33104</v>
      </c>
      <c r="I401" s="192"/>
    </row>
    <row r="402" spans="2:9" ht="15.75">
      <c r="B402" s="123">
        <f t="shared" si="51"/>
        <v>37</v>
      </c>
      <c r="C402" s="101" t="s">
        <v>71</v>
      </c>
      <c r="D402" s="123" t="s">
        <v>292</v>
      </c>
      <c r="E402" s="41">
        <f t="shared" si="48"/>
        <v>42115.46312328767</v>
      </c>
      <c r="F402" s="193">
        <v>0.83288</v>
      </c>
      <c r="G402">
        <f t="shared" si="49"/>
        <v>35077.126926123834</v>
      </c>
      <c r="H402">
        <f t="shared" si="50"/>
        <v>7038.336197163837</v>
      </c>
      <c r="I402" s="192"/>
    </row>
    <row r="403" spans="2:9" ht="15.75">
      <c r="B403" s="123">
        <f t="shared" si="51"/>
        <v>38</v>
      </c>
      <c r="C403" s="101" t="s">
        <v>72</v>
      </c>
      <c r="D403" s="123" t="s">
        <v>292</v>
      </c>
      <c r="E403" s="41">
        <f t="shared" si="48"/>
        <v>2478</v>
      </c>
      <c r="F403" s="193">
        <v>0.83288</v>
      </c>
      <c r="G403">
        <f t="shared" si="49"/>
        <v>2063.87664</v>
      </c>
      <c r="H403">
        <f t="shared" si="50"/>
        <v>414.12336000000005</v>
      </c>
      <c r="I403" s="192"/>
    </row>
    <row r="404" spans="2:9" ht="15.75">
      <c r="B404" s="123">
        <f t="shared" si="51"/>
        <v>39</v>
      </c>
      <c r="C404" s="101" t="s">
        <v>73</v>
      </c>
      <c r="D404" s="123" t="s">
        <v>292</v>
      </c>
      <c r="E404" s="41">
        <f t="shared" si="48"/>
        <v>7112</v>
      </c>
      <c r="F404" s="193">
        <v>0.83288</v>
      </c>
      <c r="G404">
        <f t="shared" si="49"/>
        <v>5923.4425599999995</v>
      </c>
      <c r="H404">
        <f t="shared" si="50"/>
        <v>1188.5574400000005</v>
      </c>
      <c r="I404" s="192"/>
    </row>
    <row r="405" spans="2:9" ht="15.75">
      <c r="B405" s="123">
        <f t="shared" si="51"/>
        <v>40</v>
      </c>
      <c r="C405" s="101" t="s">
        <v>74</v>
      </c>
      <c r="D405" s="123" t="s">
        <v>292</v>
      </c>
      <c r="E405" s="41">
        <f t="shared" si="48"/>
        <v>16660</v>
      </c>
      <c r="F405" s="193">
        <v>0.83288</v>
      </c>
      <c r="G405">
        <f t="shared" si="49"/>
        <v>13875.780799999999</v>
      </c>
      <c r="H405">
        <f t="shared" si="50"/>
        <v>2784.2192000000014</v>
      </c>
      <c r="I405" s="192"/>
    </row>
    <row r="406" spans="2:9" ht="15.75">
      <c r="B406" s="123">
        <f t="shared" si="51"/>
        <v>41</v>
      </c>
      <c r="C406" s="101" t="s">
        <v>75</v>
      </c>
      <c r="D406" s="123" t="s">
        <v>292</v>
      </c>
      <c r="E406" s="41">
        <f t="shared" si="48"/>
        <v>2376</v>
      </c>
      <c r="F406" s="193">
        <v>0.83288</v>
      </c>
      <c r="G406">
        <f t="shared" si="49"/>
        <v>1978.9228799999999</v>
      </c>
      <c r="H406">
        <f t="shared" si="50"/>
        <v>397.07712000000015</v>
      </c>
      <c r="I406" s="192"/>
    </row>
    <row r="407" spans="2:9" ht="15.75">
      <c r="B407" s="123">
        <f t="shared" si="51"/>
        <v>42</v>
      </c>
      <c r="C407" s="101" t="s">
        <v>76</v>
      </c>
      <c r="D407" s="123" t="s">
        <v>292</v>
      </c>
      <c r="E407" s="41">
        <f t="shared" si="48"/>
        <v>5672</v>
      </c>
      <c r="F407" s="193">
        <v>0.83288</v>
      </c>
      <c r="G407">
        <f t="shared" si="49"/>
        <v>4724.095359999999</v>
      </c>
      <c r="H407">
        <f t="shared" si="50"/>
        <v>947.9046400000007</v>
      </c>
      <c r="I407" s="192"/>
    </row>
    <row r="408" spans="2:9" ht="15.75">
      <c r="B408" s="123">
        <f t="shared" si="51"/>
        <v>43</v>
      </c>
      <c r="C408" s="101" t="s">
        <v>77</v>
      </c>
      <c r="D408" s="123" t="s">
        <v>292</v>
      </c>
      <c r="E408" s="41">
        <f t="shared" si="48"/>
        <v>66000</v>
      </c>
      <c r="F408" s="193">
        <v>0.83288</v>
      </c>
      <c r="G408">
        <f t="shared" si="49"/>
        <v>54970.079999999994</v>
      </c>
      <c r="H408">
        <f t="shared" si="50"/>
        <v>11029.920000000006</v>
      </c>
      <c r="I408" s="192"/>
    </row>
    <row r="409" spans="2:9" ht="15.75">
      <c r="B409" s="123">
        <f t="shared" si="51"/>
        <v>44</v>
      </c>
      <c r="C409" s="101" t="s">
        <v>78</v>
      </c>
      <c r="D409" s="123" t="s">
        <v>292</v>
      </c>
      <c r="E409" s="41">
        <f t="shared" si="48"/>
        <v>-5579</v>
      </c>
      <c r="F409" s="193">
        <v>0.83288</v>
      </c>
      <c r="G409">
        <f t="shared" si="49"/>
        <v>-4646.637519999999</v>
      </c>
      <c r="H409">
        <f t="shared" si="50"/>
        <v>-932.3624800000007</v>
      </c>
      <c r="I409" s="192"/>
    </row>
    <row r="410" spans="2:10" ht="15.75">
      <c r="B410" s="123">
        <f t="shared" si="51"/>
        <v>45</v>
      </c>
      <c r="C410" s="92" t="s">
        <v>79</v>
      </c>
      <c r="D410" s="123" t="str">
        <f>"+Ln "&amp;FIXED(+B373,0,TRUE)&amp;" thru "&amp;FIXED(+B409,0,TRUE)</f>
        <v>+Ln 8 thru 44</v>
      </c>
      <c r="E410" s="186">
        <f>SUM(E373:E409)</f>
        <v>1391746.9631232878</v>
      </c>
      <c r="F410" s="185"/>
      <c r="G410" s="185">
        <f>SUM(G373:G409)</f>
        <v>1159645.0140674468</v>
      </c>
      <c r="H410" s="185">
        <f>SUM(H373:H409)</f>
        <v>232101.94905584113</v>
      </c>
      <c r="I410" s="192"/>
      <c r="J410">
        <f>SUM(G410:H410)</f>
        <v>1391746.963123288</v>
      </c>
    </row>
    <row r="411" spans="2:9" ht="15.75">
      <c r="B411" s="123"/>
      <c r="C411" s="101"/>
      <c r="D411" s="123"/>
      <c r="E411" s="46"/>
      <c r="F411" s="189"/>
      <c r="G411" s="189"/>
      <c r="H411" s="189"/>
      <c r="I411" s="192"/>
    </row>
    <row r="412" spans="2:10" ht="15.75">
      <c r="B412" s="123">
        <f>B410+1</f>
        <v>46</v>
      </c>
      <c r="C412" s="92" t="s">
        <v>80</v>
      </c>
      <c r="D412" s="123" t="str">
        <f>"Ln "&amp;FIXED(+B370,0,TRUE)&amp;"-"&amp;FIXED(+B410,0,TRUE)</f>
        <v>Ln 7-45</v>
      </c>
      <c r="E412" s="186">
        <f>E370-E410</f>
        <v>262214.0368767122</v>
      </c>
      <c r="F412" s="185"/>
      <c r="G412" s="185">
        <f>G370-G410</f>
        <v>289742.9859325532</v>
      </c>
      <c r="H412" s="185">
        <f>H370-H410</f>
        <v>-27528.949055841134</v>
      </c>
      <c r="I412" s="192"/>
      <c r="J412">
        <f>SUM(G412:H412)</f>
        <v>262214.03687671205</v>
      </c>
    </row>
    <row r="413" spans="2:9" ht="15.75">
      <c r="B413" s="123"/>
      <c r="C413" s="92"/>
      <c r="D413" s="123"/>
      <c r="E413" s="46"/>
      <c r="F413" s="189"/>
      <c r="G413" s="189"/>
      <c r="H413" s="189"/>
      <c r="I413" s="192"/>
    </row>
    <row r="414" spans="2:9" ht="15.75">
      <c r="B414" s="123">
        <f>B412+1</f>
        <v>47</v>
      </c>
      <c r="C414" s="92" t="s">
        <v>93</v>
      </c>
      <c r="D414" s="123" t="str">
        <f>"Ln "&amp;FIXED(+B410,0,TRUE)&amp;"/Ln "&amp;FIXED(+B370,0,TRUE)</f>
        <v>Ln 45/Ln 7</v>
      </c>
      <c r="E414" s="15">
        <f>E410/E370</f>
        <v>0.8414629868076018</v>
      </c>
      <c r="F414" s="9"/>
      <c r="G414" s="8">
        <f>G410/G370</f>
        <v>0.8000928764881776</v>
      </c>
      <c r="H414" s="8">
        <f>H410/H370</f>
        <v>1.1345678513579072</v>
      </c>
      <c r="I414" s="192"/>
    </row>
    <row r="415" spans="2:9" ht="15.75">
      <c r="B415" s="114"/>
      <c r="C415" s="101"/>
      <c r="D415" s="123"/>
      <c r="E415" s="46"/>
      <c r="F415" s="189"/>
      <c r="G415" s="189"/>
      <c r="H415" s="189"/>
      <c r="I415" s="192"/>
    </row>
    <row r="416" spans="2:9" ht="15.75">
      <c r="B416" s="123">
        <f>B414+1</f>
        <v>48</v>
      </c>
      <c r="C416" s="101" t="s">
        <v>295</v>
      </c>
      <c r="D416" s="123" t="s">
        <v>35</v>
      </c>
      <c r="E416" s="43">
        <v>116609</v>
      </c>
      <c r="F416" s="193">
        <v>0.84087</v>
      </c>
      <c r="G416">
        <f>E416*F416</f>
        <v>98053.00983</v>
      </c>
      <c r="H416">
        <f>E416-G416</f>
        <v>18555.990170000005</v>
      </c>
      <c r="I416" s="192"/>
    </row>
    <row r="417" spans="2:9" ht="15.75">
      <c r="B417" s="114"/>
      <c r="C417" s="101"/>
      <c r="D417" s="123"/>
      <c r="E417" s="43"/>
      <c r="F417" s="193"/>
      <c r="I417" s="192"/>
    </row>
    <row r="418" spans="2:9" ht="15.75">
      <c r="B418" s="123">
        <f>B416+1</f>
        <v>49</v>
      </c>
      <c r="C418" s="101" t="s">
        <v>296</v>
      </c>
      <c r="D418" s="123" t="str">
        <f>"(Ln "&amp;FIXED(+B412,0,TRUE)&amp;"/ "&amp;FIXED(+E280*100,0,TRUE)&amp;"%) - Ln "&amp;FIXED(+B370,0,TRUE)</f>
        <v>(Ln 46/ 93%) - Ln 7</v>
      </c>
      <c r="E418" s="192">
        <f>(+E410/E280)-E370</f>
        <v>-157458.8891147445</v>
      </c>
      <c r="F418" s="193"/>
      <c r="G418" s="193">
        <f>(+G410/E280)-G370</f>
        <v>-202457.87734683137</v>
      </c>
      <c r="H418" s="193">
        <f>(+H410/E280)-H370</f>
        <v>44998.98823208723</v>
      </c>
      <c r="I418" s="192"/>
    </row>
    <row r="419" spans="2:9" ht="15.75">
      <c r="B419" s="123"/>
      <c r="C419" s="101"/>
      <c r="D419" s="123"/>
      <c r="E419" s="192"/>
      <c r="F419" s="193"/>
      <c r="G419" s="193"/>
      <c r="H419" s="193"/>
      <c r="I419" s="192"/>
    </row>
    <row r="420" spans="2:9" ht="15.75">
      <c r="B420" s="123">
        <f>B418+1</f>
        <v>50</v>
      </c>
      <c r="C420" s="101" t="s">
        <v>297</v>
      </c>
      <c r="D420" s="123"/>
      <c r="E420" s="192">
        <f>G306</f>
        <v>0.97674</v>
      </c>
      <c r="F420" s="193"/>
      <c r="G420" s="193">
        <f>G306</f>
        <v>0.97674</v>
      </c>
      <c r="H420" s="193">
        <f>G306</f>
        <v>0.97674</v>
      </c>
      <c r="I420" s="192"/>
    </row>
    <row r="421" spans="2:9" ht="15.75">
      <c r="B421" s="123"/>
      <c r="C421" s="101"/>
      <c r="D421" s="123"/>
      <c r="E421" s="192"/>
      <c r="F421" s="193"/>
      <c r="G421" s="193"/>
      <c r="H421" s="193"/>
      <c r="I421" s="192"/>
    </row>
    <row r="422" spans="2:9" ht="15.75">
      <c r="B422" s="123">
        <f>B420+1</f>
        <v>51</v>
      </c>
      <c r="C422" s="101" t="s">
        <v>298</v>
      </c>
      <c r="D422" s="123"/>
      <c r="E422" s="192">
        <f>E418/E420</f>
        <v>-161208.6011781482</v>
      </c>
      <c r="F422" s="193"/>
      <c r="G422" s="193">
        <f>G418/G420</f>
        <v>-207279.19133733783</v>
      </c>
      <c r="H422" s="193">
        <f>H418/H420</f>
        <v>46070.59015918998</v>
      </c>
      <c r="I422" s="192"/>
    </row>
    <row r="423" spans="2:9" ht="15.75">
      <c r="B423" s="114"/>
      <c r="C423" s="101"/>
      <c r="D423" s="123"/>
      <c r="E423" s="43"/>
      <c r="F423" s="193"/>
      <c r="I423" s="192"/>
    </row>
    <row r="424" spans="2:9" ht="15.75">
      <c r="B424" s="123">
        <f>B418+1</f>
        <v>50</v>
      </c>
      <c r="C424" s="101" t="s">
        <v>299</v>
      </c>
      <c r="D424" s="123" t="str">
        <f>"Ln "&amp;FIXED(+B418,0,TRUE)&amp;"/Ln "&amp;FIXED(+B416,0,TRUE)</f>
        <v>Ln 49/Ln 48</v>
      </c>
      <c r="E424" s="47">
        <f>E422/E416</f>
        <v>-1.3824713459351183</v>
      </c>
      <c r="F424" s="193"/>
      <c r="G424" s="193">
        <f>G422/G416</f>
        <v>-2.113950318268755</v>
      </c>
      <c r="H424" s="193">
        <f>H422/H416</f>
        <v>2.4827880235501314</v>
      </c>
      <c r="I424" s="192"/>
    </row>
    <row r="425" spans="2:10" ht="15.75">
      <c r="B425" s="123">
        <f>B424+1</f>
        <v>51</v>
      </c>
      <c r="C425" s="101" t="s">
        <v>300</v>
      </c>
      <c r="D425" s="123" t="s">
        <v>301</v>
      </c>
      <c r="E425" s="47"/>
      <c r="F425" s="193"/>
      <c r="G425" s="193">
        <v>0.11</v>
      </c>
      <c r="H425" s="193">
        <v>0.02</v>
      </c>
      <c r="I425" s="192"/>
      <c r="J425" s="193"/>
    </row>
    <row r="426" spans="2:9" ht="15.75">
      <c r="B426" s="123">
        <f>B425+1</f>
        <v>52</v>
      </c>
      <c r="C426" s="101" t="s">
        <v>302</v>
      </c>
      <c r="D426" s="123" t="str">
        <f>"Ln "&amp;FIXED(+B424,0,TRUE)&amp;" + Ln "&amp;FIXED(+B425,0,TRUE)</f>
        <v>Ln 50 + Ln 51</v>
      </c>
      <c r="E426" s="47">
        <f>E430/E416</f>
        <v>-1.2867930459351153</v>
      </c>
      <c r="F426" s="193"/>
      <c r="G426" s="189">
        <f>G424+G425</f>
        <v>-2.003950318268755</v>
      </c>
      <c r="H426" s="189">
        <f>H424+H425</f>
        <v>2.5027880235501314</v>
      </c>
      <c r="I426" s="192"/>
    </row>
    <row r="427" spans="2:9" ht="15.75">
      <c r="B427" s="114"/>
      <c r="C427" s="101"/>
      <c r="D427" s="123"/>
      <c r="E427" s="43"/>
      <c r="F427" s="193"/>
      <c r="I427" s="192"/>
    </row>
    <row r="428" spans="2:9" ht="15.75">
      <c r="B428" s="123">
        <f>B426+1</f>
        <v>53</v>
      </c>
      <c r="C428" s="101" t="s">
        <v>303</v>
      </c>
      <c r="D428" s="123" t="s">
        <v>220</v>
      </c>
      <c r="E428" s="51">
        <f>E410/(E418+E370)</f>
        <v>0.93</v>
      </c>
      <c r="F428" s="193"/>
      <c r="G428" s="193">
        <f>G410/(G418+G370)</f>
        <v>0.9299999999999999</v>
      </c>
      <c r="H428" s="193">
        <f>H410/(H418+H370)</f>
        <v>0.93</v>
      </c>
      <c r="I428" s="192"/>
    </row>
    <row r="429" spans="2:9" ht="15.75">
      <c r="B429" s="123"/>
      <c r="C429" s="101"/>
      <c r="D429" s="123"/>
      <c r="E429" s="51"/>
      <c r="F429" s="193"/>
      <c r="G429" s="193"/>
      <c r="H429" s="193"/>
      <c r="I429" s="192"/>
    </row>
    <row r="430" spans="2:9" ht="15.75">
      <c r="B430" s="123">
        <f>B428+1</f>
        <v>54</v>
      </c>
      <c r="C430" s="101" t="s">
        <v>304</v>
      </c>
      <c r="D430" s="123" t="str">
        <f>"Ln "&amp;FIXED(+B416,0,TRUE)&amp;" X Ln "&amp;FIXED(+B426,0,TRUE)</f>
        <v>Ln 48 X Ln 52</v>
      </c>
      <c r="E430" s="192">
        <f>SUM(G430:H430)</f>
        <v>-150051.65029344786</v>
      </c>
      <c r="F430" s="193"/>
      <c r="G430" s="193">
        <f>G416*G426</f>
        <v>-196493.36025603785</v>
      </c>
      <c r="H430" s="193">
        <f>H416*H426</f>
        <v>46441.70996258998</v>
      </c>
      <c r="I430" s="192"/>
    </row>
    <row r="431" spans="2:9" ht="15.75">
      <c r="B431" s="123"/>
      <c r="C431" s="101"/>
      <c r="D431" s="123"/>
      <c r="E431" s="51"/>
      <c r="F431" s="193"/>
      <c r="G431" s="193"/>
      <c r="H431" s="193"/>
      <c r="I431" s="192"/>
    </row>
    <row r="432" spans="2:9" ht="15.75">
      <c r="B432" s="114"/>
      <c r="C432" s="101"/>
      <c r="D432" s="43"/>
      <c r="E432" s="109"/>
      <c r="F432" s="87"/>
      <c r="G432" s="88"/>
      <c r="H432" s="193"/>
      <c r="I432" s="192"/>
    </row>
    <row r="433" spans="2:8" ht="15.75">
      <c r="B433" s="189"/>
      <c r="C433" s="189"/>
      <c r="D433" s="189"/>
      <c r="E433" s="189"/>
      <c r="F433" s="189"/>
      <c r="G433" s="189"/>
      <c r="H433" s="189"/>
    </row>
    <row r="437" spans="2:8" ht="22.5">
      <c r="B437" s="95" t="s">
        <v>305</v>
      </c>
      <c r="C437" s="10"/>
      <c r="D437" s="176"/>
      <c r="E437" s="10"/>
      <c r="F437" s="10" t="str">
        <f>$G$254</f>
        <v>Initial Order Decision</v>
      </c>
      <c r="G437" s="189"/>
      <c r="H437" s="192"/>
    </row>
    <row r="438" spans="2:8" ht="15.75">
      <c r="B438" s="92" t="s">
        <v>306</v>
      </c>
      <c r="C438" s="133"/>
      <c r="D438" s="72"/>
      <c r="E438" s="76"/>
      <c r="F438" s="76" t="str">
        <f>$G$255</f>
        <v>Docket No. TC-001846</v>
      </c>
      <c r="H438" s="192"/>
    </row>
    <row r="439" spans="2:8" ht="15.75">
      <c r="B439" s="92" t="s">
        <v>307</v>
      </c>
      <c r="C439" s="133"/>
      <c r="D439" s="72"/>
      <c r="E439" s="180"/>
      <c r="F439" s="180" t="s">
        <v>217</v>
      </c>
      <c r="H439" s="192"/>
    </row>
    <row r="440" spans="1:8" ht="15.75">
      <c r="A440" s="147" t="s">
        <v>308</v>
      </c>
      <c r="B440" s="179" t="s">
        <v>309</v>
      </c>
      <c r="C440" s="153"/>
      <c r="D440" s="72"/>
      <c r="E440" s="7"/>
      <c r="H440" s="192"/>
    </row>
    <row r="441" spans="1:8" ht="15.75">
      <c r="A441" s="147"/>
      <c r="B441" s="6"/>
      <c r="C441" s="153"/>
      <c r="D441" s="175"/>
      <c r="E441" s="7"/>
      <c r="H441" s="192"/>
    </row>
    <row r="442" spans="2:8" ht="15.75">
      <c r="B442" s="130"/>
      <c r="C442" s="161"/>
      <c r="D442" s="166" t="s">
        <v>5</v>
      </c>
      <c r="E442" s="164" t="s">
        <v>5</v>
      </c>
      <c r="F442" s="164" t="s">
        <v>310</v>
      </c>
      <c r="G442" s="164"/>
      <c r="H442" s="192"/>
    </row>
    <row r="443" spans="2:8" ht="15.75">
      <c r="B443" s="130" t="s">
        <v>9</v>
      </c>
      <c r="C443" s="161"/>
      <c r="D443" s="165" t="s">
        <v>311</v>
      </c>
      <c r="E443" s="163" t="s">
        <v>311</v>
      </c>
      <c r="F443" s="163" t="s">
        <v>311</v>
      </c>
      <c r="G443" s="163" t="s">
        <v>311</v>
      </c>
      <c r="H443" s="192"/>
    </row>
    <row r="444" spans="2:8" ht="15.75">
      <c r="B444" s="130" t="s">
        <v>15</v>
      </c>
      <c r="C444" s="167" t="s">
        <v>16</v>
      </c>
      <c r="D444" s="165" t="s">
        <v>7</v>
      </c>
      <c r="E444" s="163" t="s">
        <v>312</v>
      </c>
      <c r="F444" s="163" t="s">
        <v>142</v>
      </c>
      <c r="G444" s="163" t="s">
        <v>313</v>
      </c>
      <c r="H444" s="192"/>
    </row>
    <row r="445" spans="2:8" ht="15.75">
      <c r="B445" s="136"/>
      <c r="C445" s="166" t="s">
        <v>24</v>
      </c>
      <c r="D445" s="166" t="s">
        <v>25</v>
      </c>
      <c r="E445" s="135" t="s">
        <v>26</v>
      </c>
      <c r="F445" s="148" t="s">
        <v>27</v>
      </c>
      <c r="G445" s="148" t="s">
        <v>28</v>
      </c>
      <c r="H445" s="192"/>
    </row>
    <row r="446" spans="2:8" ht="15.75">
      <c r="B446" s="137"/>
      <c r="C446" s="67"/>
      <c r="D446" s="67"/>
      <c r="E446" s="4"/>
      <c r="F446" s="190"/>
      <c r="G446" s="190"/>
      <c r="H446" s="192"/>
    </row>
    <row r="447" spans="2:8" ht="15.75">
      <c r="B447" s="137"/>
      <c r="C447" s="168"/>
      <c r="D447" s="67"/>
      <c r="E447" s="4"/>
      <c r="F447" s="190"/>
      <c r="G447" s="190"/>
      <c r="H447" s="192"/>
    </row>
    <row r="448" spans="2:8" ht="15.75">
      <c r="B448" s="137">
        <v>1</v>
      </c>
      <c r="C448" s="169" t="s">
        <v>314</v>
      </c>
      <c r="D448" s="160">
        <f>E21</f>
        <v>1653071</v>
      </c>
      <c r="E448" s="129">
        <f>E61</f>
        <v>1783832</v>
      </c>
      <c r="F448" s="129">
        <f>E63</f>
        <v>-130761</v>
      </c>
      <c r="G448" s="129">
        <f>E448/+D448</f>
        <v>1.0791018655581037</v>
      </c>
      <c r="H448" s="192"/>
    </row>
    <row r="449" spans="2:8" ht="15.75">
      <c r="B449" s="137"/>
      <c r="C449" s="168"/>
      <c r="D449" s="71"/>
      <c r="E449" s="66"/>
      <c r="F449" s="191"/>
      <c r="G449" s="191"/>
      <c r="H449" s="192"/>
    </row>
    <row r="450" spans="2:8" ht="15.75">
      <c r="B450" s="137"/>
      <c r="C450" s="170" t="s">
        <v>315</v>
      </c>
      <c r="D450" s="68"/>
      <c r="E450" s="64"/>
      <c r="F450" s="190"/>
      <c r="G450" s="190"/>
      <c r="H450" s="192"/>
    </row>
    <row r="451" spans="2:8" ht="15.75">
      <c r="B451" s="137">
        <f>B448+1</f>
        <v>2</v>
      </c>
      <c r="C451" s="171" t="s">
        <v>316</v>
      </c>
      <c r="D451" s="67">
        <f>F105</f>
        <v>15923</v>
      </c>
      <c r="E451" s="63">
        <f>F145</f>
        <v>0</v>
      </c>
      <c r="F451" s="190">
        <f>F147</f>
        <v>15923</v>
      </c>
      <c r="G451" s="190"/>
      <c r="H451" s="192"/>
    </row>
    <row r="452" spans="2:8" ht="15.75">
      <c r="B452" s="137">
        <f aca="true" t="shared" si="52" ref="B452:B460">B451+1</f>
        <v>3</v>
      </c>
      <c r="C452" s="171" t="s">
        <v>317</v>
      </c>
      <c r="D452" s="67">
        <f>G105</f>
        <v>0</v>
      </c>
      <c r="E452" s="63">
        <f>G145</f>
        <v>0</v>
      </c>
      <c r="F452" s="190">
        <f>G147</f>
        <v>0</v>
      </c>
      <c r="G452" s="190"/>
      <c r="H452" s="192"/>
    </row>
    <row r="453" spans="2:8" ht="15.75">
      <c r="B453" s="137">
        <f t="shared" si="52"/>
        <v>4</v>
      </c>
      <c r="C453" s="171" t="s">
        <v>318</v>
      </c>
      <c r="D453" s="67">
        <f>H105</f>
        <v>0</v>
      </c>
      <c r="E453" s="63">
        <f>H145</f>
        <v>-38665</v>
      </c>
      <c r="F453" s="190">
        <f>H147</f>
        <v>38665</v>
      </c>
      <c r="G453" s="190"/>
      <c r="H453" s="192"/>
    </row>
    <row r="454" spans="2:8" ht="15.75">
      <c r="B454" s="137">
        <f t="shared" si="52"/>
        <v>5</v>
      </c>
      <c r="C454" s="172" t="s">
        <v>319</v>
      </c>
      <c r="D454" s="67">
        <f>I105</f>
        <v>0</v>
      </c>
      <c r="E454" s="63">
        <f>I145</f>
        <v>10767</v>
      </c>
      <c r="F454" s="190">
        <f>I147</f>
        <v>-10767</v>
      </c>
      <c r="G454" s="149" t="s">
        <v>320</v>
      </c>
      <c r="H454" s="192"/>
    </row>
    <row r="455" spans="2:8" ht="15.75">
      <c r="B455" s="137">
        <f t="shared" si="52"/>
        <v>6</v>
      </c>
      <c r="C455" s="172" t="s">
        <v>321</v>
      </c>
      <c r="D455" s="67">
        <f>J105</f>
        <v>0</v>
      </c>
      <c r="E455" s="63">
        <f>J145</f>
        <v>-360147.5</v>
      </c>
      <c r="F455" s="190">
        <f>J147</f>
        <v>360147.5</v>
      </c>
      <c r="G455" s="149" t="s">
        <v>320</v>
      </c>
      <c r="H455" s="192"/>
    </row>
    <row r="456" spans="2:8" ht="15.75">
      <c r="B456" s="137">
        <f t="shared" si="52"/>
        <v>7</v>
      </c>
      <c r="C456" s="172" t="s">
        <v>322</v>
      </c>
      <c r="D456" s="67">
        <f>K105</f>
        <v>0</v>
      </c>
      <c r="E456" s="63">
        <f>K145</f>
        <v>-17884.53687671233</v>
      </c>
      <c r="F456" s="190">
        <f>K147</f>
        <v>17884.53687671233</v>
      </c>
      <c r="G456" s="149" t="s">
        <v>320</v>
      </c>
      <c r="H456" s="192"/>
    </row>
    <row r="457" spans="2:8" ht="15.75">
      <c r="B457" s="137">
        <f t="shared" si="52"/>
        <v>8</v>
      </c>
      <c r="C457" s="181" t="s">
        <v>323</v>
      </c>
      <c r="D457" s="67">
        <f>L105</f>
        <v>0</v>
      </c>
      <c r="E457" s="63">
        <f>L145</f>
        <v>-4484</v>
      </c>
      <c r="F457" s="190">
        <f>L147</f>
        <v>4484</v>
      </c>
      <c r="G457" s="190"/>
      <c r="H457" s="192"/>
    </row>
    <row r="458" spans="2:8" ht="15.75">
      <c r="B458" s="137">
        <f t="shared" si="52"/>
        <v>9</v>
      </c>
      <c r="C458" s="171" t="s">
        <v>324</v>
      </c>
      <c r="D458" s="67">
        <f>M105</f>
        <v>0</v>
      </c>
      <c r="E458" s="63">
        <f>M145</f>
        <v>-22984</v>
      </c>
      <c r="F458" s="190">
        <f>M147</f>
        <v>22984</v>
      </c>
      <c r="G458" s="190"/>
      <c r="H458" s="192"/>
    </row>
    <row r="459" spans="2:8" ht="15.75">
      <c r="B459" s="137">
        <f t="shared" si="52"/>
        <v>10</v>
      </c>
      <c r="C459" s="171" t="s">
        <v>325</v>
      </c>
      <c r="D459" s="67">
        <f>N105</f>
        <v>0</v>
      </c>
      <c r="E459" s="63">
        <f>N145</f>
        <v>0</v>
      </c>
      <c r="F459" s="190">
        <f>N147</f>
        <v>0</v>
      </c>
      <c r="G459" s="190"/>
      <c r="H459" s="192"/>
    </row>
    <row r="460" spans="2:8" ht="15.75">
      <c r="B460" s="137">
        <f t="shared" si="52"/>
        <v>11</v>
      </c>
      <c r="C460" s="171" t="s">
        <v>326</v>
      </c>
      <c r="D460" s="67">
        <f>O105</f>
        <v>0</v>
      </c>
      <c r="E460" s="63">
        <f>O145</f>
        <v>0</v>
      </c>
      <c r="F460" s="190">
        <f>O147</f>
        <v>0</v>
      </c>
      <c r="G460" s="190"/>
      <c r="H460" s="192"/>
    </row>
    <row r="461" spans="2:8" ht="15.75">
      <c r="B461" s="137"/>
      <c r="C461" s="67"/>
      <c r="D461" s="67"/>
      <c r="E461" s="63"/>
      <c r="F461" s="190"/>
      <c r="G461" s="190"/>
      <c r="H461" s="192"/>
    </row>
    <row r="462" spans="2:8" ht="15.75">
      <c r="B462" s="137">
        <f>B460+1</f>
        <v>12</v>
      </c>
      <c r="C462" s="169" t="s">
        <v>327</v>
      </c>
      <c r="D462" s="131">
        <f>SUM(D451:D460)</f>
        <v>15923</v>
      </c>
      <c r="E462" s="156">
        <f>SUM(E451:E460)</f>
        <v>-433398.03687671234</v>
      </c>
      <c r="F462" s="129">
        <f>SUM(F451:F460)</f>
        <v>449321.03687671234</v>
      </c>
      <c r="G462" s="129"/>
      <c r="H462" s="192"/>
    </row>
    <row r="463" spans="2:8" ht="15.75">
      <c r="B463" s="137"/>
      <c r="C463" s="130"/>
      <c r="D463" s="159"/>
      <c r="E463" s="128"/>
      <c r="F463" s="191"/>
      <c r="G463" s="191"/>
      <c r="H463" s="192"/>
    </row>
    <row r="464" spans="2:8" ht="15.75">
      <c r="B464" s="137">
        <f>B462+1</f>
        <v>13</v>
      </c>
      <c r="C464" s="130" t="s">
        <v>328</v>
      </c>
      <c r="D464" s="160">
        <f>D448+D462</f>
        <v>1668994</v>
      </c>
      <c r="E464" s="129">
        <f>E448+E462</f>
        <v>1350433.9631232875</v>
      </c>
      <c r="F464" s="129">
        <f>F448+F462</f>
        <v>318560.03687671234</v>
      </c>
      <c r="G464" s="129">
        <f>E464/+D464</f>
        <v>0.8091305080325558</v>
      </c>
      <c r="H464" s="192"/>
    </row>
    <row r="465" spans="2:8" ht="15.75">
      <c r="B465" s="137"/>
      <c r="C465" s="168"/>
      <c r="D465" s="160"/>
      <c r="E465" s="129"/>
      <c r="F465" s="191"/>
      <c r="G465" s="191"/>
      <c r="H465" s="192"/>
    </row>
    <row r="466" spans="2:8" ht="15.75">
      <c r="B466" s="137"/>
      <c r="C466" s="173" t="s">
        <v>329</v>
      </c>
      <c r="D466" s="158"/>
      <c r="E466" s="127"/>
      <c r="F466" s="190"/>
      <c r="G466" s="190"/>
      <c r="H466" s="192"/>
    </row>
    <row r="467" spans="2:8" ht="15.75">
      <c r="B467" s="137">
        <f>B464+1</f>
        <v>14</v>
      </c>
      <c r="C467" s="171" t="s">
        <v>330</v>
      </c>
      <c r="D467" s="67">
        <f>F188</f>
        <v>-15033</v>
      </c>
      <c r="E467" s="63">
        <f>F228</f>
        <v>-350</v>
      </c>
      <c r="F467" s="190">
        <f>F230</f>
        <v>-14683</v>
      </c>
      <c r="G467" s="190"/>
      <c r="H467" s="192"/>
    </row>
    <row r="468" spans="2:8" ht="15.75">
      <c r="B468" s="137">
        <f>B467+1</f>
        <v>15</v>
      </c>
      <c r="C468" s="171" t="s">
        <v>331</v>
      </c>
      <c r="D468" s="67">
        <f>G188</f>
        <v>0</v>
      </c>
      <c r="E468" s="63">
        <f>G228</f>
        <v>17934</v>
      </c>
      <c r="F468" s="190">
        <f>G230</f>
        <v>-17934</v>
      </c>
      <c r="G468" s="190"/>
      <c r="H468" s="192"/>
    </row>
    <row r="469" spans="2:8" ht="15.75">
      <c r="B469" s="137">
        <f>B468+1</f>
        <v>16</v>
      </c>
      <c r="C469" s="171" t="s">
        <v>332</v>
      </c>
      <c r="D469" s="67">
        <f>H188</f>
        <v>0</v>
      </c>
      <c r="E469" s="63">
        <f>H228</f>
        <v>11168</v>
      </c>
      <c r="F469" s="190">
        <f>H230</f>
        <v>-11168</v>
      </c>
      <c r="G469" s="190"/>
      <c r="H469" s="192"/>
    </row>
    <row r="470" spans="2:8" ht="15.75">
      <c r="B470" s="137">
        <f>B469+1</f>
        <v>17</v>
      </c>
      <c r="C470" s="172" t="s">
        <v>333</v>
      </c>
      <c r="D470" s="67">
        <f>I188</f>
        <v>0</v>
      </c>
      <c r="E470" s="63">
        <f>I228</f>
        <v>12561</v>
      </c>
      <c r="F470" s="190">
        <f>I230</f>
        <v>-12561</v>
      </c>
      <c r="G470" s="149" t="s">
        <v>320</v>
      </c>
      <c r="H470" s="192"/>
    </row>
    <row r="471" spans="2:8" ht="15.75">
      <c r="B471" s="137">
        <f>B470+1</f>
        <v>18</v>
      </c>
      <c r="C471" s="171" t="s">
        <v>334</v>
      </c>
      <c r="D471" s="67">
        <f>J188</f>
        <v>0</v>
      </c>
      <c r="E471" s="63">
        <f>J228</f>
        <v>0</v>
      </c>
      <c r="F471" s="190">
        <f>J230</f>
        <v>0</v>
      </c>
      <c r="G471" s="190"/>
      <c r="H471" s="192"/>
    </row>
    <row r="472" spans="2:8" ht="15.75">
      <c r="B472" s="137"/>
      <c r="C472" s="174"/>
      <c r="D472" s="67"/>
      <c r="E472" s="63"/>
      <c r="F472" s="190"/>
      <c r="G472" s="190"/>
      <c r="H472" s="192"/>
    </row>
    <row r="473" spans="2:8" ht="15.75">
      <c r="B473" s="137">
        <f>B471+1</f>
        <v>19</v>
      </c>
      <c r="C473" s="130" t="s">
        <v>335</v>
      </c>
      <c r="D473" s="131">
        <f>SUM(D467:D472)</f>
        <v>-15033</v>
      </c>
      <c r="E473" s="156">
        <f>SUM(E467:E472)</f>
        <v>41313</v>
      </c>
      <c r="F473" s="156">
        <f>SUM(F467:F472)</f>
        <v>-56346</v>
      </c>
      <c r="G473" s="190"/>
      <c r="H473" s="192"/>
    </row>
    <row r="474" spans="2:8" ht="15.75">
      <c r="B474" s="137"/>
      <c r="C474" s="67"/>
      <c r="D474" s="69"/>
      <c r="E474" s="5"/>
      <c r="F474" s="190"/>
      <c r="G474" s="190"/>
      <c r="H474" s="192"/>
    </row>
    <row r="475" spans="2:8" ht="15.75">
      <c r="B475" s="137">
        <f>B473+1</f>
        <v>20</v>
      </c>
      <c r="C475" s="130" t="s">
        <v>336</v>
      </c>
      <c r="D475" s="160">
        <f>D464+D473</f>
        <v>1653961</v>
      </c>
      <c r="E475" s="129">
        <f>E464+E473</f>
        <v>1391746.9631232875</v>
      </c>
      <c r="F475" s="129">
        <f>F464+F473</f>
        <v>262214.03687671234</v>
      </c>
      <c r="G475" s="129">
        <f>E475/+D475</f>
        <v>0.8414629868076016</v>
      </c>
      <c r="H475" s="192"/>
    </row>
    <row r="476" spans="2:8" ht="15.75">
      <c r="B476" s="137"/>
      <c r="C476" s="168"/>
      <c r="D476" s="71"/>
      <c r="E476" s="129"/>
      <c r="F476" s="191"/>
      <c r="G476" s="191"/>
      <c r="H476" s="192"/>
    </row>
    <row r="477" spans="2:8" ht="15.75">
      <c r="B477" s="137">
        <f>B476+1</f>
        <v>1</v>
      </c>
      <c r="C477" s="169" t="s">
        <v>337</v>
      </c>
      <c r="D477" s="130">
        <f>J21</f>
        <v>-150051.65029344786</v>
      </c>
      <c r="E477" s="182">
        <f>J61</f>
        <v>-3490.2013858255973</v>
      </c>
      <c r="F477" s="182">
        <f>J63</f>
        <v>-146561.44890762225</v>
      </c>
      <c r="G477" s="190"/>
      <c r="H477" s="192"/>
    </row>
    <row r="478" spans="2:8" ht="15.75">
      <c r="B478" s="137"/>
      <c r="C478" s="130"/>
      <c r="D478" s="68"/>
      <c r="E478" s="4"/>
      <c r="F478" s="190"/>
      <c r="G478" s="190"/>
      <c r="H478" s="192"/>
    </row>
    <row r="479" spans="2:8" ht="15.75">
      <c r="B479" s="137">
        <f>B477+1</f>
        <v>2</v>
      </c>
      <c r="C479" s="169" t="s">
        <v>338</v>
      </c>
      <c r="D479" s="160">
        <f>D475+D477</f>
        <v>1503909.3497065522</v>
      </c>
      <c r="E479" s="129">
        <f>E475+E477</f>
        <v>1388256.761737462</v>
      </c>
      <c r="F479" s="129">
        <f>F475+F477</f>
        <v>115652.58796909009</v>
      </c>
      <c r="G479" s="129">
        <f>E479/+D479</f>
        <v>0.9230986974104145</v>
      </c>
      <c r="H479" s="192"/>
    </row>
    <row r="480" spans="2:8" ht="15.75">
      <c r="B480" s="137"/>
      <c r="C480" s="168"/>
      <c r="D480" s="71"/>
      <c r="E480" s="191"/>
      <c r="F480" s="191"/>
      <c r="G480" s="191"/>
      <c r="H480" s="192"/>
    </row>
    <row r="481" spans="2:8" ht="15.75">
      <c r="B481" s="137"/>
      <c r="C481" s="6"/>
      <c r="D481" s="67"/>
      <c r="E481" s="4"/>
      <c r="F481" s="190"/>
      <c r="G481" s="190"/>
      <c r="H481" s="192"/>
    </row>
    <row r="482" spans="2:7" ht="15.75">
      <c r="B482" s="189"/>
      <c r="C482" s="189"/>
      <c r="D482" s="189"/>
      <c r="E482" s="189"/>
      <c r="F482" s="189"/>
      <c r="G482" s="189"/>
    </row>
    <row r="486" spans="2:18" ht="15.75">
      <c r="B486" s="16" t="str">
        <f>$B$254</f>
        <v>BREMERTON-KITSAP AIRPORTER, INC. C-903</v>
      </c>
      <c r="C486" s="22"/>
      <c r="D486" s="22"/>
      <c r="E486" s="11"/>
      <c r="F486" s="11"/>
      <c r="G486" s="11"/>
      <c r="H486" s="73"/>
      <c r="I486" s="11"/>
      <c r="J486" s="11"/>
      <c r="K486" s="11"/>
      <c r="L486" s="11"/>
      <c r="M486" s="11"/>
      <c r="N486" s="73"/>
      <c r="O486" s="11"/>
      <c r="P486" s="73" t="str">
        <f>$G$254</f>
        <v>Initial Order Decision</v>
      </c>
      <c r="Q486" s="11"/>
      <c r="R486" s="192"/>
    </row>
    <row r="487" spans="2:18" ht="15.75">
      <c r="B487" s="92" t="s">
        <v>339</v>
      </c>
      <c r="E487" s="60"/>
      <c r="F487" s="77"/>
      <c r="G487" s="77"/>
      <c r="H487" s="77"/>
      <c r="I487" s="60"/>
      <c r="J487" s="77"/>
      <c r="K487" s="60"/>
      <c r="L487" s="77"/>
      <c r="M487" s="77"/>
      <c r="N487" s="77"/>
      <c r="O487" s="60"/>
      <c r="P487" s="77" t="str">
        <f>$G$255</f>
        <v>Docket No. TC-001846</v>
      </c>
      <c r="Q487" s="77"/>
      <c r="R487" s="192"/>
    </row>
    <row r="488" spans="2:18" ht="15.75">
      <c r="B488" s="13" t="s">
        <v>340</v>
      </c>
      <c r="E488" s="77"/>
      <c r="F488" s="77"/>
      <c r="G488" s="77"/>
      <c r="H488" s="152"/>
      <c r="I488" s="77"/>
      <c r="J488" s="77"/>
      <c r="K488" s="77"/>
      <c r="L488" s="77"/>
      <c r="M488" s="77"/>
      <c r="N488" s="152"/>
      <c r="O488" s="77"/>
      <c r="P488" s="76" t="s">
        <v>217</v>
      </c>
      <c r="Q488" s="77"/>
      <c r="R488" s="192"/>
    </row>
    <row r="489" spans="2:18" ht="15.75">
      <c r="B489" s="14" t="str">
        <f>$B$256</f>
        <v>FOR THE 12 MONTHS ENDED SEPTEMBER 30, 2000</v>
      </c>
      <c r="E489" s="77"/>
      <c r="F489" s="77"/>
      <c r="G489" s="77"/>
      <c r="H489" s="147"/>
      <c r="I489" s="77"/>
      <c r="J489" s="77"/>
      <c r="K489" s="77"/>
      <c r="L489" s="77"/>
      <c r="M489" s="77"/>
      <c r="N489" s="77"/>
      <c r="O489" s="77"/>
      <c r="P489" s="77"/>
      <c r="Q489" s="77"/>
      <c r="R489" s="192"/>
    </row>
    <row r="490" spans="2:18" ht="15.75">
      <c r="B490" s="74"/>
      <c r="C490" s="77"/>
      <c r="D490" s="77"/>
      <c r="E490" s="147"/>
      <c r="F490" s="147" t="s">
        <v>341</v>
      </c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92"/>
    </row>
    <row r="491" spans="2:18" ht="15.75">
      <c r="B491" s="14"/>
      <c r="C491" s="77"/>
      <c r="D491" s="77"/>
      <c r="E491" s="147"/>
      <c r="F491" s="147" t="s">
        <v>342</v>
      </c>
      <c r="G491" s="147"/>
      <c r="H491" s="147"/>
      <c r="I491" s="147"/>
      <c r="J491" s="147" t="s">
        <v>343</v>
      </c>
      <c r="K491" s="147"/>
      <c r="L491" s="147" t="s">
        <v>344</v>
      </c>
      <c r="M491" s="147" t="s">
        <v>345</v>
      </c>
      <c r="N491" s="147" t="s">
        <v>344</v>
      </c>
      <c r="O491" s="147" t="s">
        <v>346</v>
      </c>
      <c r="P491" s="147" t="s">
        <v>347</v>
      </c>
      <c r="Q491" s="147" t="s">
        <v>348</v>
      </c>
      <c r="R491" s="192"/>
    </row>
    <row r="492" spans="2:18" ht="15.75">
      <c r="B492" s="142" t="s">
        <v>9</v>
      </c>
      <c r="C492" s="77"/>
      <c r="D492" s="77"/>
      <c r="E492" s="147" t="s">
        <v>349</v>
      </c>
      <c r="F492" s="147" t="s">
        <v>345</v>
      </c>
      <c r="G492" s="147" t="s">
        <v>350</v>
      </c>
      <c r="H492" s="147" t="s">
        <v>351</v>
      </c>
      <c r="I492" s="147" t="s">
        <v>352</v>
      </c>
      <c r="J492" s="147" t="s">
        <v>353</v>
      </c>
      <c r="K492" s="147"/>
      <c r="L492" s="147" t="s">
        <v>354</v>
      </c>
      <c r="M492" s="147" t="s">
        <v>355</v>
      </c>
      <c r="N492" s="147" t="s">
        <v>356</v>
      </c>
      <c r="O492" s="147" t="s">
        <v>345</v>
      </c>
      <c r="P492" s="147" t="s">
        <v>357</v>
      </c>
      <c r="Q492" s="147" t="s">
        <v>358</v>
      </c>
      <c r="R492" s="192"/>
    </row>
    <row r="493" spans="2:18" ht="15.75">
      <c r="B493" s="142" t="s">
        <v>15</v>
      </c>
      <c r="C493" s="147" t="s">
        <v>359</v>
      </c>
      <c r="D493" s="147" t="s">
        <v>360</v>
      </c>
      <c r="E493" s="147" t="s">
        <v>361</v>
      </c>
      <c r="F493" s="147" t="s">
        <v>362</v>
      </c>
      <c r="G493" s="147" t="s">
        <v>363</v>
      </c>
      <c r="H493" s="147" t="s">
        <v>364</v>
      </c>
      <c r="I493" s="147" t="s">
        <v>365</v>
      </c>
      <c r="J493" s="147" t="s">
        <v>366</v>
      </c>
      <c r="K493" s="147" t="s">
        <v>367</v>
      </c>
      <c r="L493" s="147" t="s">
        <v>362</v>
      </c>
      <c r="M493" s="147" t="s">
        <v>366</v>
      </c>
      <c r="N493" s="147" t="s">
        <v>368</v>
      </c>
      <c r="O493" s="147" t="s">
        <v>369</v>
      </c>
      <c r="P493" s="147" t="s">
        <v>370</v>
      </c>
      <c r="Q493" s="147" t="s">
        <v>371</v>
      </c>
      <c r="R493" s="192"/>
    </row>
    <row r="494" spans="2:18" ht="15.75">
      <c r="B494" s="144"/>
      <c r="C494" s="144" t="s">
        <v>24</v>
      </c>
      <c r="D494" s="144" t="s">
        <v>25</v>
      </c>
      <c r="E494" s="141" t="s">
        <v>26</v>
      </c>
      <c r="F494" s="148" t="s">
        <v>27</v>
      </c>
      <c r="G494" s="148" t="s">
        <v>28</v>
      </c>
      <c r="H494" s="148" t="s">
        <v>29</v>
      </c>
      <c r="I494" s="146" t="s">
        <v>30</v>
      </c>
      <c r="J494" s="146" t="s">
        <v>31</v>
      </c>
      <c r="K494" s="146" t="s">
        <v>32</v>
      </c>
      <c r="L494" s="146" t="s">
        <v>151</v>
      </c>
      <c r="M494" s="146" t="s">
        <v>152</v>
      </c>
      <c r="N494" s="146" t="s">
        <v>153</v>
      </c>
      <c r="O494" s="146" t="s">
        <v>154</v>
      </c>
      <c r="P494" s="148" t="s">
        <v>155</v>
      </c>
      <c r="Q494" s="148" t="s">
        <v>156</v>
      </c>
      <c r="R494" s="192"/>
    </row>
    <row r="495" spans="2:18" ht="15.75">
      <c r="B495" s="123"/>
      <c r="C495" s="123"/>
      <c r="D495" s="123"/>
      <c r="E495" s="113"/>
      <c r="F495" s="113"/>
      <c r="G495" s="113"/>
      <c r="H495" s="118"/>
      <c r="I495" s="118"/>
      <c r="J495" s="118"/>
      <c r="K495" s="118"/>
      <c r="L495" s="118"/>
      <c r="M495" s="118"/>
      <c r="N495" s="118"/>
      <c r="O495" s="118"/>
      <c r="P495" s="113"/>
      <c r="Q495" s="113"/>
      <c r="R495" s="192"/>
    </row>
    <row r="496" spans="2:18" ht="15.75">
      <c r="B496" s="123"/>
      <c r="C496" s="1"/>
      <c r="D496" s="44"/>
      <c r="E496" s="30"/>
      <c r="F496" s="30"/>
      <c r="G496" s="30"/>
      <c r="H496" s="56"/>
      <c r="I496" s="56"/>
      <c r="J496" s="56"/>
      <c r="K496" s="56"/>
      <c r="L496" s="56"/>
      <c r="M496" s="56"/>
      <c r="N496" s="56"/>
      <c r="O496" s="56"/>
      <c r="P496" s="30"/>
      <c r="Q496" s="30"/>
      <c r="R496" s="192"/>
    </row>
    <row r="497" spans="2:18" ht="15.75">
      <c r="B497" s="123">
        <v>1</v>
      </c>
      <c r="C497" s="101" t="s">
        <v>372</v>
      </c>
      <c r="D497" s="123">
        <v>30</v>
      </c>
      <c r="E497" s="120" t="s">
        <v>373</v>
      </c>
      <c r="F497" s="120">
        <f>(DATE(1999,10,1)-DATE(2000,11,1))/365</f>
        <v>-1.0876712328767124</v>
      </c>
      <c r="G497" s="34">
        <v>30500</v>
      </c>
      <c r="H497" s="58">
        <v>0</v>
      </c>
      <c r="I497" s="58">
        <f aca="true" t="shared" si="53" ref="I497:I503">G497-H497</f>
        <v>30500</v>
      </c>
      <c r="J497" s="58">
        <f aca="true" t="shared" si="54" ref="J497:J503">IF(D497&lt;&gt;0,+I497/D497,0)</f>
        <v>1016.6666666666666</v>
      </c>
      <c r="K497" s="58">
        <v>0</v>
      </c>
      <c r="L497" s="58">
        <v>0</v>
      </c>
      <c r="M497" s="58">
        <f>IF(T517=1,+J497/2,0)</f>
        <v>508.3333333333333</v>
      </c>
      <c r="N497" s="58">
        <f aca="true" t="shared" si="55" ref="N497:N503">M497+L497</f>
        <v>508.3333333333333</v>
      </c>
      <c r="O497" s="58">
        <f>IF(T517=1,((+I497-L497)+(I497-N497))/2,0)</f>
        <v>30245.833333333336</v>
      </c>
      <c r="P497" s="34"/>
      <c r="Q497" s="34"/>
      <c r="R497" s="192"/>
    </row>
    <row r="498" spans="2:18" ht="15.75">
      <c r="B498" s="123">
        <f aca="true" t="shared" si="56" ref="B498:B504">B497+1</f>
        <v>2</v>
      </c>
      <c r="C498" s="101" t="s">
        <v>374</v>
      </c>
      <c r="D498" s="123">
        <v>30</v>
      </c>
      <c r="E498" s="120" t="s">
        <v>375</v>
      </c>
      <c r="F498" s="120">
        <f>(DATE(1999,10,1)-DATE(1998,12,1))/365</f>
        <v>0.8328767123287671</v>
      </c>
      <c r="G498" s="25">
        <v>105266</v>
      </c>
      <c r="H498" s="54">
        <v>0</v>
      </c>
      <c r="I498" s="54">
        <f t="shared" si="53"/>
        <v>105266</v>
      </c>
      <c r="J498" s="58">
        <f t="shared" si="54"/>
        <v>3508.866666666667</v>
      </c>
      <c r="K498" s="54">
        <v>0</v>
      </c>
      <c r="L498" s="54">
        <f aca="true" t="shared" si="57" ref="L498:L503">F498*J498</f>
        <v>2922.4533333333334</v>
      </c>
      <c r="M498" s="54">
        <f aca="true" t="shared" si="58" ref="M498:M503">J498</f>
        <v>3508.866666666667</v>
      </c>
      <c r="N498" s="58">
        <f t="shared" si="55"/>
        <v>6431.32</v>
      </c>
      <c r="O498" s="54">
        <f aca="true" t="shared" si="59" ref="O498:O503">((+I498-L498)+(I498-N498))/2</f>
        <v>100589.11333333333</v>
      </c>
      <c r="P498" s="26"/>
      <c r="Q498" s="25"/>
      <c r="R498" s="192"/>
    </row>
    <row r="499" spans="2:18" ht="15.75">
      <c r="B499" s="123">
        <f t="shared" si="56"/>
        <v>3</v>
      </c>
      <c r="C499" s="101" t="s">
        <v>376</v>
      </c>
      <c r="D499" s="123">
        <v>30</v>
      </c>
      <c r="E499" s="120" t="s">
        <v>377</v>
      </c>
      <c r="F499" s="120">
        <f>(DATE(1999,10,1)-DATE(1986,12,26))/365</f>
        <v>12.772602739726027</v>
      </c>
      <c r="G499" s="25">
        <v>201052</v>
      </c>
      <c r="H499" s="54">
        <v>0</v>
      </c>
      <c r="I499" s="54">
        <f t="shared" si="53"/>
        <v>201052</v>
      </c>
      <c r="J499" s="58">
        <f t="shared" si="54"/>
        <v>6701.733333333334</v>
      </c>
      <c r="K499" s="54">
        <v>0</v>
      </c>
      <c r="L499" s="54">
        <f t="shared" si="57"/>
        <v>85598.57753424658</v>
      </c>
      <c r="M499" s="54">
        <f t="shared" si="58"/>
        <v>6701.733333333334</v>
      </c>
      <c r="N499" s="58">
        <f t="shared" si="55"/>
        <v>92300.31086757992</v>
      </c>
      <c r="O499" s="54">
        <f t="shared" si="59"/>
        <v>112102.55579908675</v>
      </c>
      <c r="P499" s="26"/>
      <c r="Q499" s="25"/>
      <c r="R499" s="192"/>
    </row>
    <row r="500" spans="2:18" ht="15.75">
      <c r="B500" s="123">
        <f t="shared" si="56"/>
        <v>4</v>
      </c>
      <c r="C500" s="101" t="s">
        <v>378</v>
      </c>
      <c r="D500" s="123"/>
      <c r="E500" s="120" t="s">
        <v>377</v>
      </c>
      <c r="F500" s="120">
        <f>(DATE(1999,10,1)-DATE(1986,12,26))/365</f>
        <v>12.772602739726027</v>
      </c>
      <c r="G500" s="25">
        <v>27623</v>
      </c>
      <c r="H500" s="54">
        <v>0</v>
      </c>
      <c r="I500" s="54">
        <f t="shared" si="53"/>
        <v>27623</v>
      </c>
      <c r="J500" s="58">
        <f t="shared" si="54"/>
        <v>0</v>
      </c>
      <c r="K500" s="54">
        <v>0</v>
      </c>
      <c r="L500" s="54">
        <f t="shared" si="57"/>
        <v>0</v>
      </c>
      <c r="M500" s="54">
        <f t="shared" si="58"/>
        <v>0</v>
      </c>
      <c r="N500" s="58">
        <f t="shared" si="55"/>
        <v>0</v>
      </c>
      <c r="O500" s="54">
        <f t="shared" si="59"/>
        <v>27623</v>
      </c>
      <c r="P500" s="25"/>
      <c r="Q500" s="25"/>
      <c r="R500" s="192"/>
    </row>
    <row r="501" spans="2:18" ht="15.75">
      <c r="B501" s="123">
        <f t="shared" si="56"/>
        <v>5</v>
      </c>
      <c r="C501" s="101" t="s">
        <v>379</v>
      </c>
      <c r="D501" s="123"/>
      <c r="E501" s="120" t="s">
        <v>380</v>
      </c>
      <c r="F501" s="120">
        <f>(DATE(1999,10,1)-DATE(1995,11,3))/365</f>
        <v>3.9123287671232876</v>
      </c>
      <c r="G501" s="25">
        <v>20224</v>
      </c>
      <c r="H501" s="54">
        <v>0</v>
      </c>
      <c r="I501" s="54">
        <f t="shared" si="53"/>
        <v>20224</v>
      </c>
      <c r="J501" s="58">
        <f t="shared" si="54"/>
        <v>0</v>
      </c>
      <c r="K501" s="54">
        <v>0</v>
      </c>
      <c r="L501" s="54">
        <f t="shared" si="57"/>
        <v>0</v>
      </c>
      <c r="M501" s="54">
        <f t="shared" si="58"/>
        <v>0</v>
      </c>
      <c r="N501" s="58">
        <f t="shared" si="55"/>
        <v>0</v>
      </c>
      <c r="O501" s="54">
        <f t="shared" si="59"/>
        <v>20224</v>
      </c>
      <c r="P501" s="25"/>
      <c r="Q501" s="25"/>
      <c r="R501" s="192"/>
    </row>
    <row r="502" spans="2:18" ht="15.75">
      <c r="B502" s="123">
        <f t="shared" si="56"/>
        <v>6</v>
      </c>
      <c r="C502" s="101" t="s">
        <v>381</v>
      </c>
      <c r="D502" s="123"/>
      <c r="E502" s="120" t="s">
        <v>382</v>
      </c>
      <c r="F502" s="120">
        <f>(DATE(1999,10,1)-DATE(1995,12,31))/365</f>
        <v>3.7534246575342465</v>
      </c>
      <c r="G502" s="25">
        <v>2580</v>
      </c>
      <c r="H502" s="54">
        <v>0</v>
      </c>
      <c r="I502" s="54">
        <f t="shared" si="53"/>
        <v>2580</v>
      </c>
      <c r="J502" s="58">
        <f t="shared" si="54"/>
        <v>0</v>
      </c>
      <c r="K502" s="54">
        <v>0</v>
      </c>
      <c r="L502" s="54">
        <f t="shared" si="57"/>
        <v>0</v>
      </c>
      <c r="M502" s="54">
        <f t="shared" si="58"/>
        <v>0</v>
      </c>
      <c r="N502" s="58">
        <f t="shared" si="55"/>
        <v>0</v>
      </c>
      <c r="O502" s="54">
        <f t="shared" si="59"/>
        <v>2580</v>
      </c>
      <c r="P502" s="25"/>
      <c r="Q502" s="25"/>
      <c r="R502" s="192"/>
    </row>
    <row r="503" spans="2:18" ht="15.75">
      <c r="B503" s="123">
        <f t="shared" si="56"/>
        <v>7</v>
      </c>
      <c r="C503" s="101" t="s">
        <v>383</v>
      </c>
      <c r="D503" s="123">
        <v>30</v>
      </c>
      <c r="E503" s="120" t="s">
        <v>384</v>
      </c>
      <c r="F503" s="120">
        <f>(DATE(1999,10,1)-DATE(1986,12,26))/365</f>
        <v>12.772602739726027</v>
      </c>
      <c r="G503" s="25">
        <v>3692</v>
      </c>
      <c r="H503" s="54">
        <v>0</v>
      </c>
      <c r="I503" s="54">
        <f t="shared" si="53"/>
        <v>3692</v>
      </c>
      <c r="J503" s="58">
        <f t="shared" si="54"/>
        <v>123.06666666666666</v>
      </c>
      <c r="K503" s="54">
        <v>0</v>
      </c>
      <c r="L503" s="54">
        <f t="shared" si="57"/>
        <v>1571.8816438356164</v>
      </c>
      <c r="M503" s="54">
        <f t="shared" si="58"/>
        <v>123.06666666666666</v>
      </c>
      <c r="N503" s="58">
        <f t="shared" si="55"/>
        <v>1694.948310502283</v>
      </c>
      <c r="O503" s="54">
        <f t="shared" si="59"/>
        <v>2058.5850228310505</v>
      </c>
      <c r="P503" s="26"/>
      <c r="Q503" s="25"/>
      <c r="R503" s="192"/>
    </row>
    <row r="504" spans="2:18" ht="15.75">
      <c r="B504" s="123">
        <f t="shared" si="56"/>
        <v>8</v>
      </c>
      <c r="C504" s="101" t="s">
        <v>385</v>
      </c>
      <c r="D504" s="125"/>
      <c r="E504" s="53"/>
      <c r="F504" s="121"/>
      <c r="G504" s="36">
        <f aca="true" t="shared" si="60" ref="G504:O504">SUM(G497:G503)</f>
        <v>390937</v>
      </c>
      <c r="H504" s="20">
        <f t="shared" si="60"/>
        <v>0</v>
      </c>
      <c r="I504" s="20">
        <f t="shared" si="60"/>
        <v>390937</v>
      </c>
      <c r="J504" s="20">
        <f t="shared" si="60"/>
        <v>11350.333333333334</v>
      </c>
      <c r="K504" s="20">
        <f t="shared" si="60"/>
        <v>0</v>
      </c>
      <c r="L504" s="20">
        <f t="shared" si="60"/>
        <v>90092.91251141553</v>
      </c>
      <c r="M504" s="20">
        <f t="shared" si="60"/>
        <v>10842.000000000002</v>
      </c>
      <c r="N504" s="20">
        <f t="shared" si="60"/>
        <v>100934.91251141553</v>
      </c>
      <c r="O504" s="20">
        <f t="shared" si="60"/>
        <v>295423.08748858445</v>
      </c>
      <c r="P504" s="25"/>
      <c r="Q504" s="25"/>
      <c r="R504" s="192"/>
    </row>
    <row r="505" spans="2:18" ht="15.75">
      <c r="B505" s="123"/>
      <c r="C505" s="101"/>
      <c r="D505" s="123"/>
      <c r="E505" s="49"/>
      <c r="F505" s="120"/>
      <c r="G505" s="33"/>
      <c r="H505" s="57"/>
      <c r="I505" s="57"/>
      <c r="J505" s="57"/>
      <c r="K505" s="57"/>
      <c r="L505" s="57"/>
      <c r="M505" s="57"/>
      <c r="N505" s="57"/>
      <c r="O505" s="57"/>
      <c r="P505" s="33"/>
      <c r="Q505" s="33"/>
      <c r="R505" s="192"/>
    </row>
    <row r="506" spans="2:18" ht="15.75">
      <c r="B506" s="123"/>
      <c r="C506" s="101" t="s">
        <v>386</v>
      </c>
      <c r="D506" s="123"/>
      <c r="E506" s="49"/>
      <c r="F506" s="120"/>
      <c r="G506" s="33"/>
      <c r="H506" s="57"/>
      <c r="I506" s="57"/>
      <c r="J506" s="57"/>
      <c r="K506" s="57"/>
      <c r="L506" s="57"/>
      <c r="M506" s="57"/>
      <c r="N506" s="57"/>
      <c r="O506" s="57"/>
      <c r="P506" s="33"/>
      <c r="Q506" s="33"/>
      <c r="R506" s="192"/>
    </row>
    <row r="507" spans="2:18" ht="15.75">
      <c r="B507" s="123"/>
      <c r="C507" s="101" t="s">
        <v>387</v>
      </c>
      <c r="D507" s="123"/>
      <c r="E507" s="26"/>
      <c r="F507" s="120"/>
      <c r="G507" s="48"/>
      <c r="H507" s="54"/>
      <c r="I507" s="54"/>
      <c r="J507" s="54"/>
      <c r="K507" s="54"/>
      <c r="L507" s="54"/>
      <c r="M507" s="54"/>
      <c r="N507" s="54"/>
      <c r="O507" s="54"/>
      <c r="P507" s="25"/>
      <c r="Q507" s="25"/>
      <c r="R507" s="192"/>
    </row>
    <row r="508" spans="2:19" ht="15.75">
      <c r="B508" s="123">
        <f>B504+1</f>
        <v>9</v>
      </c>
      <c r="C508" s="101" t="s">
        <v>388</v>
      </c>
      <c r="D508" s="123"/>
      <c r="E508" s="26"/>
      <c r="F508" s="120"/>
      <c r="G508" s="25"/>
      <c r="H508" s="54"/>
      <c r="I508" s="54"/>
      <c r="J508" s="54"/>
      <c r="K508" s="54"/>
      <c r="L508" s="54"/>
      <c r="M508" s="54"/>
      <c r="N508" s="54"/>
      <c r="O508" s="54"/>
      <c r="P508" s="25">
        <f>M504</f>
        <v>10842.000000000002</v>
      </c>
      <c r="Q508" s="25"/>
      <c r="R508" s="192"/>
      <c r="S508">
        <f>(133564+31158)/2</f>
        <v>82361</v>
      </c>
    </row>
    <row r="509" spans="2:20" ht="15.75">
      <c r="B509" s="123">
        <f>B508+1</f>
        <v>10</v>
      </c>
      <c r="C509" s="101" t="s">
        <v>389</v>
      </c>
      <c r="D509" s="123"/>
      <c r="E509" s="26"/>
      <c r="F509" s="120"/>
      <c r="G509" s="25"/>
      <c r="H509" s="54"/>
      <c r="I509" s="54"/>
      <c r="J509" s="54"/>
      <c r="K509" s="54"/>
      <c r="L509" s="54"/>
      <c r="M509" s="54"/>
      <c r="N509" s="54"/>
      <c r="O509" s="54"/>
      <c r="P509" s="25">
        <f>Q509*0.05</f>
        <v>6545</v>
      </c>
      <c r="Q509" s="25">
        <f>IF(T517=1,+S510,+S509)</f>
        <v>130900</v>
      </c>
      <c r="R509" s="192"/>
      <c r="S509">
        <v>130900</v>
      </c>
      <c r="T509">
        <f>(133564+31158)/2</f>
        <v>82361</v>
      </c>
    </row>
    <row r="510" spans="2:20" ht="15.75">
      <c r="B510" s="123">
        <f>B509+1</f>
        <v>11</v>
      </c>
      <c r="C510" s="101" t="s">
        <v>390</v>
      </c>
      <c r="D510" s="123"/>
      <c r="E510" s="26"/>
      <c r="F510" s="120"/>
      <c r="G510" s="25"/>
      <c r="H510" s="54"/>
      <c r="I510" s="54"/>
      <c r="J510" s="54"/>
      <c r="K510" s="54"/>
      <c r="L510" s="54"/>
      <c r="M510" s="54"/>
      <c r="N510" s="54"/>
      <c r="O510" s="54"/>
      <c r="P510" s="25">
        <f>Q510*0.15</f>
        <v>24678.463123287667</v>
      </c>
      <c r="Q510" s="25">
        <f>Q511-Q509</f>
        <v>164523.08748858445</v>
      </c>
      <c r="R510" s="192"/>
      <c r="S510">
        <v>130900</v>
      </c>
      <c r="T510">
        <v>31158</v>
      </c>
    </row>
    <row r="511" spans="2:18" ht="15.75">
      <c r="B511" s="123"/>
      <c r="C511" s="101"/>
      <c r="D511" s="123"/>
      <c r="E511" s="26"/>
      <c r="F511" s="120"/>
      <c r="G511" s="25"/>
      <c r="H511" s="54"/>
      <c r="I511" s="54"/>
      <c r="J511" s="54"/>
      <c r="K511" s="54"/>
      <c r="L511" s="54"/>
      <c r="M511" s="54"/>
      <c r="N511" s="54"/>
      <c r="O511" s="54"/>
      <c r="P511" s="25"/>
      <c r="Q511" s="25">
        <f>O504</f>
        <v>295423.08748858445</v>
      </c>
      <c r="R511" s="192"/>
    </row>
    <row r="512" spans="2:18" ht="15.75">
      <c r="B512" s="123">
        <f>B510+1</f>
        <v>12</v>
      </c>
      <c r="C512" s="101" t="s">
        <v>391</v>
      </c>
      <c r="D512" s="123"/>
      <c r="E512" s="26"/>
      <c r="F512" s="120"/>
      <c r="G512" s="25"/>
      <c r="H512" s="54"/>
      <c r="I512" s="54"/>
      <c r="J512" s="54"/>
      <c r="K512" s="54"/>
      <c r="L512" s="54"/>
      <c r="M512" s="54"/>
      <c r="N512" s="54"/>
      <c r="O512" s="54"/>
      <c r="P512" s="25">
        <v>50</v>
      </c>
      <c r="Q512" s="25"/>
      <c r="R512" s="192"/>
    </row>
    <row r="513" spans="2:20" ht="15.75">
      <c r="B513" s="123">
        <f>B512+1</f>
        <v>13</v>
      </c>
      <c r="C513" s="101" t="s">
        <v>392</v>
      </c>
      <c r="D513" s="123"/>
      <c r="E513" s="26"/>
      <c r="F513" s="120"/>
      <c r="G513" s="25"/>
      <c r="H513" s="54"/>
      <c r="I513" s="54"/>
      <c r="J513" s="54"/>
      <c r="K513" s="54"/>
      <c r="L513" s="54"/>
      <c r="M513" s="54"/>
      <c r="N513" s="54"/>
      <c r="O513" s="54"/>
      <c r="P513" s="36">
        <f>SUM(P508:P512)</f>
        <v>42115.46312328767</v>
      </c>
      <c r="Q513" s="25"/>
      <c r="R513" s="192"/>
      <c r="T513">
        <f>35103/0.15</f>
        <v>234020</v>
      </c>
    </row>
    <row r="514" spans="2:20" ht="15.75">
      <c r="B514" s="123">
        <f>B513+1</f>
        <v>14</v>
      </c>
      <c r="C514" s="101" t="s">
        <v>393</v>
      </c>
      <c r="D514" s="123"/>
      <c r="E514" s="26"/>
      <c r="F514" s="120"/>
      <c r="G514" s="25"/>
      <c r="H514" s="54"/>
      <c r="I514" s="54"/>
      <c r="J514" s="54"/>
      <c r="K514" s="54"/>
      <c r="L514" s="54"/>
      <c r="M514" s="54"/>
      <c r="N514" s="54"/>
      <c r="O514" s="54"/>
      <c r="P514" s="36">
        <v>60000</v>
      </c>
      <c r="Q514" s="25"/>
      <c r="R514" s="192"/>
      <c r="S514">
        <f>35103/0.15</f>
        <v>234020</v>
      </c>
      <c r="T514">
        <f>Q511-T513</f>
        <v>61403.08748858445</v>
      </c>
    </row>
    <row r="515" spans="2:19" ht="15.75">
      <c r="B515" s="123">
        <f>B514+1</f>
        <v>15</v>
      </c>
      <c r="C515" s="101" t="s">
        <v>394</v>
      </c>
      <c r="D515" s="123"/>
      <c r="E515" s="26"/>
      <c r="F515" s="120"/>
      <c r="G515" s="25"/>
      <c r="H515" s="54"/>
      <c r="I515" s="54"/>
      <c r="J515" s="54"/>
      <c r="K515" s="54"/>
      <c r="L515" s="54"/>
      <c r="M515" s="54"/>
      <c r="N515" s="54"/>
      <c r="O515" s="54"/>
      <c r="P515" s="36">
        <f>P513-P514</f>
        <v>-17884.53687671233</v>
      </c>
      <c r="Q515" s="25"/>
      <c r="R515" s="192"/>
      <c r="S515">
        <v>134277</v>
      </c>
    </row>
    <row r="516" spans="2:19" ht="15.75">
      <c r="B516" s="123"/>
      <c r="C516" s="101"/>
      <c r="D516" s="123"/>
      <c r="E516" s="49"/>
      <c r="F516" s="120"/>
      <c r="G516" s="33"/>
      <c r="H516" s="57"/>
      <c r="I516" s="57"/>
      <c r="J516" s="57"/>
      <c r="K516" s="57"/>
      <c r="L516" s="57"/>
      <c r="M516" s="57"/>
      <c r="N516" s="57"/>
      <c r="O516" s="57"/>
      <c r="P516" s="39"/>
      <c r="Q516" s="33"/>
      <c r="R516" s="192"/>
      <c r="S516">
        <f>S514-S515</f>
        <v>99743</v>
      </c>
    </row>
    <row r="517" spans="2:21" ht="15.75">
      <c r="B517" s="123"/>
      <c r="C517" s="101"/>
      <c r="D517" s="123"/>
      <c r="E517" s="49"/>
      <c r="F517" s="120"/>
      <c r="G517" s="33"/>
      <c r="H517" s="57"/>
      <c r="I517" s="57"/>
      <c r="J517" s="57"/>
      <c r="K517" s="57"/>
      <c r="L517" s="57"/>
      <c r="M517" s="57"/>
      <c r="N517" s="57"/>
      <c r="O517" s="57"/>
      <c r="P517" s="33"/>
      <c r="Q517" s="33"/>
      <c r="R517" s="192"/>
      <c r="S517" s="106" t="s">
        <v>395</v>
      </c>
      <c r="T517" s="120">
        <v>1</v>
      </c>
      <c r="U517" s="192"/>
    </row>
    <row r="518" spans="2:18" ht="15.75">
      <c r="B518" s="123"/>
      <c r="C518" s="101"/>
      <c r="D518" s="123"/>
      <c r="E518" s="49"/>
      <c r="F518" s="120"/>
      <c r="G518" s="33"/>
      <c r="H518" s="57"/>
      <c r="I518" s="57"/>
      <c r="J518" s="57"/>
      <c r="K518" s="57"/>
      <c r="L518" s="57"/>
      <c r="M518" s="57"/>
      <c r="N518" s="57"/>
      <c r="O518" s="57"/>
      <c r="P518" s="33"/>
      <c r="Q518" s="33"/>
      <c r="R518" s="192"/>
    </row>
    <row r="519" spans="2:18" ht="15.75">
      <c r="B519" s="123"/>
      <c r="C519" s="101"/>
      <c r="D519" s="123"/>
      <c r="E519" s="49"/>
      <c r="F519" s="120"/>
      <c r="G519" s="33"/>
      <c r="H519" s="57"/>
      <c r="I519" s="57"/>
      <c r="J519" s="57"/>
      <c r="K519" s="57"/>
      <c r="L519" s="57"/>
      <c r="M519" s="57"/>
      <c r="N519" s="57"/>
      <c r="O519" s="57"/>
      <c r="P519" s="33"/>
      <c r="Q519" s="33"/>
      <c r="R519" s="192"/>
    </row>
    <row r="520" spans="2:18" ht="15.75">
      <c r="B520" s="123"/>
      <c r="C520" s="101"/>
      <c r="D520" s="123"/>
      <c r="E520" s="50"/>
      <c r="F520" s="119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192"/>
    </row>
    <row r="521" spans="2:18" ht="15.75">
      <c r="B521" s="123"/>
      <c r="C521" s="101"/>
      <c r="D521" s="123"/>
      <c r="E521" s="49"/>
      <c r="F521" s="126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192"/>
    </row>
    <row r="522" spans="2:18" ht="15.75">
      <c r="B522" s="123"/>
      <c r="C522" s="101"/>
      <c r="D522" s="123"/>
      <c r="E522" s="103"/>
      <c r="F522" s="126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192"/>
    </row>
    <row r="523" spans="2:18" ht="15.75">
      <c r="B523" s="123"/>
      <c r="C523" s="101"/>
      <c r="D523" s="123"/>
      <c r="E523" s="49"/>
      <c r="F523" s="126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192"/>
    </row>
    <row r="524" spans="2:18" ht="15.75">
      <c r="B524" s="114"/>
      <c r="C524" s="101"/>
      <c r="D524" s="120"/>
      <c r="E524" s="49"/>
      <c r="F524" s="126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192"/>
    </row>
    <row r="525" spans="2:17" ht="15.75"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</row>
    <row r="528" ht="15.75">
      <c r="R528" s="81"/>
    </row>
    <row r="529" spans="3:13" ht="15.75">
      <c r="C529" s="76"/>
      <c r="I529" s="81"/>
      <c r="M529" s="76"/>
    </row>
    <row r="530" spans="2:10" ht="15.75">
      <c r="B530" t="s">
        <v>396</v>
      </c>
      <c r="J530" t="s">
        <v>340</v>
      </c>
    </row>
    <row r="531" spans="1:15" ht="15.75">
      <c r="A531" t="s">
        <v>397</v>
      </c>
      <c r="B531" s="155" t="s">
        <v>398</v>
      </c>
      <c r="E531" s="155" t="s">
        <v>399</v>
      </c>
      <c r="J531" s="155" t="s">
        <v>400</v>
      </c>
      <c r="O531" s="155" t="s">
        <v>401</v>
      </c>
    </row>
    <row r="532" spans="2:15" ht="15.75">
      <c r="B532" s="81" t="s">
        <v>402</v>
      </c>
      <c r="E532" s="81" t="s">
        <v>402</v>
      </c>
      <c r="J532" s="81" t="s">
        <v>403</v>
      </c>
      <c r="O532" s="81" t="s">
        <v>402</v>
      </c>
    </row>
    <row r="533" spans="2:15" ht="15.75">
      <c r="B533" s="81" t="s">
        <v>404</v>
      </c>
      <c r="E533" t="s">
        <v>405</v>
      </c>
      <c r="J533" t="s">
        <v>405</v>
      </c>
      <c r="O533" t="s">
        <v>405</v>
      </c>
    </row>
    <row r="534" spans="2:19" ht="15.75">
      <c r="B534" t="s">
        <v>405</v>
      </c>
      <c r="E534" s="81" t="s">
        <v>406</v>
      </c>
      <c r="J534" s="81" t="s">
        <v>407</v>
      </c>
      <c r="O534" s="81" t="s">
        <v>408</v>
      </c>
      <c r="S534" s="81" t="s">
        <v>409</v>
      </c>
    </row>
    <row r="535" spans="2:15" ht="15.75">
      <c r="B535" t="s">
        <v>410</v>
      </c>
      <c r="E535" t="s">
        <v>410</v>
      </c>
      <c r="J535" t="s">
        <v>410</v>
      </c>
      <c r="O535" t="s">
        <v>410</v>
      </c>
    </row>
    <row r="536" spans="2:15" ht="15.75">
      <c r="B536" s="81" t="s">
        <v>411</v>
      </c>
      <c r="E536" s="81" t="s">
        <v>412</v>
      </c>
      <c r="J536" s="81" t="s">
        <v>412</v>
      </c>
      <c r="O536" s="81" t="s">
        <v>413</v>
      </c>
    </row>
    <row r="537" spans="2:15" ht="15.75">
      <c r="B537" s="81" t="s">
        <v>414</v>
      </c>
      <c r="E537" s="81" t="s">
        <v>415</v>
      </c>
      <c r="J537" s="81" t="s">
        <v>415</v>
      </c>
      <c r="O537" s="81" t="s">
        <v>415</v>
      </c>
    </row>
    <row r="538" spans="2:15" ht="15.75">
      <c r="B538" s="81" t="s">
        <v>416</v>
      </c>
      <c r="E538" s="81" t="s">
        <v>417</v>
      </c>
      <c r="J538" s="81" t="s">
        <v>417</v>
      </c>
      <c r="O538" s="81" t="s">
        <v>417</v>
      </c>
    </row>
    <row r="539" spans="2:15" ht="15.75">
      <c r="B539" s="81" t="s">
        <v>418</v>
      </c>
      <c r="E539" s="81" t="s">
        <v>419</v>
      </c>
      <c r="J539" s="81" t="s">
        <v>419</v>
      </c>
      <c r="O539" s="81" t="s">
        <v>419</v>
      </c>
    </row>
    <row r="540" spans="2:15" ht="15.75">
      <c r="B540" s="81" t="s">
        <v>420</v>
      </c>
      <c r="E540" s="81" t="s">
        <v>421</v>
      </c>
      <c r="J540" s="81" t="s">
        <v>422</v>
      </c>
      <c r="O540" s="81" t="s">
        <v>423</v>
      </c>
    </row>
    <row r="541" spans="2:15" ht="15.75">
      <c r="B541" s="81" t="s">
        <v>424</v>
      </c>
      <c r="E541" t="s">
        <v>425</v>
      </c>
      <c r="G541" s="81" t="s">
        <v>426</v>
      </c>
      <c r="J541" t="s">
        <v>425</v>
      </c>
      <c r="O541" t="s">
        <v>425</v>
      </c>
    </row>
    <row r="542" spans="2:15" ht="15.75">
      <c r="B542" s="81" t="s">
        <v>427</v>
      </c>
      <c r="E542" t="s">
        <v>428</v>
      </c>
      <c r="J542" t="s">
        <v>428</v>
      </c>
      <c r="O542" t="s">
        <v>428</v>
      </c>
    </row>
    <row r="543" ht="15.75">
      <c r="B543" t="s">
        <v>425</v>
      </c>
    </row>
    <row r="544" ht="15.75">
      <c r="B544" s="81" t="s">
        <v>429</v>
      </c>
    </row>
    <row r="545" spans="2:5" ht="15.75">
      <c r="B545" s="81" t="s">
        <v>430</v>
      </c>
      <c r="E545" s="81"/>
    </row>
    <row r="546" ht="15.75">
      <c r="B546" t="s">
        <v>425</v>
      </c>
    </row>
    <row r="547" ht="15.75">
      <c r="B547" t="s">
        <v>428</v>
      </c>
    </row>
    <row r="548" ht="15.75">
      <c r="D548" s="81"/>
    </row>
    <row r="551" ht="15.75">
      <c r="B551" s="81" t="s">
        <v>431</v>
      </c>
    </row>
    <row r="552" ht="15.75">
      <c r="B552" s="81" t="s">
        <v>432</v>
      </c>
    </row>
    <row r="553" ht="15.75">
      <c r="B553" t="s">
        <v>425</v>
      </c>
    </row>
    <row r="554" spans="2:8" ht="22.5">
      <c r="B554" s="95" t="s">
        <v>305</v>
      </c>
      <c r="C554" s="10"/>
      <c r="D554" s="176"/>
      <c r="E554" s="10"/>
      <c r="F554" s="10" t="str">
        <f>$G$254</f>
        <v>Initial Order Decision</v>
      </c>
      <c r="G554" s="189"/>
      <c r="H554" s="192"/>
    </row>
    <row r="555" spans="2:8" ht="15.75">
      <c r="B555" s="92" t="s">
        <v>306</v>
      </c>
      <c r="C555" s="133"/>
      <c r="D555" s="72"/>
      <c r="E555" s="76"/>
      <c r="F555" s="76" t="str">
        <f>$G$255</f>
        <v>Docket No. TC-001846</v>
      </c>
      <c r="H555" s="192"/>
    </row>
    <row r="556" spans="2:8" ht="15.75">
      <c r="B556" s="92" t="s">
        <v>307</v>
      </c>
      <c r="C556" s="133"/>
      <c r="D556" s="72"/>
      <c r="E556" s="180"/>
      <c r="F556" s="180" t="s">
        <v>217</v>
      </c>
      <c r="H556" s="192"/>
    </row>
    <row r="557" spans="2:8" ht="15.75">
      <c r="B557" s="179" t="s">
        <v>433</v>
      </c>
      <c r="C557" s="153"/>
      <c r="D557" s="72"/>
      <c r="E557" s="7"/>
      <c r="H557" s="85"/>
    </row>
    <row r="558" spans="2:8" ht="15.75">
      <c r="B558" s="6"/>
      <c r="C558" s="153"/>
      <c r="D558" s="175"/>
      <c r="E558" s="7"/>
      <c r="H558" s="85"/>
    </row>
    <row r="559" spans="2:8" ht="15.75">
      <c r="B559" s="130"/>
      <c r="C559" s="161"/>
      <c r="D559" s="166" t="s">
        <v>5</v>
      </c>
      <c r="E559" s="164" t="s">
        <v>5</v>
      </c>
      <c r="F559" s="164" t="s">
        <v>310</v>
      </c>
      <c r="G559" s="164"/>
      <c r="H559" s="192"/>
    </row>
    <row r="560" spans="2:8" ht="15.75">
      <c r="B560" s="130" t="s">
        <v>9</v>
      </c>
      <c r="C560" s="161"/>
      <c r="D560" s="165" t="s">
        <v>311</v>
      </c>
      <c r="E560" s="163" t="s">
        <v>311</v>
      </c>
      <c r="F560" s="163" t="s">
        <v>311</v>
      </c>
      <c r="G560" s="163" t="s">
        <v>311</v>
      </c>
      <c r="H560" s="192"/>
    </row>
    <row r="561" spans="2:9" ht="15.75">
      <c r="B561" s="130" t="s">
        <v>15</v>
      </c>
      <c r="C561" s="167" t="s">
        <v>16</v>
      </c>
      <c r="D561" s="165" t="s">
        <v>7</v>
      </c>
      <c r="E561" s="163" t="s">
        <v>312</v>
      </c>
      <c r="F561" s="163" t="s">
        <v>142</v>
      </c>
      <c r="G561" s="163" t="s">
        <v>313</v>
      </c>
      <c r="H561" s="192"/>
      <c r="I561" s="81" t="s">
        <v>431</v>
      </c>
    </row>
    <row r="562" spans="2:9" ht="15.75">
      <c r="B562" s="136"/>
      <c r="C562" s="166" t="s">
        <v>24</v>
      </c>
      <c r="D562" s="166" t="s">
        <v>25</v>
      </c>
      <c r="E562" s="135" t="s">
        <v>26</v>
      </c>
      <c r="F562" s="148" t="s">
        <v>27</v>
      </c>
      <c r="G562" s="148" t="s">
        <v>28</v>
      </c>
      <c r="H562" s="192"/>
      <c r="I562" s="81" t="s">
        <v>434</v>
      </c>
    </row>
    <row r="563" spans="2:8" ht="15.75">
      <c r="B563" s="137"/>
      <c r="C563" s="67"/>
      <c r="D563" s="67"/>
      <c r="E563" s="4"/>
      <c r="F563" s="190"/>
      <c r="G563" s="190"/>
      <c r="H563" s="192"/>
    </row>
    <row r="564" spans="2:8" ht="15.75">
      <c r="B564" s="137"/>
      <c r="C564" s="168"/>
      <c r="D564" s="67"/>
      <c r="E564" s="4"/>
      <c r="F564" s="190"/>
      <c r="G564" s="190"/>
      <c r="H564" s="192"/>
    </row>
    <row r="565" spans="2:8" ht="15.75">
      <c r="B565" s="137">
        <v>1</v>
      </c>
      <c r="C565" s="169" t="s">
        <v>314</v>
      </c>
      <c r="D565" s="160">
        <f>D448</f>
        <v>1653071</v>
      </c>
      <c r="E565" s="129">
        <f>E448</f>
        <v>1783832</v>
      </c>
      <c r="F565" s="129">
        <f>F448</f>
        <v>-130761</v>
      </c>
      <c r="G565" s="129">
        <f>E565/+D565</f>
        <v>1.0791018655581037</v>
      </c>
      <c r="H565" s="192"/>
    </row>
    <row r="566" spans="2:8" ht="15.75">
      <c r="B566" s="137"/>
      <c r="C566" s="168"/>
      <c r="D566" s="71"/>
      <c r="E566" s="66"/>
      <c r="F566" s="191"/>
      <c r="G566" s="191"/>
      <c r="H566" s="192"/>
    </row>
    <row r="567" spans="2:9" ht="15.75">
      <c r="B567" s="137"/>
      <c r="C567" s="170" t="s">
        <v>435</v>
      </c>
      <c r="D567" s="68"/>
      <c r="E567" s="64"/>
      <c r="F567" s="190"/>
      <c r="G567" s="190"/>
      <c r="H567" s="192"/>
      <c r="I567" s="81" t="s">
        <v>436</v>
      </c>
    </row>
    <row r="568" spans="2:9" ht="15.75">
      <c r="B568" s="137">
        <f>B565+1</f>
        <v>2</v>
      </c>
      <c r="C568" s="171" t="s">
        <v>316</v>
      </c>
      <c r="D568" s="67">
        <f aca="true" t="shared" si="61" ref="D568:F570">D451</f>
        <v>15923</v>
      </c>
      <c r="E568" s="63">
        <f t="shared" si="61"/>
        <v>0</v>
      </c>
      <c r="F568" s="190">
        <f t="shared" si="61"/>
        <v>15923</v>
      </c>
      <c r="G568" s="190"/>
      <c r="H568" s="192"/>
      <c r="I568" s="81" t="s">
        <v>437</v>
      </c>
    </row>
    <row r="569" spans="2:9" ht="15.75">
      <c r="B569" s="137">
        <f aca="true" t="shared" si="62" ref="B569:B578">B568+1</f>
        <v>3</v>
      </c>
      <c r="C569" s="171" t="s">
        <v>317</v>
      </c>
      <c r="D569" s="67">
        <f t="shared" si="61"/>
        <v>0</v>
      </c>
      <c r="E569" s="63">
        <f t="shared" si="61"/>
        <v>0</v>
      </c>
      <c r="F569" s="190">
        <f t="shared" si="61"/>
        <v>0</v>
      </c>
      <c r="G569" s="190"/>
      <c r="H569" s="192"/>
      <c r="I569" s="81"/>
    </row>
    <row r="570" spans="2:9" ht="15.75">
      <c r="B570" s="137">
        <f t="shared" si="62"/>
        <v>4</v>
      </c>
      <c r="C570" s="171" t="s">
        <v>318</v>
      </c>
      <c r="D570" s="67">
        <f t="shared" si="61"/>
        <v>0</v>
      </c>
      <c r="E570" s="63">
        <f t="shared" si="61"/>
        <v>-38665</v>
      </c>
      <c r="F570" s="190">
        <f t="shared" si="61"/>
        <v>38665</v>
      </c>
      <c r="G570" s="190"/>
      <c r="H570" s="192"/>
      <c r="I570" s="81"/>
    </row>
    <row r="571" spans="2:8" ht="15.75">
      <c r="B571" s="137">
        <f t="shared" si="62"/>
        <v>5</v>
      </c>
      <c r="C571" s="181" t="s">
        <v>323</v>
      </c>
      <c r="D571" s="67">
        <f aca="true" t="shared" si="63" ref="D571:F574">D457</f>
        <v>0</v>
      </c>
      <c r="E571" s="63">
        <f t="shared" si="63"/>
        <v>-4484</v>
      </c>
      <c r="F571" s="190">
        <f t="shared" si="63"/>
        <v>4484</v>
      </c>
      <c r="G571" s="190"/>
      <c r="H571" s="192"/>
    </row>
    <row r="572" spans="2:8" ht="15.75">
      <c r="B572" s="137">
        <f t="shared" si="62"/>
        <v>6</v>
      </c>
      <c r="C572" s="171" t="s">
        <v>324</v>
      </c>
      <c r="D572" s="67">
        <f t="shared" si="63"/>
        <v>0</v>
      </c>
      <c r="E572" s="63">
        <f t="shared" si="63"/>
        <v>-22984</v>
      </c>
      <c r="F572" s="190">
        <f t="shared" si="63"/>
        <v>22984</v>
      </c>
      <c r="G572" s="190"/>
      <c r="H572" s="192"/>
    </row>
    <row r="573" spans="2:8" ht="15.75">
      <c r="B573" s="137">
        <f t="shared" si="62"/>
        <v>7</v>
      </c>
      <c r="C573" s="171" t="s">
        <v>325</v>
      </c>
      <c r="D573" s="67">
        <f t="shared" si="63"/>
        <v>0</v>
      </c>
      <c r="E573" s="63">
        <f t="shared" si="63"/>
        <v>0</v>
      </c>
      <c r="F573" s="190">
        <f t="shared" si="63"/>
        <v>0</v>
      </c>
      <c r="G573" s="190"/>
      <c r="H573" s="192"/>
    </row>
    <row r="574" spans="2:8" ht="15.75">
      <c r="B574" s="137">
        <f t="shared" si="62"/>
        <v>8</v>
      </c>
      <c r="C574" s="171" t="s">
        <v>326</v>
      </c>
      <c r="D574" s="67">
        <f t="shared" si="63"/>
        <v>0</v>
      </c>
      <c r="E574" s="63">
        <f t="shared" si="63"/>
        <v>0</v>
      </c>
      <c r="F574" s="190">
        <f t="shared" si="63"/>
        <v>0</v>
      </c>
      <c r="G574" s="190"/>
      <c r="H574" s="192"/>
    </row>
    <row r="575" spans="2:8" ht="15.75">
      <c r="B575" s="137">
        <f t="shared" si="62"/>
        <v>9</v>
      </c>
      <c r="C575" s="171" t="s">
        <v>330</v>
      </c>
      <c r="D575" s="67">
        <f aca="true" t="shared" si="64" ref="D575:F577">D467</f>
        <v>-15033</v>
      </c>
      <c r="E575" s="63">
        <f t="shared" si="64"/>
        <v>-350</v>
      </c>
      <c r="F575" s="190">
        <f t="shared" si="64"/>
        <v>-14683</v>
      </c>
      <c r="G575" s="190"/>
      <c r="H575" s="192"/>
    </row>
    <row r="576" spans="2:8" ht="15.75">
      <c r="B576" s="137">
        <f t="shared" si="62"/>
        <v>10</v>
      </c>
      <c r="C576" s="171" t="s">
        <v>331</v>
      </c>
      <c r="D576" s="67">
        <f t="shared" si="64"/>
        <v>0</v>
      </c>
      <c r="E576" s="63">
        <f t="shared" si="64"/>
        <v>17934</v>
      </c>
      <c r="F576" s="190">
        <f t="shared" si="64"/>
        <v>-17934</v>
      </c>
      <c r="G576" s="190"/>
      <c r="H576" s="192"/>
    </row>
    <row r="577" spans="2:8" ht="15.75">
      <c r="B577" s="137">
        <f t="shared" si="62"/>
        <v>11</v>
      </c>
      <c r="C577" s="171" t="s">
        <v>332</v>
      </c>
      <c r="D577" s="67">
        <f t="shared" si="64"/>
        <v>0</v>
      </c>
      <c r="E577" s="63">
        <f t="shared" si="64"/>
        <v>11168</v>
      </c>
      <c r="F577" s="190">
        <f t="shared" si="64"/>
        <v>-11168</v>
      </c>
      <c r="G577" s="190"/>
      <c r="H577" s="192"/>
    </row>
    <row r="578" spans="2:8" ht="15.75">
      <c r="B578" s="137">
        <f t="shared" si="62"/>
        <v>12</v>
      </c>
      <c r="C578" s="171" t="s">
        <v>334</v>
      </c>
      <c r="D578" s="67">
        <f>D471</f>
        <v>0</v>
      </c>
      <c r="E578" s="63">
        <f>E471</f>
        <v>0</v>
      </c>
      <c r="F578" s="190">
        <f>F471</f>
        <v>0</v>
      </c>
      <c r="G578" s="190"/>
      <c r="H578" s="192"/>
    </row>
    <row r="579" spans="2:8" ht="15.75">
      <c r="B579" s="137"/>
      <c r="C579" s="174"/>
      <c r="D579" s="67"/>
      <c r="E579" s="63"/>
      <c r="F579" s="190"/>
      <c r="G579" s="190"/>
      <c r="H579" s="192"/>
    </row>
    <row r="580" spans="2:8" ht="15.75">
      <c r="B580" s="137">
        <f>B578+1</f>
        <v>13</v>
      </c>
      <c r="C580" s="169" t="s">
        <v>438</v>
      </c>
      <c r="D580" s="160">
        <f>SUM(D568:D579)</f>
        <v>890</v>
      </c>
      <c r="E580" s="129">
        <f>SUM(E568:E579)</f>
        <v>-37381</v>
      </c>
      <c r="F580" s="129">
        <f>SUM(F568:F579)</f>
        <v>38271</v>
      </c>
      <c r="G580" s="129"/>
      <c r="H580" s="192"/>
    </row>
    <row r="581" spans="2:8" ht="15.75">
      <c r="B581" s="137"/>
      <c r="C581" s="169"/>
      <c r="D581" s="132"/>
      <c r="E581" s="157"/>
      <c r="F581" s="157"/>
      <c r="G581" s="191"/>
      <c r="H581" s="192"/>
    </row>
    <row r="582" spans="2:8" ht="15.75">
      <c r="B582" s="137"/>
      <c r="C582" s="178" t="s">
        <v>439</v>
      </c>
      <c r="D582" s="68"/>
      <c r="E582" s="3"/>
      <c r="F582" s="190"/>
      <c r="G582" s="190"/>
      <c r="H582" s="192"/>
    </row>
    <row r="583" spans="2:8" ht="15.75">
      <c r="B583" s="137">
        <f>B580+1</f>
        <v>14</v>
      </c>
      <c r="C583" s="172" t="s">
        <v>319</v>
      </c>
      <c r="D583" s="67">
        <f aca="true" t="shared" si="65" ref="D583:F585">D454</f>
        <v>0</v>
      </c>
      <c r="E583" s="63">
        <f t="shared" si="65"/>
        <v>10767</v>
      </c>
      <c r="F583" s="190">
        <f t="shared" si="65"/>
        <v>-10767</v>
      </c>
      <c r="G583" s="149" t="s">
        <v>320</v>
      </c>
      <c r="H583" s="192"/>
    </row>
    <row r="584" spans="2:8" ht="15.75">
      <c r="B584" s="137">
        <f>B583+1</f>
        <v>15</v>
      </c>
      <c r="C584" s="172" t="s">
        <v>321</v>
      </c>
      <c r="D584" s="67">
        <f t="shared" si="65"/>
        <v>0</v>
      </c>
      <c r="E584" s="63">
        <f t="shared" si="65"/>
        <v>-360147.5</v>
      </c>
      <c r="F584" s="190">
        <f t="shared" si="65"/>
        <v>360147.5</v>
      </c>
      <c r="G584" s="149" t="s">
        <v>320</v>
      </c>
      <c r="H584" s="192"/>
    </row>
    <row r="585" spans="2:8" ht="15.75">
      <c r="B585" s="137">
        <f>B584+1</f>
        <v>16</v>
      </c>
      <c r="C585" s="172" t="s">
        <v>322</v>
      </c>
      <c r="D585" s="67">
        <f t="shared" si="65"/>
        <v>0</v>
      </c>
      <c r="E585" s="63">
        <f t="shared" si="65"/>
        <v>-17884.53687671233</v>
      </c>
      <c r="F585" s="190">
        <f t="shared" si="65"/>
        <v>17884.53687671233</v>
      </c>
      <c r="G585" s="149" t="s">
        <v>320</v>
      </c>
      <c r="H585" s="192"/>
    </row>
    <row r="586" spans="2:8" ht="15.75">
      <c r="B586" s="137">
        <f>B585+1</f>
        <v>17</v>
      </c>
      <c r="C586" s="172" t="s">
        <v>333</v>
      </c>
      <c r="D586" s="67">
        <f>D470</f>
        <v>0</v>
      </c>
      <c r="E586" s="63">
        <f>E470</f>
        <v>12561</v>
      </c>
      <c r="F586" s="190">
        <f>F470</f>
        <v>-12561</v>
      </c>
      <c r="G586" s="149" t="s">
        <v>320</v>
      </c>
      <c r="H586" s="192"/>
    </row>
    <row r="587" spans="2:8" ht="15.75">
      <c r="B587" s="137"/>
      <c r="C587" s="172"/>
      <c r="D587" s="67"/>
      <c r="E587" s="63"/>
      <c r="F587" s="190"/>
      <c r="G587" s="149"/>
      <c r="H587" s="192"/>
    </row>
    <row r="588" spans="2:8" ht="15.75">
      <c r="B588" s="137">
        <f>B586+1</f>
        <v>18</v>
      </c>
      <c r="C588" s="172" t="s">
        <v>440</v>
      </c>
      <c r="D588" s="160">
        <f>SUM(D583:D586)</f>
        <v>0</v>
      </c>
      <c r="E588" s="129">
        <f>SUM(E583:E586)</f>
        <v>-354704.03687671234</v>
      </c>
      <c r="F588" s="129">
        <f>SUM(F583:F586)</f>
        <v>354704.03687671234</v>
      </c>
      <c r="G588" s="129"/>
      <c r="H588" s="192"/>
    </row>
    <row r="589" spans="2:8" ht="15.75">
      <c r="B589" s="137"/>
      <c r="C589" s="67"/>
      <c r="D589" s="70"/>
      <c r="E589" s="65"/>
      <c r="F589" s="191"/>
      <c r="G589" s="191"/>
      <c r="H589" s="192"/>
    </row>
    <row r="590" spans="2:8" ht="15.75">
      <c r="B590" s="137">
        <f>B588+1</f>
        <v>19</v>
      </c>
      <c r="C590" s="130" t="s">
        <v>336</v>
      </c>
      <c r="D590" s="160">
        <f>D565+D580+D588</f>
        <v>1653961</v>
      </c>
      <c r="E590" s="129">
        <f>E565+E580+E588</f>
        <v>1391746.9631232875</v>
      </c>
      <c r="F590" s="129">
        <f>F565+F580+F588</f>
        <v>262214.03687671234</v>
      </c>
      <c r="G590" s="129">
        <f>E590/+D590</f>
        <v>0.8414629868076016</v>
      </c>
      <c r="H590" s="192"/>
    </row>
    <row r="591" spans="2:8" ht="15.75">
      <c r="B591" s="137"/>
      <c r="C591" s="168"/>
      <c r="D591" s="71"/>
      <c r="E591" s="129"/>
      <c r="F591" s="191"/>
      <c r="G591" s="191"/>
      <c r="H591" s="192"/>
    </row>
    <row r="592" spans="2:8" ht="15.75">
      <c r="B592" s="137">
        <f>B590+1</f>
        <v>20</v>
      </c>
      <c r="C592" s="169" t="s">
        <v>337</v>
      </c>
      <c r="D592" s="178">
        <f>D477</f>
        <v>-150051.65029344786</v>
      </c>
      <c r="E592" s="177">
        <f>E477</f>
        <v>-3490.2013858255973</v>
      </c>
      <c r="F592" s="75">
        <f>F477</f>
        <v>-146561.44890762225</v>
      </c>
      <c r="G592" s="190"/>
      <c r="H592" s="192"/>
    </row>
    <row r="593" spans="2:8" ht="15.75">
      <c r="B593" s="137"/>
      <c r="C593" s="130"/>
      <c r="D593" s="68"/>
      <c r="E593" s="4"/>
      <c r="F593" s="190"/>
      <c r="G593" s="190"/>
      <c r="H593" s="192"/>
    </row>
    <row r="594" spans="2:8" ht="15.75">
      <c r="B594" s="137">
        <f>B592+1</f>
        <v>21</v>
      </c>
      <c r="C594" s="169" t="s">
        <v>338</v>
      </c>
      <c r="D594" s="160">
        <f>D590+D592</f>
        <v>1503909.3497065522</v>
      </c>
      <c r="E594" s="129">
        <f>E590+E592</f>
        <v>1388256.761737462</v>
      </c>
      <c r="F594" s="129">
        <f>F590+F592</f>
        <v>115652.58796909009</v>
      </c>
      <c r="G594" s="129">
        <f>E594/+D594</f>
        <v>0.9230986974104145</v>
      </c>
      <c r="H594" s="192"/>
    </row>
    <row r="595" spans="2:8" ht="15.75">
      <c r="B595" s="137"/>
      <c r="C595" s="168"/>
      <c r="D595" s="71"/>
      <c r="E595" s="191"/>
      <c r="F595" s="191"/>
      <c r="G595" s="191"/>
      <c r="H595" s="192"/>
    </row>
    <row r="596" spans="2:8" ht="15.75">
      <c r="B596" s="137"/>
      <c r="C596" s="6"/>
      <c r="D596" s="67"/>
      <c r="E596" s="4"/>
      <c r="F596" s="190"/>
      <c r="G596" s="190"/>
      <c r="H596" s="192"/>
    </row>
    <row r="597" spans="2:7" ht="15.75">
      <c r="B597" s="189"/>
      <c r="C597" s="189"/>
      <c r="D597" s="189"/>
      <c r="E597" s="189"/>
      <c r="F597" s="189"/>
      <c r="G597" s="189"/>
    </row>
  </sheetData>
  <printOptions horizontalCentered="1"/>
  <pageMargins left="0.75" right="0.75" top="1" bottom="1" header="0.5" footer="0.5"/>
  <pageSetup orientation="portrait" scale="75"/>
  <headerFooter alignWithMargins="0">
    <oddHeader>&amp;RAPPENDIX B,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Services</cp:lastModifiedBy>
  <dcterms:created xsi:type="dcterms:W3CDTF">2002-04-17T17:26:59Z</dcterms:created>
  <dcterms:modified xsi:type="dcterms:W3CDTF">2002-04-17T17:26:59Z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Initial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001846</vt:lpwstr>
  </property>
  <property fmtid="{D5CDD505-2E9C-101B-9397-08002B2CF9AE}" pid="8" name="Dat">
    <vt:lpwstr>2002-04-15T00:00:00Z</vt:lpwstr>
  </property>
  <property fmtid="{D5CDD505-2E9C-101B-9397-08002B2CF9AE}" pid="9" name="CaseTy">
    <vt:lpwstr>Formal Complaint</vt:lpwstr>
  </property>
  <property fmtid="{D5CDD505-2E9C-101B-9397-08002B2CF9AE}" pid="10" name="OpenedDa">
    <vt:lpwstr>2000-11-27T00:00:00Z</vt:lpwstr>
  </property>
  <property fmtid="{D5CDD505-2E9C-101B-9397-08002B2CF9AE}" pid="11" name="Pref">
    <vt:lpwstr>TC</vt:lpwstr>
  </property>
  <property fmtid="{D5CDD505-2E9C-101B-9397-08002B2CF9AE}" pid="12" name="CaseCompanyNam">
    <vt:lpwstr>BREMERTON-KITSAP AIRPORTER, INC.</vt:lpwstr>
  </property>
  <property fmtid="{D5CDD505-2E9C-101B-9397-08002B2CF9AE}" pid="13" name="IndustryCo">
    <vt:lpwstr>230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