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15" windowWidth="12120" windowHeight="8445" activeTab="0"/>
  </bookViews>
  <sheets>
    <sheet name="Rate Spread" sheetId="1" r:id="rId1"/>
    <sheet name="Summary Proforma Proposed" sheetId="13" r:id="rId2"/>
    <sheet name="Residential Sch 7" sheetId="14" r:id="rId3"/>
    <sheet name="Secondary Sch 24" sheetId="15" r:id="rId4"/>
    <sheet name="Secondary Sch 25" sheetId="16" r:id="rId5"/>
    <sheet name="Secondary Sch 26" sheetId="17" r:id="rId6"/>
    <sheet name="Secondary Sch 29" sheetId="18" r:id="rId7"/>
    <sheet name="Primary Sch 31" sheetId="19" r:id="rId8"/>
    <sheet name="Primary Sch 35" sheetId="20" r:id="rId9"/>
    <sheet name="Primary Sch 43" sheetId="21" r:id="rId10"/>
    <sheet name="Campus Sch 40" sheetId="22" r:id="rId11"/>
    <sheet name="HV Sch 46" sheetId="23" r:id="rId12"/>
    <sheet name="HV Sch 49" sheetId="24" r:id="rId13"/>
    <sheet name="Lighting" sheetId="25" r:id="rId14"/>
    <sheet name="Small Firm Resale" sheetId="26" r:id="rId15"/>
    <sheet name="Sch 449" sheetId="27" r:id="rId16"/>
    <sheet name="Sch 459" sheetId="28" r:id="rId17"/>
    <sheet name="Transportation Special Contract" sheetId="29" r:id="rId18"/>
    <sheet name="Lighting Summary" sheetId="30" r:id="rId19"/>
    <sheet name="Schedule 003" sheetId="31" r:id="rId20"/>
    <sheet name="Schedule 50" sheetId="32" r:id="rId21"/>
    <sheet name="Schedule 52" sheetId="33" r:id="rId22"/>
    <sheet name="Schedule 52 O&amp;M" sheetId="34" r:id="rId23"/>
    <sheet name="Schedule 53" sheetId="35" r:id="rId24"/>
    <sheet name="Schedule 54" sheetId="36" r:id="rId25"/>
    <sheet name="Schedules 55 &amp; 56" sheetId="37" r:id="rId26"/>
    <sheet name="Schedule 57" sheetId="38" r:id="rId27"/>
    <sheet name="Schedules 58 &amp; 59" sheetId="39" r:id="rId28"/>
    <sheet name="Poles" sheetId="40" r:id="rId29"/>
    <sheet name="Rate Design Sch 7" sheetId="2" r:id="rId30"/>
    <sheet name="Rate Design Sch 24" sheetId="3" r:id="rId31"/>
    <sheet name="Rate Design Sch 25" sheetId="4" r:id="rId32"/>
    <sheet name="Rate Design Sch 29" sheetId="5" r:id="rId33"/>
    <sheet name="Rate Design Sch 26" sheetId="6" r:id="rId34"/>
    <sheet name="Rate Design Sch 31" sheetId="7" r:id="rId35"/>
    <sheet name="Rate Design Sch 35" sheetId="8" r:id="rId36"/>
    <sheet name="Rate Design Sch 43" sheetId="9" r:id="rId37"/>
    <sheet name="Rate Design Sch 46" sheetId="10" r:id="rId38"/>
    <sheet name="Rate Design Sch 49" sheetId="11" r:id="rId39"/>
    <sheet name="Rate Design Sch 449" sheetId="12" r:id="rId40"/>
    <sheet name="Sch 40 Tariff Summary" sheetId="41" r:id="rId41"/>
    <sheet name="Sch 40 Prod &amp; Trans Charges" sheetId="42" r:id="rId42"/>
    <sheet name="Sch 40 FCR Rates" sheetId="43" r:id="rId43"/>
  </sheets>
  <externalReferences>
    <externalReference r:id="rId46"/>
    <externalReference r:id="rId47"/>
    <externalReference r:id="rId48"/>
    <externalReference r:id="rId49"/>
    <externalReference r:id="rId50"/>
  </externalReferences>
  <definedNames>
    <definedName name="BOOK_LIFE" localSheetId="42">'[2]Lvl FCR'!$G$10</definedName>
    <definedName name="BOOK_LIFE">'[2]Lvl FCR'!$G$10</definedName>
    <definedName name="CASE" localSheetId="42">'[4]INPUTS'!$C$8</definedName>
    <definedName name="CASE">'[3]INPUTS'!$C$8</definedName>
    <definedName name="Classification" localSheetId="42">#REF!</definedName>
    <definedName name="Classification">#REF!</definedName>
    <definedName name="Construction_OH" localSheetId="42">'[1]Virtual 49 Back-Up'!$E$54</definedName>
    <definedName name="Construction_OH">'[1]Virtual 49 Back-Up'!$E$54</definedName>
    <definedName name="DOCKET">#REF!</definedName>
    <definedName name="Expected_Life" localSheetId="42">#REF!</definedName>
    <definedName name="Expected_Life">#REF!</definedName>
    <definedName name="FCR" localSheetId="42">'[1]Virtual 49 Back-Up'!$B$20</definedName>
    <definedName name="FCR">'[1]Virtual 49 Back-Up'!$B$20</definedName>
    <definedName name="Line_OH" localSheetId="42">#REF!</definedName>
    <definedName name="Line_OH">#REF!</definedName>
    <definedName name="O_M_Rate" localSheetId="42">'[1]Virtual 49 Back-Up'!$B$21</definedName>
    <definedName name="O_M_Rate">'[1]Virtual 49 Back-Up'!$B$21</definedName>
    <definedName name="OthRCF" localSheetId="42">'[4]INPUTS'!$F$41</definedName>
    <definedName name="OthRCF">'[3]INPUTS'!$F$41</definedName>
    <definedName name="_xlnm.Print_Area" localSheetId="10">'Campus Sch 40'!$A$1:$J$40</definedName>
    <definedName name="_xlnm.Print_Area" localSheetId="11">'HV Sch 46'!$A$1:$H$25</definedName>
    <definedName name="_xlnm.Print_Area" localSheetId="12">'HV Sch 49'!$A$1:$H$18</definedName>
    <definedName name="_xlnm.Print_Area" localSheetId="13">'Lighting'!$A$1:$F$22</definedName>
    <definedName name="_xlnm.Print_Area" localSheetId="18">'Lighting Summary'!$A$1:$F$26</definedName>
    <definedName name="_xlnm.Print_Area" localSheetId="28">'Poles'!$A$1:$H$19</definedName>
    <definedName name="_xlnm.Print_Area" localSheetId="7">'Primary Sch 31'!$A$1:$J$24</definedName>
    <definedName name="_xlnm.Print_Area" localSheetId="8">'Primary Sch 35'!$A$1:$H$24</definedName>
    <definedName name="_xlnm.Print_Area" localSheetId="9">'Primary Sch 43'!$A$1:$J$25</definedName>
    <definedName name="_xlnm.Print_Area" localSheetId="30">'Rate Design Sch 24'!$A$1:$I$35</definedName>
    <definedName name="_xlnm.Print_Area" localSheetId="31">'Rate Design Sch 25'!$A$1:$I$49</definedName>
    <definedName name="_xlnm.Print_Area" localSheetId="33">'Rate Design Sch 26'!$A$1:$I$37</definedName>
    <definedName name="_xlnm.Print_Area" localSheetId="32">'Rate Design Sch 29'!$A$1:$I$44</definedName>
    <definedName name="_xlnm.Print_Area" localSheetId="34">'Rate Design Sch 31'!$A$1:$I$39</definedName>
    <definedName name="_xlnm.Print_Area" localSheetId="35">'Rate Design Sch 35'!$A$1:$I$29</definedName>
    <definedName name="_xlnm.Print_Area" localSheetId="36">'Rate Design Sch 43'!$A$1:$I$29</definedName>
    <definedName name="_xlnm.Print_Area" localSheetId="39">'Rate Design Sch 449'!$A$1:$H$40</definedName>
    <definedName name="_xlnm.Print_Area" localSheetId="37">'Rate Design Sch 46'!$A$1:$I$18</definedName>
    <definedName name="_xlnm.Print_Area" localSheetId="38">'Rate Design Sch 49'!$A$1:$I$26</definedName>
    <definedName name="_xlnm.Print_Area" localSheetId="29">'Rate Design Sch 7'!$A$1:$I$34</definedName>
    <definedName name="_xlnm.Print_Area" localSheetId="0">'Rate Spread'!$A$1:$J$38</definedName>
    <definedName name="_xlnm.Print_Area" localSheetId="2">'Residential Sch 7'!$A$1:$J$22</definedName>
    <definedName name="_xlnm.Print_Area" localSheetId="41">'Sch 40 Prod &amp; Trans Charges'!$A$1:$O$31</definedName>
    <definedName name="_xlnm.Print_Area" localSheetId="40">'Sch 40 Tariff Summary'!$A$1:$F$38</definedName>
    <definedName name="_xlnm.Print_Area" localSheetId="15">'Sch 449'!$A$1:$H$26</definedName>
    <definedName name="_xlnm.Print_Area" localSheetId="16">'Sch 459'!$A$1:$H$20</definedName>
    <definedName name="_xlnm.Print_Area" localSheetId="19">'Schedule 003'!$A$1:$L$11</definedName>
    <definedName name="_xlnm.Print_Area" localSheetId="20">'Schedule 50'!$A$1:$L$22</definedName>
    <definedName name="_xlnm.Print_Area" localSheetId="21">'Schedule 52'!$A$1:$L$26</definedName>
    <definedName name="_xlnm.Print_Area" localSheetId="22">'Schedule 52 O&amp;M'!$A$1:$H$8</definedName>
    <definedName name="_xlnm.Print_Area" localSheetId="23">'Schedule 53'!$A$1:$L$36</definedName>
    <definedName name="_xlnm.Print_Area" localSheetId="24">'Schedule 54'!$A$1:$L$18</definedName>
    <definedName name="_xlnm.Print_Area" localSheetId="26">'Schedule 57'!$A$1:$J$12</definedName>
    <definedName name="_xlnm.Print_Area" localSheetId="25">'Schedules 55 &amp; 56'!$A$1:$L$18</definedName>
    <definedName name="_xlnm.Print_Area" localSheetId="27">'Schedules 58 &amp; 59'!$A$1:$M$32</definedName>
    <definedName name="_xlnm.Print_Area" localSheetId="3">'Secondary Sch 24'!$A$1:$J$22</definedName>
    <definedName name="_xlnm.Print_Area" localSheetId="4">'Secondary Sch 25'!$A$1:$J$28</definedName>
    <definedName name="_xlnm.Print_Area" localSheetId="5">'Secondary Sch 26'!$A$1:$J$24</definedName>
    <definedName name="_xlnm.Print_Area" localSheetId="6">'Secondary Sch 29'!$A$1:$J$30</definedName>
    <definedName name="_xlnm.Print_Area" localSheetId="14">'Small Firm Resale'!$A$1:$J$18</definedName>
    <definedName name="_xlnm.Print_Area" localSheetId="1">'Summary Proforma Proposed'!$A$1:$I$44</definedName>
    <definedName name="_xlnm.Print_Area" localSheetId="17">'Transportation Special Contract'!$A$1:$H$21</definedName>
    <definedName name="PSPL">#REF!</definedName>
    <definedName name="ResRCF" localSheetId="42">'[4]INPUTS'!$F$39</definedName>
    <definedName name="ResRCF">'[3]INPUTS'!$F$39</definedName>
    <definedName name="ROD">'[4]INPUTS'!$F$25</definedName>
    <definedName name="ROR" localSheetId="42">'[4]INPUTS'!$F$24</definedName>
    <definedName name="ROR">'[3]INPUTS'!$F$24</definedName>
    <definedName name="SBRCF" localSheetId="42">'[4]INPUTS'!$F$40</definedName>
    <definedName name="SBRCF">'[3]INPUTS'!$F$40</definedName>
    <definedName name="TESTYEAR">#REF!</definedName>
    <definedName name="xxx">#REF!</definedName>
  </definedNames>
  <calcPr calcId="125725" calcMode="manual" calcCompleted="0" calcOnSave="0" iterate="1" iterateCount="100" iterateDelta="0.001"/>
</workbook>
</file>

<file path=xl/comments1.xml><?xml version="1.0" encoding="utf-8"?>
<comments xmlns="http://schemas.openxmlformats.org/spreadsheetml/2006/main">
  <authors>
    <author>Puget Sound Energy</author>
  </authors>
  <commentList>
    <comment ref="I22" authorId="0">
      <text>
        <r>
          <rPr>
            <b/>
            <sz val="8"/>
            <rFont val="Tahoma"/>
            <family val="2"/>
          </rPr>
          <t>Puget Sound Energy:</t>
        </r>
        <r>
          <rPr>
            <sz val="8"/>
            <rFont val="Tahoma"/>
            <family val="2"/>
          </rPr>
          <t xml:space="preserve">
Iterate change with Rate Spread document to achieve a zero change in cell d24</t>
        </r>
      </text>
    </comment>
  </commentList>
</comments>
</file>

<file path=xl/comments24.xml><?xml version="1.0" encoding="utf-8"?>
<comments xmlns="http://schemas.openxmlformats.org/spreadsheetml/2006/main">
  <authors>
    <author>Puget Sound Energy</author>
  </authors>
  <commentList>
    <comment ref="H11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Adjust this lamp for rounding</t>
        </r>
      </text>
    </comment>
  </commentList>
</comments>
</file>

<file path=xl/comments31.xml><?xml version="1.0" encoding="utf-8"?>
<comments xmlns="http://schemas.openxmlformats.org/spreadsheetml/2006/main">
  <authors>
    <author>Puget Sound Energy</author>
  </authors>
  <commentList>
    <comment ref="K8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COS Basic Charge</t>
        </r>
      </text>
    </comment>
    <comment ref="K9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Proforma Average Basic Charge</t>
        </r>
      </text>
    </comment>
    <comment ref="K10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Increase to Average Basic Charge</t>
        </r>
      </text>
    </comment>
    <comment ref="K11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Proposed Average Basic Charge</t>
        </r>
      </text>
    </comment>
  </commentList>
</comments>
</file>

<file path=xl/comments32.xml><?xml version="1.0" encoding="utf-8"?>
<comments xmlns="http://schemas.openxmlformats.org/spreadsheetml/2006/main">
  <authors>
    <author>Puget Sound Energy</author>
  </authors>
  <commentList>
    <comment ref="K7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COS Basic Charge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PSE:  </t>
        </r>
        <r>
          <rPr>
            <sz val="8"/>
            <rFont val="Tahoma"/>
            <family val="2"/>
          </rPr>
          <t>Total Proforma 1st block energy revenue</t>
        </r>
      </text>
    </comment>
    <comment ref="K12" authorId="0">
      <text>
        <r>
          <rPr>
            <b/>
            <sz val="8"/>
            <rFont val="Tahoma"/>
            <family val="2"/>
          </rPr>
          <t xml:space="preserve">PSE: </t>
        </r>
        <r>
          <rPr>
            <sz val="8"/>
            <rFont val="Tahoma"/>
            <family val="2"/>
          </rPr>
          <t>Non-demand related costs in first block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PSE: </t>
        </r>
        <r>
          <rPr>
            <sz val="8"/>
            <rFont val="Tahoma"/>
            <family val="2"/>
          </rPr>
          <t>Demand Related Revenue in First block</t>
        </r>
      </text>
    </comment>
    <comment ref="K14" authorId="0">
      <text>
        <r>
          <rPr>
            <b/>
            <sz val="8"/>
            <rFont val="Tahoma"/>
            <family val="2"/>
          </rPr>
          <t xml:space="preserve">PSE:  </t>
        </r>
        <r>
          <rPr>
            <sz val="8"/>
            <rFont val="Tahoma"/>
            <family val="2"/>
          </rPr>
          <t>Increase Non-Demand  Revenue in first block by class average increase</t>
        </r>
      </text>
    </comment>
    <comment ref="K15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Demand Related to be increased by 150% of Class Average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PSE:  </t>
        </r>
        <r>
          <rPr>
            <sz val="8"/>
            <rFont val="Tahoma"/>
            <family val="2"/>
          </rPr>
          <t>Average increase to First Block Energy</t>
        </r>
      </text>
    </comment>
    <comment ref="K27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Demand Related COS for Sch 25 &amp; Sch 29</t>
        </r>
      </text>
    </comment>
    <comment ref="K29" authorId="0">
      <text>
        <r>
          <rPr>
            <b/>
            <sz val="8"/>
            <rFont val="Tahoma"/>
            <family val="2"/>
          </rPr>
          <t>Puget Sound Energy:</t>
        </r>
        <r>
          <rPr>
            <sz val="8"/>
            <rFont val="Tahoma"/>
            <family val="2"/>
          </rPr>
          <t xml:space="preserve">
Total Demand Charges
Use Average increase for demand</t>
        </r>
      </text>
    </comment>
    <comment ref="L29" authorId="0">
      <text>
        <r>
          <rPr>
            <b/>
            <sz val="8"/>
            <rFont val="Tahoma"/>
            <family val="2"/>
          </rPr>
          <t>Puget Sound Energy:</t>
        </r>
        <r>
          <rPr>
            <sz val="8"/>
            <rFont val="Tahoma"/>
            <family val="2"/>
          </rPr>
          <t xml:space="preserve">
Total Demand Charges
Use Average increase for demand</t>
        </r>
      </text>
    </comment>
    <comment ref="K30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Proforma Demand Charges</t>
        </r>
      </text>
    </comment>
    <comment ref="L30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Proforma Demand Charges</t>
        </r>
      </text>
    </comment>
    <comment ref="K31" authorId="0">
      <text>
        <r>
          <rPr>
            <b/>
            <sz val="8"/>
            <rFont val="Tahoma"/>
            <family val="2"/>
          </rPr>
          <t>Puget Sound Energy:</t>
        </r>
        <r>
          <rPr>
            <sz val="8"/>
            <rFont val="Tahoma"/>
            <family val="2"/>
          </rPr>
          <t xml:space="preserve">
Demand costs  implicit in energy  charge</t>
        </r>
      </text>
    </comment>
  </commentList>
</comments>
</file>

<file path=xl/comments34.xml><?xml version="1.0" encoding="utf-8"?>
<comments xmlns="http://schemas.openxmlformats.org/spreadsheetml/2006/main">
  <authors>
    <author>Puget Sound Energy</author>
  </authors>
  <commentList>
    <comment ref="K7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COS Basic Charge</t>
        </r>
      </text>
    </comment>
  </commentList>
</comments>
</file>

<file path=xl/comments35.xml><?xml version="1.0" encoding="utf-8"?>
<comments xmlns="http://schemas.openxmlformats.org/spreadsheetml/2006/main">
  <authors>
    <author>Puget Sound Energy</author>
  </authors>
  <commentList>
    <comment ref="K21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COS Demand </t>
        </r>
      </text>
    </comment>
    <comment ref="L21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Proforma Demand Charge Sch 31 &amp; Sch 35</t>
        </r>
      </text>
    </comment>
    <comment ref="M21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Proposed Demand Charge Sch 31 &amp; Sch 35</t>
        </r>
      </text>
    </comment>
    <comment ref="L22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Ratio COS Demand to Proforma</t>
        </r>
      </text>
    </comment>
    <comment ref="M22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Ratio COS Demand to Proforma</t>
        </r>
      </text>
    </comment>
  </commentList>
</comments>
</file>

<file path=xl/comments37.xml><?xml version="1.0" encoding="utf-8"?>
<comments xmlns="http://schemas.openxmlformats.org/spreadsheetml/2006/main">
  <authors>
    <author>Puget Sound Energy</author>
  </authors>
  <commentList>
    <comment ref="K17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COS Demand
</t>
        </r>
      </text>
    </comment>
  </commentList>
</comments>
</file>

<file path=xl/comments38.xml><?xml version="1.0" encoding="utf-8"?>
<comments xmlns="http://schemas.openxmlformats.org/spreadsheetml/2006/main">
  <authors>
    <author>Puget Sound Energy</author>
  </authors>
  <commentList>
    <comment ref="K13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COS Demand</t>
        </r>
      </text>
    </comment>
    <comment ref="K14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Proforma Sch 46 &amp; 49 Demand Revenue</t>
        </r>
      </text>
    </comment>
    <comment ref="L14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Proposed Sch 46 &amp; 49 Demand Revenue</t>
        </r>
      </text>
    </comment>
    <comment ref="K15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Ratio Demand COS to Proforma Demand Revenue</t>
        </r>
      </text>
    </comment>
    <comment ref="L15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Ratio Demand COS to Proposed Demand Revenue</t>
        </r>
      </text>
    </comment>
  </commentList>
</comments>
</file>

<file path=xl/comments40.xml><?xml version="1.0" encoding="utf-8"?>
<comments xmlns="http://schemas.openxmlformats.org/spreadsheetml/2006/main">
  <authors>
    <author>Puget Sound Energy</author>
  </authors>
  <commentList>
    <comment ref="K8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COS Basic Charge</t>
        </r>
      </text>
    </comment>
  </commentList>
</comments>
</file>

<file path=xl/comments42.xml><?xml version="1.0" encoding="utf-8"?>
<comments xmlns="http://schemas.openxmlformats.org/spreadsheetml/2006/main">
  <authors>
    <author>Puget Sound Energy</author>
  </authors>
  <commentList>
    <comment ref="D23" authorId="0">
      <text>
        <r>
          <rPr>
            <b/>
            <sz val="8"/>
            <rFont val="Tahoma"/>
            <family val="2"/>
          </rPr>
          <t>Puget Sound Energy:</t>
        </r>
        <r>
          <rPr>
            <sz val="8"/>
            <rFont val="Tahoma"/>
            <family val="2"/>
          </rPr>
          <t xml:space="preserve">
Iterate change with Rate Spread document to achieve a zero change in cell d24</t>
        </r>
      </text>
    </comment>
  </commentList>
</comments>
</file>

<file path=xl/sharedStrings.xml><?xml version="1.0" encoding="utf-8"?>
<sst xmlns="http://schemas.openxmlformats.org/spreadsheetml/2006/main" count="1084" uniqueCount="487">
  <si>
    <t>Puget Sound Energy</t>
  </si>
  <si>
    <t>Twelve Months ended September 30, 2007</t>
  </si>
  <si>
    <t>Summary - Rate Spread</t>
  </si>
  <si>
    <t>Voltage Level</t>
  </si>
  <si>
    <t>Schedule</t>
  </si>
  <si>
    <t>kWh</t>
  </si>
  <si>
    <t>Proforma
Revenue</t>
  </si>
  <si>
    <t>Proposed Increase</t>
  </si>
  <si>
    <t>Percent of Total w/o Schedule 40 &amp; Firm Resale</t>
  </si>
  <si>
    <t>Pcnt of Average Increase</t>
  </si>
  <si>
    <t>Proposed Revenue Increase
($)</t>
  </si>
  <si>
    <t>Proposed Revenue</t>
  </si>
  <si>
    <t>Cost of Service</t>
  </si>
  <si>
    <t>Parity at Proposed Revenue</t>
  </si>
  <si>
    <t>A</t>
  </si>
  <si>
    <t>B</t>
  </si>
  <si>
    <t>C</t>
  </si>
  <si>
    <t>D</t>
  </si>
  <si>
    <t>E</t>
  </si>
  <si>
    <t>F</t>
  </si>
  <si>
    <t>G  = B * F</t>
  </si>
  <si>
    <t>H = B + G</t>
  </si>
  <si>
    <t>I</t>
  </si>
  <si>
    <t>J</t>
  </si>
  <si>
    <t>K = J / H</t>
  </si>
  <si>
    <t>Residential</t>
  </si>
  <si>
    <t>Secondary Voltage</t>
  </si>
  <si>
    <t>Demand &lt;= 50 kW</t>
  </si>
  <si>
    <t>Demand &gt; 50 kW but &lt;= 350 kW</t>
  </si>
  <si>
    <t>25 / 29</t>
  </si>
  <si>
    <t>Demand &gt; 350 kW</t>
  </si>
  <si>
    <t>Total Secondary Voltage</t>
  </si>
  <si>
    <t>Primary Voltage</t>
  </si>
  <si>
    <t>General Service / Irrigation</t>
  </si>
  <si>
    <t>31 / 35</t>
  </si>
  <si>
    <t>Interruptible Total Electric Schools</t>
  </si>
  <si>
    <t>Total Primary Voltage</t>
  </si>
  <si>
    <t>Campus Rate</t>
  </si>
  <si>
    <t>Total High Voltage</t>
  </si>
  <si>
    <t>46 / 49</t>
  </si>
  <si>
    <t>Schedule 449</t>
  </si>
  <si>
    <t>Lighting</t>
  </si>
  <si>
    <t>50-59</t>
  </si>
  <si>
    <t>Firm Resale</t>
  </si>
  <si>
    <t>005</t>
  </si>
  <si>
    <t>Total Sales</t>
  </si>
  <si>
    <t>Average Increase Before Schedule 40</t>
  </si>
  <si>
    <t>Average Increase After Schedule 40 &amp; Firm Resale</t>
  </si>
  <si>
    <t>Adjustment to Average Increase for Unequal Allocation of Increase</t>
  </si>
  <si>
    <t>Average Increase After Schedule 40 adjusted for Unequal Allocation of Increase</t>
  </si>
  <si>
    <t>Rate Design</t>
  </si>
  <si>
    <t>Residential Schedule 7</t>
  </si>
  <si>
    <t>Line No.</t>
  </si>
  <si>
    <t>Description</t>
  </si>
  <si>
    <t>Bill
Determinants</t>
  </si>
  <si>
    <t>Base Rates
Effective 
9-1-07</t>
  </si>
  <si>
    <t>PCORC
Effective
9-1-07</t>
  </si>
  <si>
    <t>Proforma
Revenue
Effective
9-1-07</t>
  </si>
  <si>
    <t>Proposed
Revenue
Effective
2008</t>
  </si>
  <si>
    <t>Notes:</t>
  </si>
  <si>
    <t>Basic Charges</t>
  </si>
  <si>
    <t>One Phase</t>
  </si>
  <si>
    <t>Increase $ to COS &amp; round to $0.25</t>
  </si>
  <si>
    <t>Three Phase</t>
  </si>
  <si>
    <t>Total Basic Charge</t>
  </si>
  <si>
    <t>Energy Charges</t>
  </si>
  <si>
    <t>First 600 kWh</t>
  </si>
  <si>
    <t>Equal ¢ increase</t>
  </si>
  <si>
    <t>All Over 600 kWh</t>
  </si>
  <si>
    <t>As Billed</t>
  </si>
  <si>
    <t>Temperature Adjustment</t>
  </si>
  <si>
    <t>Total All Over 600 kWh</t>
  </si>
  <si>
    <t>Equal ¢ increase, Adjust for Rounding</t>
  </si>
  <si>
    <t>Total Billed kWh</t>
  </si>
  <si>
    <t>Unbilled</t>
  </si>
  <si>
    <t>Uniform % Increase</t>
  </si>
  <si>
    <t>Total kWh</t>
  </si>
  <si>
    <t>Total Revenue</t>
  </si>
  <si>
    <t>Target Proposed Increase (Decrease) from Rate Spread</t>
  </si>
  <si>
    <t>Rate Spread Workpapers</t>
  </si>
  <si>
    <t>Target Proposed Revenue</t>
  </si>
  <si>
    <t>Target Proposed Revenue Change (%)</t>
  </si>
  <si>
    <t>Remainder after Basic Charge &amp; Unbilled</t>
  </si>
  <si>
    <t>Remaining Increase - %</t>
  </si>
  <si>
    <t>Remaining Increase - Equal ¢</t>
  </si>
  <si>
    <t>Over (Under) Recover Target Rate Spread</t>
  </si>
  <si>
    <t>Secondary Voltage, Schedule 24, Demand &lt; 50 kW</t>
  </si>
  <si>
    <t>Increase average rate to COS</t>
  </si>
  <si>
    <t>Winter kWh (Oct - Mar)</t>
  </si>
  <si>
    <t>Total Winter</t>
  </si>
  <si>
    <t>Uniform % Increase &amp; adjust</t>
  </si>
  <si>
    <t>Summer kWh (Apr - Sep)</t>
  </si>
  <si>
    <t>Total Summer</t>
  </si>
  <si>
    <t>Target Revenue less Basic Charge</t>
  </si>
  <si>
    <t>Proforma Energy Revenue</t>
  </si>
  <si>
    <t>Left to Spread</t>
  </si>
  <si>
    <t>% Increase</t>
  </si>
  <si>
    <t>Secondary Voltage, Schedule 25, Demand &gt;50 kW and &lt; 350 kW</t>
  </si>
  <si>
    <t>COS Basic Charge</t>
  </si>
  <si>
    <t>First 20,000 kWh</t>
  </si>
  <si>
    <t>First Block Class Average Increase</t>
  </si>
  <si>
    <t>Total First 20,000 kWh</t>
  </si>
  <si>
    <t>Over 20,000 kWh</t>
  </si>
  <si>
    <t>All Months</t>
  </si>
  <si>
    <t>Total Over 20,000 kWh</t>
  </si>
  <si>
    <t>Apply Residual and Adjust if necessary</t>
  </si>
  <si>
    <t>Total Billed kWh Energy</t>
  </si>
  <si>
    <t>Winter Unbilled (Block 1)</t>
  </si>
  <si>
    <t>Winter Unbilled (Block 2)</t>
  </si>
  <si>
    <t>Total Unbilled</t>
  </si>
  <si>
    <t>Apply Class average increase</t>
  </si>
  <si>
    <t>Demand Charges</t>
  </si>
  <si>
    <t>DEMAND CHARGES</t>
  </si>
  <si>
    <t>First 50 kW</t>
  </si>
  <si>
    <t>Apply 150% class average increase</t>
  </si>
  <si>
    <t>Winter Over 50 kW</t>
  </si>
  <si>
    <t>Summer Over 50 kW</t>
  </si>
  <si>
    <t>Total Demand</t>
  </si>
  <si>
    <t>Reactive Power Charge (kVarh)</t>
  </si>
  <si>
    <t>Proforma</t>
  </si>
  <si>
    <t>Proposed</t>
  </si>
  <si>
    <t>Proposed Increase Sch 25 &amp; Sch 29</t>
  </si>
  <si>
    <t>Total Proforma Revenue Sch 25 &amp; 29</t>
  </si>
  <si>
    <t>Total Proposed Revenue Sch 25 &amp; 29</t>
  </si>
  <si>
    <t>Target Proposed % Increase</t>
  </si>
  <si>
    <t>Class Average Increase</t>
  </si>
  <si>
    <t>150% Class Average Increase</t>
  </si>
  <si>
    <t>Check</t>
  </si>
  <si>
    <t>Sch 25 Proposed Revenue</t>
  </si>
  <si>
    <t>Sch 29 Proposed Revenue</t>
  </si>
  <si>
    <t>Total Sch 25 &amp; 29 Revenue</t>
  </si>
  <si>
    <t>Target Sch 25 &amp; 29</t>
  </si>
  <si>
    <t>Secondary Voltage, Schedule 29, Irrigation</t>
  </si>
  <si>
    <t>Apply Class Average Increase to Basic Charge and round to $0.25</t>
  </si>
  <si>
    <t>1st Block Winter=Sch 25
2nd  Block Winter= Class Avg Inc</t>
  </si>
  <si>
    <t>Proposed = Proforma</t>
  </si>
  <si>
    <t>Temperature Adjustment - Winter</t>
  </si>
  <si>
    <t>Temperature Adjustment - Summer</t>
  </si>
  <si>
    <t>Target Proposed % Increase (Sch 25 &amp; 29)</t>
  </si>
  <si>
    <t>Target Proposed Revenue 29</t>
  </si>
  <si>
    <t>Target Proposed $ Increase for Basic Charge</t>
  </si>
  <si>
    <t>Basic Charge Revenue</t>
  </si>
  <si>
    <t>% Increase for Basic Charge</t>
  </si>
  <si>
    <t>Average Increase</t>
  </si>
  <si>
    <t>Secondary Voltage, Schedule 26, Demand &gt;350 kW</t>
  </si>
  <si>
    <t>All kWh</t>
  </si>
  <si>
    <t>Apply Residual &amp; Adjust</t>
  </si>
  <si>
    <t>Winter (Oct to Mar)</t>
  </si>
  <si>
    <t>Sch 31 Adj for Losses</t>
  </si>
  <si>
    <t>Summer (Apr to Sep)</t>
  </si>
  <si>
    <t>Target Proposed Increase Sch 26</t>
  </si>
  <si>
    <t>Target Proposed Revenue 26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</si>
  <si>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</si>
  <si>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</si>
  <si>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</si>
  <si>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</si>
  <si>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Primary Voltage, Schedule 31</t>
  </si>
  <si>
    <t>150% of Average Class Increase</t>
  </si>
  <si>
    <t>Proposed Revenue Increase 31, 35</t>
  </si>
  <si>
    <t>Proforma Revenue 31, 35</t>
  </si>
  <si>
    <t>Target Sch 31 &amp; 35</t>
  </si>
  <si>
    <t>150% of Target Proposed Revenue Change</t>
  </si>
  <si>
    <t>Sch 31 Proposed Revenue</t>
  </si>
  <si>
    <t>Sch 35 Proposed Revenue</t>
  </si>
  <si>
    <t>Total Sch 31 &amp; 35 Revenue</t>
  </si>
  <si>
    <t>Primary Voltage, Schedule 35, Irrigation</t>
  </si>
  <si>
    <t>Same as Sch 31</t>
  </si>
  <si>
    <t>Apply Residual</t>
  </si>
  <si>
    <t>150% of Average Class Increase (Same as Sch 31)</t>
  </si>
  <si>
    <t>150% of Target Proposed Revenue Change (%)</t>
  </si>
  <si>
    <t>Target Proposed $ Increase Sch 35</t>
  </si>
  <si>
    <t>Target Proposed Revenue 35</t>
  </si>
  <si>
    <t>Primary Voltage, Schedule 43, Interruptible</t>
  </si>
  <si>
    <t>Demand Charges - All kW</t>
  </si>
  <si>
    <t>150% of Average Sch 31 Increase</t>
  </si>
  <si>
    <t>Apply Class average increase (Same as Sch 31)</t>
  </si>
  <si>
    <t>Proposed Revenue Increase Sch 43</t>
  </si>
  <si>
    <t>Target Proposed $ Increase Sch 43</t>
  </si>
  <si>
    <t>Proposed Revenue % Increase Sch 43</t>
  </si>
  <si>
    <t>Sch 43 Class Average Increase</t>
  </si>
  <si>
    <t>Target Sch 31 Proposed Revenue Change (%)</t>
  </si>
  <si>
    <t>Sch 31 Average Increase</t>
  </si>
  <si>
    <t>150% of Target Sch 31 Proposed Revenue Change (%)</t>
  </si>
  <si>
    <t>150% of Sch 31 Average Increase</t>
  </si>
  <si>
    <t>High Voltage, Schedule 46, Interruptible</t>
  </si>
  <si>
    <t>Same as Sch 49</t>
  </si>
  <si>
    <t>Total Energy</t>
  </si>
  <si>
    <t>Demand Charges - All kVa</t>
  </si>
  <si>
    <t>150% of Average Class Average Increase</t>
  </si>
  <si>
    <t>Target Proposed % Increase Sch 46 &amp; 49</t>
  </si>
  <si>
    <t>150% of Target Class Average (%)</t>
  </si>
  <si>
    <t>Apply residual to Sch 46 &amp; Sch 49 energy &amp; Adjust</t>
  </si>
  <si>
    <t>Target Proposed $ Increase Sch 46 &amp; 49</t>
  </si>
  <si>
    <t>Target Proposed Revenue 46 &amp; 49</t>
  </si>
  <si>
    <t>Sch 46 Proposed</t>
  </si>
  <si>
    <t>Sch 49 Proposed</t>
  </si>
  <si>
    <t>Total HV Proposed</t>
  </si>
  <si>
    <t>Transporation, Schedules 449 and 459</t>
  </si>
  <si>
    <t>Proposed Rates Effective 2008</t>
  </si>
  <si>
    <t xml:space="preserve"> 449 Primary Voltage</t>
  </si>
  <si>
    <t xml:space="preserve"> 449 High Voltage</t>
  </si>
  <si>
    <t xml:space="preserve"> 459 High Voltage</t>
  </si>
  <si>
    <t>Apply residual to Demand on Equal $ / kVa</t>
  </si>
  <si>
    <t>Total Demand Charge</t>
  </si>
  <si>
    <t>OATT Revenue</t>
  </si>
  <si>
    <t xml:space="preserve"> 449 Primary Voltage - kWh</t>
  </si>
  <si>
    <t xml:space="preserve"> 449 High Voltage - kWh</t>
  </si>
  <si>
    <t xml:space="preserve"> 459 High Voltage - kWh</t>
  </si>
  <si>
    <t>Target Proposed $ Increase Sch 449 &amp; 459</t>
  </si>
  <si>
    <t>Target Proposed Revenue Sch 449 &amp; 459</t>
  </si>
  <si>
    <t>Target Proposed % Increase Sch 449 &amp; 459</t>
  </si>
  <si>
    <t>Proposed less Basic Charge &amp; OATT &amp; Unbilled</t>
  </si>
  <si>
    <t>Remaining Rate Change %</t>
  </si>
  <si>
    <t>Remaining Rate Change $ / kVa</t>
  </si>
  <si>
    <t>Equal $ / kVa Residual</t>
  </si>
  <si>
    <t>Subtotal Sch 449 - PV</t>
  </si>
  <si>
    <t>Subtotal Sch 449 &amp; 459 - HV</t>
  </si>
  <si>
    <t>Proforma and Proposed Revenue</t>
  </si>
  <si>
    <t>Proforma Revenue
Rates Effective
9-1-07</t>
  </si>
  <si>
    <t>Proposed
Revenue</t>
  </si>
  <si>
    <t>$ Change</t>
  </si>
  <si>
    <t>Change
as Allocated
by Rate Spread</t>
  </si>
  <si>
    <t>Rounding Differences</t>
  </si>
  <si>
    <t>% Change</t>
  </si>
  <si>
    <t>Total Residential</t>
  </si>
  <si>
    <t>Seasonal Irrigation &amp; Drainage Pumping</t>
  </si>
  <si>
    <t>General Service</t>
  </si>
  <si>
    <t>High Voltage</t>
  </si>
  <si>
    <t>Interruptible</t>
  </si>
  <si>
    <t>Total Retail Sales to Customers</t>
  </si>
  <si>
    <t>Small Firm Resale</t>
  </si>
  <si>
    <t>Special Contract</t>
  </si>
  <si>
    <t>001</t>
  </si>
  <si>
    <t>Total Firm Resale</t>
  </si>
  <si>
    <t>Transportation Sales</t>
  </si>
  <si>
    <t>Total Transporation Sales</t>
  </si>
  <si>
    <t>Total Sales to Customers</t>
  </si>
  <si>
    <t>Schedule 7</t>
  </si>
  <si>
    <t>Bill Determinants</t>
  </si>
  <si>
    <t>Temperature</t>
  </si>
  <si>
    <t>Rates Effective 9-1-07</t>
  </si>
  <si>
    <t>Rates Effective 2008</t>
  </si>
  <si>
    <t>Differences</t>
  </si>
  <si>
    <t>Adjustment</t>
  </si>
  <si>
    <t>Total</t>
  </si>
  <si>
    <t>Charge</t>
  </si>
  <si>
    <t>Revenue</t>
  </si>
  <si>
    <t>$</t>
  </si>
  <si>
    <t>%</t>
  </si>
  <si>
    <t>Basic Charge - 1 Phase</t>
  </si>
  <si>
    <t>Basic Charge - 3 Phase</t>
  </si>
  <si>
    <t xml:space="preserve">First 600 kWh </t>
  </si>
  <si>
    <t>Schedule 95</t>
  </si>
  <si>
    <t>Unbilled Revenue</t>
  </si>
  <si>
    <t>Schedule 95 Effective 9-1-07</t>
  </si>
  <si>
    <t>Secondary Voltage, Demand 50 kW or less</t>
  </si>
  <si>
    <t>Schedule 24</t>
  </si>
  <si>
    <t>Winter Energy</t>
  </si>
  <si>
    <t>Summer Energy</t>
  </si>
  <si>
    <t>Total Revenue Schedule 24</t>
  </si>
  <si>
    <t>Secondary Voltage, Demand Greater than 50 kW but less than or equal to 350 kW</t>
  </si>
  <si>
    <t>Schedule 25</t>
  </si>
  <si>
    <t xml:space="preserve">Winter - First 20,000 kWh </t>
  </si>
  <si>
    <t xml:space="preserve">Summer- First 20,000 kWh </t>
  </si>
  <si>
    <t>All Over 20,000 kWh</t>
  </si>
  <si>
    <t>Total kWh Energy</t>
  </si>
  <si>
    <t>Winter - All Over 50 kW</t>
  </si>
  <si>
    <t>Summer- All Over 50 kW</t>
  </si>
  <si>
    <t>Total kW Demand</t>
  </si>
  <si>
    <t>Total kVarh Reactive Power</t>
  </si>
  <si>
    <t>Secondary Voltage, Demand Greater than 350 kW</t>
  </si>
  <si>
    <t>Schedule 26</t>
  </si>
  <si>
    <t>Winter - All kW</t>
  </si>
  <si>
    <t>Summer- All kW</t>
  </si>
  <si>
    <t>Unbilled kWh</t>
  </si>
  <si>
    <t>Secondary Voltage, Seasonal Irrigation &amp; Drainage Pumping Service</t>
  </si>
  <si>
    <t>Schedule 29</t>
  </si>
  <si>
    <t>Winter - All Over 20,000 kWh</t>
  </si>
  <si>
    <t>Summer- All Over 20,000 kWh</t>
  </si>
  <si>
    <t>Primary Voltage General Service</t>
  </si>
  <si>
    <t>Schedule 31</t>
  </si>
  <si>
    <t>Primary Voltage Seasonal Irrigation &amp; Drainage Pumping Service</t>
  </si>
  <si>
    <t>Schedule 35</t>
  </si>
  <si>
    <t>Bill</t>
  </si>
  <si>
    <t>Determinants</t>
  </si>
  <si>
    <t>Primary Voltage Interruptible Total Electric School Service</t>
  </si>
  <si>
    <t>Schedule 43</t>
  </si>
  <si>
    <t>Critical Demand Charge</t>
  </si>
  <si>
    <t xml:space="preserve">Campus Service &gt; 3aMW </t>
  </si>
  <si>
    <t>Schedule 40</t>
  </si>
  <si>
    <t>Basic Charge:</t>
  </si>
  <si>
    <t>Secondary Voltage - Medium Demand</t>
  </si>
  <si>
    <t>Secondary Voltage - Large Demand</t>
  </si>
  <si>
    <t>Production / Transmission Charge:</t>
  </si>
  <si>
    <t>PCORC</t>
  </si>
  <si>
    <t>kW (Coincident Demand)</t>
  </si>
  <si>
    <t>kVarh</t>
  </si>
  <si>
    <t>Distribution Charge:</t>
  </si>
  <si>
    <t>Customer Specific</t>
  </si>
  <si>
    <t>Total Schedule 40</t>
  </si>
  <si>
    <t xml:space="preserve">Secondary Voltage </t>
  </si>
  <si>
    <t>High Voltage, Interruptible Service</t>
  </si>
  <si>
    <t>Schedule 46</t>
  </si>
  <si>
    <t>Total kVa Demand</t>
  </si>
  <si>
    <t>Annual Energy Minimum Charge</t>
  </si>
  <si>
    <t>Annual Demand Charge</t>
  </si>
  <si>
    <t>check</t>
  </si>
  <si>
    <t>High Voltage, General Service</t>
  </si>
  <si>
    <t>Schedule 49</t>
  </si>
  <si>
    <t>Lighting Revenues</t>
  </si>
  <si>
    <t>Proforma &amp; Proposed</t>
  </si>
  <si>
    <t>Annual
Proforma Revenue</t>
  </si>
  <si>
    <t>Annual Proposed Revenue</t>
  </si>
  <si>
    <t>Revenue Change</t>
  </si>
  <si>
    <t>03E</t>
  </si>
  <si>
    <t>50E-A</t>
  </si>
  <si>
    <t>50E-B</t>
  </si>
  <si>
    <t>52 O&amp;M</t>
  </si>
  <si>
    <t>52E</t>
  </si>
  <si>
    <t>53E</t>
  </si>
  <si>
    <t>54E</t>
  </si>
  <si>
    <t>55E &amp; 56E (No Res Exch)</t>
  </si>
  <si>
    <t>57E</t>
  </si>
  <si>
    <t>58E &amp; 59E (No Res Exch)</t>
  </si>
  <si>
    <t>Old Pole Revenue</t>
  </si>
  <si>
    <t>New Pole Revenue</t>
  </si>
  <si>
    <t xml:space="preserve"> </t>
  </si>
  <si>
    <t>Allocation of GRC - Docket UE-070xxx</t>
  </si>
  <si>
    <t>Transportation</t>
  </si>
  <si>
    <t>Primary Voltage:</t>
  </si>
  <si>
    <t>Customer Charge</t>
  </si>
  <si>
    <t>Distribution Charge</t>
  </si>
  <si>
    <t>Total Primary Voltage Revenue</t>
  </si>
  <si>
    <t>High Voltage:</t>
  </si>
  <si>
    <t>Total High Voltage Revenue</t>
  </si>
  <si>
    <t>Total Schedule 449</t>
  </si>
  <si>
    <t>PV Unbilled</t>
  </si>
  <si>
    <t>HV Unbilled</t>
  </si>
  <si>
    <t>Transportation with Back-up Distribution</t>
  </si>
  <si>
    <t>Schedule 459</t>
  </si>
  <si>
    <t>Back-up Distrbution Service</t>
  </si>
  <si>
    <t>Transportation Special Contract</t>
  </si>
  <si>
    <t>Add Small Firm Resale Proforma Revenue</t>
  </si>
  <si>
    <t>Total Firm Resale Proforma Revenue</t>
  </si>
  <si>
    <t>Schedule 95 in Proforma Revenue</t>
  </si>
  <si>
    <t>Schedule 95 Average Rate</t>
  </si>
  <si>
    <t>Difference</t>
  </si>
  <si>
    <t>Proforma &amp; Proposed Revenue</t>
  </si>
  <si>
    <t>Schedule 003</t>
  </si>
  <si>
    <t>Customer Owned &amp; Maintained Compact Fluorescent - Energy Only</t>
  </si>
  <si>
    <t>Lamp Size (Watts)</t>
  </si>
  <si>
    <t>Lamp Type</t>
  </si>
  <si>
    <t>Inventory
@
9-1-07</t>
  </si>
  <si>
    <t>Billed kWh
12 Months
ended
9-30-07</t>
  </si>
  <si>
    <t>Proforma Base Lamp Charge</t>
  </si>
  <si>
    <t>Proposed Lamp Charge</t>
  </si>
  <si>
    <t>Annual Proforma Revenue</t>
  </si>
  <si>
    <t>Compact Flourescent</t>
  </si>
  <si>
    <t>Annual Schedule 95</t>
  </si>
  <si>
    <t>Schedule 50</t>
  </si>
  <si>
    <t>Limited Street Lighting Service</t>
  </si>
  <si>
    <t>Incandescent</t>
  </si>
  <si>
    <t>Mercury Vapor</t>
  </si>
  <si>
    <t>Schedule 52</t>
  </si>
  <si>
    <t>Custom Lighting Service - Company Owned</t>
  </si>
  <si>
    <t xml:space="preserve">52E </t>
  </si>
  <si>
    <t>Sodium Vapor</t>
  </si>
  <si>
    <t>Metal Halide</t>
  </si>
  <si>
    <t>Schedule 52 O&amp;M</t>
  </si>
  <si>
    <t>Estimated System Cost</t>
  </si>
  <si>
    <t>Proforma Base Rate</t>
  </si>
  <si>
    <t>Proposed Base Rate</t>
  </si>
  <si>
    <t>52 O&amp;M - Option B</t>
  </si>
  <si>
    <t>Schedule 53</t>
  </si>
  <si>
    <t>Street Lighting Service - Sodium Vapor</t>
  </si>
  <si>
    <t>53E - Company Owned</t>
  </si>
  <si>
    <t>53E - Customer Owned</t>
  </si>
  <si>
    <t>Metal Hallide</t>
  </si>
  <si>
    <t>Schedule 54</t>
  </si>
  <si>
    <t>Customer Owned Street Lighting Energy Service - Sodium Vapor</t>
  </si>
  <si>
    <t>54E - Customer Owned</t>
  </si>
  <si>
    <t>Schedules 55 &amp; 56</t>
  </si>
  <si>
    <t>Area Lighting Service</t>
  </si>
  <si>
    <t>55E &amp; 56E</t>
  </si>
  <si>
    <t>Total Schedules 55 &amp; 56</t>
  </si>
  <si>
    <t>Schedule 57</t>
  </si>
  <si>
    <t>Continuous Lighting Service</t>
  </si>
  <si>
    <t>Annual Watts
= kWh / 0.254</t>
  </si>
  <si>
    <t>Minimum Charge</t>
  </si>
  <si>
    <t>Schedules 58 &amp; 59</t>
  </si>
  <si>
    <t>Flood Lighting Service</t>
  </si>
  <si>
    <t>58E &amp; 59E</t>
  </si>
  <si>
    <t>Directional</t>
  </si>
  <si>
    <t>Horizontal</t>
  </si>
  <si>
    <t>Total Schedules 58 &amp; 59</t>
  </si>
  <si>
    <t>Lighting Revenue</t>
  </si>
  <si>
    <t>Pole Rentals</t>
  </si>
  <si>
    <t>Schedules 55 &amp; 58</t>
  </si>
  <si>
    <t>Proforma Charge</t>
  </si>
  <si>
    <t>Proposed Charge</t>
  </si>
  <si>
    <t>Old Pole - Sch 55</t>
  </si>
  <si>
    <t>New Pole - Sch 55</t>
  </si>
  <si>
    <t>New Pole - Sch 58</t>
  </si>
  <si>
    <t>Total New Pole Revenue</t>
  </si>
  <si>
    <t>Average Proforma Charge</t>
  </si>
  <si>
    <t>Proposed New Pole Charge</t>
  </si>
  <si>
    <r>
      <t>Annual kWh</t>
    </r>
  </si>
  <si>
    <t>Calculation of Schedule 40 Tariff Charges</t>
  </si>
  <si>
    <t>Test Year Twelve Months ended September 30, 2007</t>
  </si>
  <si>
    <t>Basic Charge</t>
  </si>
  <si>
    <t>Rate</t>
  </si>
  <si>
    <t>Notes</t>
  </si>
  <si>
    <t>Primary Voltage Metering Points</t>
  </si>
  <si>
    <t>Set Equal to Schedule 31</t>
  </si>
  <si>
    <t>Secondary Voltage &gt;- 350 kW</t>
  </si>
  <si>
    <t>Set Equal to Schedule 26</t>
  </si>
  <si>
    <t>Secondary Voltage&lt; 350 kW</t>
  </si>
  <si>
    <t>Set Equal to Schedule 25</t>
  </si>
  <si>
    <t>Production &amp; Transmission Charges</t>
  </si>
  <si>
    <t>Demand ($/kW of Coincident Billing Demand)</t>
  </si>
  <si>
    <t>High Voltage Metering Point</t>
  </si>
  <si>
    <t>Primary Voltage Metering Point</t>
  </si>
  <si>
    <t>Secondary Voltage Metering Point</t>
  </si>
  <si>
    <t>Energy Charge (Cents / kWh)</t>
  </si>
  <si>
    <t>Reactive Power Charge - (Cents / kVARh)</t>
  </si>
  <si>
    <t>Customer Specific Distribution Charge</t>
  </si>
  <si>
    <t>Total Distribution</t>
  </si>
  <si>
    <t>Transformer Charge</t>
  </si>
  <si>
    <t>Feeder Charge</t>
  </si>
  <si>
    <t>Substation Charge</t>
  </si>
  <si>
    <t>Proposed Demand Charge</t>
  </si>
  <si>
    <t>Rate Change %</t>
  </si>
  <si>
    <t>Proforma Demand Charge</t>
  </si>
  <si>
    <t>Proforma Revenue
Effective 9-1-07</t>
  </si>
  <si>
    <t>Power Factor</t>
  </si>
  <si>
    <t>Proforma Schedule 40 Demand Rate ($ / kVa)</t>
  </si>
  <si>
    <t>Implicit Loss Adjustment</t>
  </si>
  <si>
    <t>Proposed Schedule 49 Demand Rate ($ / kVa)</t>
  </si>
  <si>
    <t>Proposed Schedule 40 Demand Rate ($ / kW)</t>
  </si>
  <si>
    <t>2008 GRC Load Study Loss Factors</t>
  </si>
  <si>
    <t>Loss Adjustment from HV</t>
  </si>
  <si>
    <t>Proposed Energy Charge</t>
  </si>
  <si>
    <t>Sch 40 Rates
Eff 1-13-07</t>
  </si>
  <si>
    <t>Proposed Schedule 49 Energy Rate ($ / kVa)</t>
  </si>
  <si>
    <t>Proposed Basic Charge Revenue Change</t>
  </si>
  <si>
    <t>Proposed Reactive Charge Revenue Change</t>
  </si>
  <si>
    <t>Proposed Distribution Charge Revenue Change</t>
  </si>
  <si>
    <t>Proposed Prod &amp; Trans Demand Charge</t>
  </si>
  <si>
    <t>Proposed Prod &amp; Trans Energy Charge</t>
  </si>
  <si>
    <t>Subtotal</t>
  </si>
  <si>
    <t>Proposed Revenue Change</t>
  </si>
  <si>
    <t>Proforma Charges</t>
  </si>
  <si>
    <t>Total Proposed Revenue</t>
  </si>
  <si>
    <t>Total Proposed Revenue from Summary</t>
  </si>
  <si>
    <t>GRC - Docket No. UE-070xxx</t>
  </si>
  <si>
    <t>Asset Age (35 yr asset)</t>
  </si>
  <si>
    <t>FCR on Gross Plant Value</t>
  </si>
  <si>
    <t>FCR on net Plant Value</t>
  </si>
  <si>
    <t>Load Research Data</t>
  </si>
  <si>
    <t>Schedule 49 Power Factor</t>
  </si>
  <si>
    <t>Annual KWh</t>
  </si>
  <si>
    <t>From Load Research 2-1-06</t>
  </si>
  <si>
    <t>Sch 49 Annual kWh 2006</t>
  </si>
  <si>
    <t>Sch 49 Annual kvarh 2006</t>
  </si>
  <si>
    <t>Loss Factors from 2008 GRC</t>
  </si>
  <si>
    <t>High Voltage Sch 49</t>
  </si>
  <si>
    <t>ENERGY_1 Allocator</t>
  </si>
  <si>
    <t>Primary Voltage Sch 31</t>
  </si>
  <si>
    <t>Secondary Voltage Sch 26</t>
  </si>
  <si>
    <t>Energy Loss Factor (Sec Voltage - High Voltage)</t>
  </si>
  <si>
    <t>Energy Loss Factor (Primary Voltage - High Voltage)</t>
  </si>
  <si>
    <t>FCR on Land:</t>
  </si>
  <si>
    <t xml:space="preserve">Customer 1 </t>
  </si>
  <si>
    <t xml:space="preserve">Customer 2 </t>
  </si>
  <si>
    <t>Customer 3</t>
  </si>
  <si>
    <t xml:space="preserve">Customer 4 </t>
  </si>
  <si>
    <t xml:space="preserve">Customer 5 </t>
  </si>
  <si>
    <t xml:space="preserve">Customer 6 </t>
  </si>
  <si>
    <t xml:space="preserve">Customer 7 </t>
  </si>
  <si>
    <t>Customer 8</t>
  </si>
  <si>
    <t>Based upon WACC of: 8.60 %</t>
  </si>
  <si>
    <r>
      <t>Relative</t>
    </r>
    <r>
      <rPr>
        <sz val="10"/>
        <rFont val="Times New Roman"/>
        <family val="1"/>
      </rPr>
      <t xml:space="preserve"> Parity Ratio prior to Revenue Increase</t>
    </r>
  </si>
  <si>
    <t>Total Schedule 459</t>
  </si>
  <si>
    <t>High Voltage, Schedule 49</t>
  </si>
  <si>
    <t>Staff Proposed
Rates
Effective 2008</t>
  </si>
  <si>
    <t>Staff Proposed Revenue Increase (%)</t>
  </si>
  <si>
    <t>STAFF PROPOSAL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</si>
</sst>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0_);_(&quot;$&quot;* \(#,##0.00000\);_(&quot;$&quot;* &quot;-&quot;??_);_(@_)"/>
    <numFmt numFmtId="168" formatCode="_(&quot;$&quot;* #,##0.000000_);_(&quot;$&quot;* \(#,##0.000000\);_(&quot;$&quot;* &quot;-&quot;??_);_(@_)"/>
    <numFmt numFmtId="169" formatCode="0.0%"/>
    <numFmt numFmtId="170" formatCode="_(* #,##0.000000_);_(* \(#,##0.000000\);_(* &quot;-&quot;??_);_(@_)"/>
    <numFmt numFmtId="171" formatCode="_(* #,##0.000_);_(* \(#,##0.000\);_(* &quot;-&quot;??_);_(@_)"/>
    <numFmt numFmtId="172" formatCode="0.000%"/>
    <numFmt numFmtId="173" formatCode="0.0000%"/>
    <numFmt numFmtId="174" formatCode="0.00000%"/>
    <numFmt numFmtId="175" formatCode="0.000000"/>
    <numFmt numFmtId="176" formatCode="#,##0.00\ ;\(#,##0.00\)"/>
    <numFmt numFmtId="177" formatCode="#."/>
    <numFmt numFmtId="178" formatCode="mmmm\ d\,\ yyyy"/>
    <numFmt numFmtId="179" formatCode="_(&quot;$&quot;* #,##0.0000_);_(&quot;$&quot;* \(#,##0.0000\);_(&quot;$&quot;* &quot;-&quot;????_);_(@_)"/>
    <numFmt numFmtId="180" formatCode="&quot;$&quot;#,##0.00"/>
    <numFmt numFmtId="181" formatCode="_(&quot;$&quot;* #,##0.0000000_);_(&quot;$&quot;* \(#,##0.0000000\);_(&quot;$&quot;* &quot;-&quot;??_);_(@_)"/>
  </numFmts>
  <fonts count="25">
    <font>
      <sz val="10"/>
      <name val="Arial"/>
      <family val="2"/>
    </font>
    <font>
      <sz val="12"/>
      <name val="Arial"/>
      <family val="2"/>
    </font>
    <font>
      <sz val="10"/>
      <name val="Helv"/>
      <family val="2"/>
    </font>
    <font>
      <sz val="12"/>
      <name val="TIMES"/>
      <family val="2"/>
    </font>
    <font>
      <sz val="1"/>
      <color indexed="16"/>
      <name val="Courier"/>
      <family val="3"/>
    </font>
    <font>
      <sz val="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4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sz val="10"/>
      <color rgb="FFFF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 style="double">
        <color indexed="8"/>
      </top>
      <bottom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2" borderId="0">
      <alignment/>
      <protection/>
    </xf>
    <xf numFmtId="41" fontId="0" fillId="3" borderId="0">
      <alignment/>
      <protection/>
    </xf>
    <xf numFmtId="3" fontId="1" fillId="0" borderId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177" fontId="4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5" fontId="1" fillId="0" borderId="0" applyFill="0" applyBorder="0" applyAlignment="0" applyProtection="0"/>
    <xf numFmtId="178" fontId="1" fillId="0" borderId="0" applyFill="0" applyBorder="0" applyAlignment="0" applyProtection="0"/>
    <xf numFmtId="2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7" fillId="0" borderId="0">
      <alignment/>
      <protection/>
    </xf>
    <xf numFmtId="40" fontId="7" fillId="0" borderId="0">
      <alignment/>
      <protection/>
    </xf>
    <xf numFmtId="0" fontId="5" fillId="2" borderId="1" applyNumberFormat="0" applyBorder="0" applyAlignment="0" applyProtection="0"/>
    <xf numFmtId="41" fontId="8" fillId="4" borderId="2">
      <alignment horizontal="left"/>
      <protection locked="0"/>
    </xf>
    <xf numFmtId="10" fontId="8" fillId="4" borderId="2">
      <alignment horizontal="right"/>
      <protection locked="0"/>
    </xf>
    <xf numFmtId="3" fontId="9" fillId="0" borderId="0" applyFill="0" applyBorder="0" applyAlignment="0" applyProtection="0"/>
    <xf numFmtId="176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0" fontId="0" fillId="0" borderId="0" applyFont="0" applyFill="0" applyBorder="0" applyAlignment="0" applyProtection="0"/>
    <xf numFmtId="41" fontId="0" fillId="5" borderId="2">
      <alignment/>
      <protection/>
    </xf>
    <xf numFmtId="0" fontId="3" fillId="0" borderId="0">
      <alignment/>
      <protection/>
    </xf>
    <xf numFmtId="3" fontId="10" fillId="0" borderId="0" applyFill="0" applyBorder="0" applyAlignment="0" applyProtection="0"/>
    <xf numFmtId="0" fontId="11" fillId="0" borderId="0">
      <alignment/>
      <protection/>
    </xf>
    <xf numFmtId="42" fontId="0" fillId="2" borderId="0">
      <alignment/>
      <protection/>
    </xf>
    <xf numFmtId="42" fontId="0" fillId="2" borderId="3">
      <alignment vertical="center"/>
      <protection/>
    </xf>
    <xf numFmtId="0" fontId="12" fillId="2" borderId="4" applyNumberFormat="0">
      <alignment horizontal="center" vertical="center" wrapText="1"/>
      <protection/>
    </xf>
    <xf numFmtId="10" fontId="0" fillId="2" borderId="0">
      <alignment/>
      <protection/>
    </xf>
    <xf numFmtId="179" fontId="0" fillId="2" borderId="0">
      <alignment/>
      <protection/>
    </xf>
    <xf numFmtId="42" fontId="0" fillId="2" borderId="5">
      <alignment horizontal="left"/>
      <protection/>
    </xf>
    <xf numFmtId="179" fontId="13" fillId="2" borderId="5">
      <alignment horizontal="left"/>
      <protection/>
    </xf>
    <xf numFmtId="38" fontId="5" fillId="0" borderId="6">
      <alignment/>
      <protection/>
    </xf>
    <xf numFmtId="38" fontId="7" fillId="0" borderId="5">
      <alignment/>
      <protection/>
    </xf>
    <xf numFmtId="175" fontId="0" fillId="0" borderId="0">
      <alignment horizontal="left" wrapText="1"/>
      <protection/>
    </xf>
    <xf numFmtId="41" fontId="14" fillId="2" borderId="0">
      <alignment horizontal="left"/>
      <protection/>
    </xf>
    <xf numFmtId="180" fontId="15" fillId="2" borderId="0">
      <alignment horizontal="left" vertical="center"/>
      <protection/>
    </xf>
    <xf numFmtId="0" fontId="12" fillId="2" borderId="0">
      <alignment horizontal="left" wrapText="1"/>
      <protection/>
    </xf>
    <xf numFmtId="0" fontId="16" fillId="0" borderId="0">
      <alignment horizontal="left" vertical="center"/>
      <protection/>
    </xf>
    <xf numFmtId="41" fontId="12" fillId="2" borderId="0">
      <alignment horizontal="left"/>
      <protection/>
    </xf>
    <xf numFmtId="0" fontId="3" fillId="0" borderId="7">
      <alignment/>
      <protection/>
    </xf>
  </cellStyleXfs>
  <cellXfs count="369">
    <xf numFmtId="0" fontId="0" fillId="0" borderId="0" xfId="0"/>
    <xf numFmtId="0" fontId="20" fillId="0" borderId="0" xfId="0" applyFont="1" applyFill="1" applyAlignment="1">
      <alignment horizontal="centerContinuous"/>
    </xf>
    <xf numFmtId="0" fontId="20" fillId="0" borderId="0" xfId="0" applyFont="1" applyFill="1"/>
    <xf numFmtId="0" fontId="20" fillId="0" borderId="4" xfId="0" applyFont="1" applyFill="1" applyBorder="1" applyAlignment="1">
      <alignment horizontal="center" wrapText="1"/>
    </xf>
    <xf numFmtId="0" fontId="20" fillId="0" borderId="4" xfId="0" applyFont="1" applyFill="1" applyBorder="1" applyAlignment="1" quotePrefix="1">
      <alignment horizontal="center" wrapText="1"/>
    </xf>
    <xf numFmtId="0" fontId="20" fillId="0" borderId="0" xfId="0" applyFont="1" applyFill="1" applyBorder="1" applyAlignment="1" quotePrefix="1">
      <alignment horizontal="center" wrapText="1"/>
    </xf>
    <xf numFmtId="0" fontId="20" fillId="0" borderId="8" xfId="0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 quotePrefix="1">
      <alignment horizontal="center" vertical="top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164" fontId="20" fillId="0" borderId="9" xfId="18" applyNumberFormat="1" applyFont="1" applyFill="1" applyBorder="1"/>
    <xf numFmtId="165" fontId="20" fillId="0" borderId="9" xfId="16" applyNumberFormat="1" applyFont="1" applyFill="1" applyBorder="1"/>
    <xf numFmtId="10" fontId="20" fillId="0" borderId="0" xfId="15" applyNumberFormat="1" applyFont="1" applyFill="1" applyBorder="1"/>
    <xf numFmtId="9" fontId="20" fillId="0" borderId="0" xfId="15" applyFont="1" applyFill="1"/>
    <xf numFmtId="10" fontId="20" fillId="0" borderId="0" xfId="15" applyNumberFormat="1" applyFont="1" applyFill="1"/>
    <xf numFmtId="165" fontId="20" fillId="0" borderId="0" xfId="16" applyNumberFormat="1" applyFont="1" applyFill="1" applyBorder="1"/>
    <xf numFmtId="164" fontId="20" fillId="0" borderId="0" xfId="18" applyNumberFormat="1" applyFont="1" applyFill="1"/>
    <xf numFmtId="9" fontId="20" fillId="0" borderId="0" xfId="15" applyNumberFormat="1" applyFont="1" applyFill="1"/>
    <xf numFmtId="164" fontId="20" fillId="0" borderId="0" xfId="18" applyNumberFormat="1" applyFont="1" applyFill="1" applyBorder="1"/>
    <xf numFmtId="10" fontId="20" fillId="0" borderId="0" xfId="16" applyNumberFormat="1" applyFont="1" applyFill="1" applyBorder="1"/>
    <xf numFmtId="169" fontId="20" fillId="0" borderId="0" xfId="15" applyNumberFormat="1" applyFont="1" applyFill="1"/>
    <xf numFmtId="0" fontId="20" fillId="0" borderId="0" xfId="0" applyFont="1" applyFill="1" applyAlignment="1" quotePrefix="1">
      <alignment horizontal="left" indent="1"/>
    </xf>
    <xf numFmtId="3" fontId="20" fillId="0" borderId="0" xfId="16" applyNumberFormat="1" applyFont="1" applyFill="1" applyBorder="1"/>
    <xf numFmtId="0" fontId="20" fillId="0" borderId="0" xfId="0" applyFont="1" applyFill="1" applyAlignment="1" quotePrefix="1">
      <alignment horizontal="left"/>
    </xf>
    <xf numFmtId="3" fontId="20" fillId="0" borderId="9" xfId="18" applyNumberFormat="1" applyFont="1" applyFill="1" applyBorder="1"/>
    <xf numFmtId="3" fontId="20" fillId="0" borderId="0" xfId="18" applyNumberFormat="1" applyFont="1" applyFill="1" applyBorder="1"/>
    <xf numFmtId="0" fontId="20" fillId="0" borderId="0" xfId="0" applyFont="1" applyFill="1" applyAlignment="1">
      <alignment horizontal="left" indent="1"/>
    </xf>
    <xf numFmtId="3" fontId="20" fillId="0" borderId="0" xfId="18" applyNumberFormat="1" applyFont="1" applyFill="1"/>
    <xf numFmtId="165" fontId="20" fillId="0" borderId="0" xfId="16" applyNumberFormat="1" applyFont="1" applyFill="1"/>
    <xf numFmtId="10" fontId="20" fillId="0" borderId="0" xfId="16" applyNumberFormat="1" applyFont="1" applyFill="1"/>
    <xf numFmtId="3" fontId="20" fillId="0" borderId="9" xfId="16" applyNumberFormat="1" applyFont="1" applyFill="1" applyBorder="1"/>
    <xf numFmtId="165" fontId="22" fillId="0" borderId="0" xfId="16" applyNumberFormat="1" applyFont="1" applyFill="1"/>
    <xf numFmtId="0" fontId="20" fillId="0" borderId="0" xfId="0" applyFont="1" applyFill="1" applyBorder="1"/>
    <xf numFmtId="0" fontId="20" fillId="0" borderId="0" xfId="0" applyFont="1" applyFill="1" applyAlignment="1" quotePrefix="1">
      <alignment horizontal="center"/>
    </xf>
    <xf numFmtId="164" fontId="20" fillId="0" borderId="3" xfId="18" applyNumberFormat="1" applyFont="1" applyFill="1" applyBorder="1"/>
    <xf numFmtId="165" fontId="20" fillId="0" borderId="3" xfId="16" applyNumberFormat="1" applyFont="1" applyFill="1" applyBorder="1"/>
    <xf numFmtId="165" fontId="22" fillId="0" borderId="3" xfId="16" applyNumberFormat="1" applyFont="1" applyFill="1" applyBorder="1"/>
    <xf numFmtId="10" fontId="20" fillId="0" borderId="3" xfId="15" applyNumberFormat="1" applyFont="1" applyFill="1" applyBorder="1"/>
    <xf numFmtId="164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/>
    <xf numFmtId="9" fontId="20" fillId="0" borderId="0" xfId="0" applyNumberFormat="1" applyFont="1" applyFill="1"/>
    <xf numFmtId="0" fontId="20" fillId="0" borderId="10" xfId="0" applyFont="1" applyFill="1" applyBorder="1" applyAlignment="1" quotePrefix="1">
      <alignment horizontal="left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/>
    <xf numFmtId="9" fontId="21" fillId="0" borderId="11" xfId="15" applyFont="1" applyFill="1" applyBorder="1"/>
    <xf numFmtId="172" fontId="20" fillId="0" borderId="12" xfId="0" applyNumberFormat="1" applyFont="1" applyFill="1" applyBorder="1"/>
    <xf numFmtId="0" fontId="20" fillId="0" borderId="13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center"/>
    </xf>
    <xf numFmtId="172" fontId="20" fillId="0" borderId="14" xfId="15" applyNumberFormat="1" applyFont="1" applyFill="1" applyBorder="1"/>
    <xf numFmtId="0" fontId="20" fillId="0" borderId="13" xfId="0" applyFont="1" applyFill="1" applyBorder="1" applyAlignment="1">
      <alignment horizontal="left"/>
    </xf>
    <xf numFmtId="0" fontId="20" fillId="0" borderId="14" xfId="0" applyFont="1" applyFill="1" applyBorder="1"/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/>
    <xf numFmtId="172" fontId="21" fillId="0" borderId="17" xfId="15" applyNumberFormat="1" applyFont="1" applyFill="1" applyBorder="1"/>
    <xf numFmtId="165" fontId="20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Continuous"/>
    </xf>
    <xf numFmtId="0" fontId="20" fillId="0" borderId="0" xfId="0" applyFont="1"/>
    <xf numFmtId="0" fontId="20" fillId="0" borderId="4" xfId="0" applyFont="1" applyBorder="1" applyAlignment="1">
      <alignment horizontal="center" wrapText="1"/>
    </xf>
    <xf numFmtId="0" fontId="20" fillId="0" borderId="4" xfId="0" applyFont="1" applyBorder="1" applyAlignment="1" quotePrefix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 quotePrefix="1">
      <alignment horizontal="center" wrapText="1"/>
    </xf>
    <xf numFmtId="165" fontId="20" fillId="0" borderId="0" xfId="0" applyNumberFormat="1" applyFont="1" applyBorder="1" applyAlignment="1" quotePrefix="1">
      <alignment horizontal="center" wrapText="1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center"/>
    </xf>
    <xf numFmtId="164" fontId="20" fillId="0" borderId="0" xfId="18" applyNumberFormat="1" applyFont="1" applyAlignment="1" quotePrefix="1">
      <alignment horizontal="left"/>
    </xf>
    <xf numFmtId="165" fontId="20" fillId="0" borderId="0" xfId="16" applyNumberFormat="1" applyFont="1" applyAlignment="1" quotePrefix="1">
      <alignment horizontal="left"/>
    </xf>
    <xf numFmtId="169" fontId="20" fillId="0" borderId="0" xfId="15" applyNumberFormat="1" applyFont="1" applyAlignment="1" quotePrefix="1">
      <alignment horizontal="center"/>
    </xf>
    <xf numFmtId="164" fontId="20" fillId="0" borderId="0" xfId="0" applyNumberFormat="1" applyFont="1"/>
    <xf numFmtId="0" fontId="20" fillId="0" borderId="0" xfId="0" applyFont="1" applyAlignment="1">
      <alignment horizontal="left"/>
    </xf>
    <xf numFmtId="164" fontId="20" fillId="0" borderId="9" xfId="18" applyNumberFormat="1" applyFont="1" applyBorder="1"/>
    <xf numFmtId="165" fontId="20" fillId="0" borderId="9" xfId="16" applyNumberFormat="1" applyFont="1" applyBorder="1"/>
    <xf numFmtId="169" fontId="20" fillId="0" borderId="9" xfId="15" applyNumberFormat="1" applyFont="1" applyBorder="1" applyAlignment="1" quotePrefix="1">
      <alignment horizontal="center"/>
    </xf>
    <xf numFmtId="164" fontId="20" fillId="0" borderId="0" xfId="18" applyNumberFormat="1" applyFont="1" applyBorder="1"/>
    <xf numFmtId="165" fontId="20" fillId="0" borderId="0" xfId="16" applyNumberFormat="1" applyFont="1" applyBorder="1"/>
    <xf numFmtId="0" fontId="20" fillId="0" borderId="0" xfId="0" applyFont="1" applyAlignment="1" quotePrefix="1">
      <alignment horizontal="left" indent="1"/>
    </xf>
    <xf numFmtId="0" fontId="20" fillId="0" borderId="0" xfId="0" applyFont="1" applyAlignment="1" quotePrefix="1">
      <alignment horizontal="left"/>
    </xf>
    <xf numFmtId="165" fontId="20" fillId="0" borderId="9" xfId="16" applyNumberFormat="1" applyFont="1" applyBorder="1" applyAlignment="1" quotePrefix="1">
      <alignment horizontal="left"/>
    </xf>
    <xf numFmtId="165" fontId="20" fillId="0" borderId="9" xfId="16" applyNumberFormat="1" applyFont="1" applyFill="1" applyBorder="1" applyAlignment="1" quotePrefix="1">
      <alignment horizontal="left"/>
    </xf>
    <xf numFmtId="164" fontId="20" fillId="0" borderId="3" xfId="0" applyNumberFormat="1" applyFont="1" applyBorder="1"/>
    <xf numFmtId="165" fontId="20" fillId="0" borderId="3" xfId="16" applyNumberFormat="1" applyFont="1" applyBorder="1"/>
    <xf numFmtId="169" fontId="20" fillId="0" borderId="3" xfId="15" applyNumberFormat="1" applyFont="1" applyBorder="1" applyAlignment="1" quotePrefix="1">
      <alignment horizontal="center"/>
    </xf>
    <xf numFmtId="164" fontId="20" fillId="0" borderId="5" xfId="0" applyNumberFormat="1" applyFont="1" applyBorder="1"/>
    <xf numFmtId="165" fontId="20" fillId="0" borderId="5" xfId="16" applyNumberFormat="1" applyFont="1" applyBorder="1"/>
    <xf numFmtId="169" fontId="20" fillId="0" borderId="5" xfId="15" applyNumberFormat="1" applyFont="1" applyBorder="1" applyAlignment="1" quotePrefix="1">
      <alignment horizontal="center"/>
    </xf>
    <xf numFmtId="169" fontId="20" fillId="0" borderId="0" xfId="15" applyNumberFormat="1" applyFont="1" applyAlignment="1" quotePrefix="1">
      <alignment horizontal="left"/>
    </xf>
    <xf numFmtId="0" fontId="20" fillId="0" borderId="0" xfId="0" applyFont="1" applyAlignment="1" quotePrefix="1">
      <alignment horizontal="center"/>
    </xf>
    <xf numFmtId="165" fontId="20" fillId="0" borderId="0" xfId="0" applyNumberFormat="1" applyFont="1"/>
    <xf numFmtId="164" fontId="20" fillId="0" borderId="3" xfId="18" applyNumberFormat="1" applyFont="1" applyBorder="1"/>
    <xf numFmtId="165" fontId="20" fillId="0" borderId="0" xfId="16" applyNumberFormat="1" applyFont="1"/>
    <xf numFmtId="168" fontId="20" fillId="0" borderId="0" xfId="16" applyNumberFormat="1" applyFont="1"/>
    <xf numFmtId="0" fontId="20" fillId="0" borderId="18" xfId="0" applyFont="1" applyBorder="1" applyAlignment="1">
      <alignment horizontal="centerContinuous"/>
    </xf>
    <xf numFmtId="0" fontId="20" fillId="0" borderId="9" xfId="0" applyFont="1" applyBorder="1" applyAlignment="1">
      <alignment horizontal="centerContinuous"/>
    </xf>
    <xf numFmtId="0" fontId="20" fillId="0" borderId="19" xfId="0" applyFont="1" applyBorder="1" applyAlignment="1">
      <alignment horizontal="centerContinuous"/>
    </xf>
    <xf numFmtId="0" fontId="20" fillId="0" borderId="20" xfId="0" applyFont="1" applyBorder="1" applyAlignment="1" quotePrefix="1">
      <alignment horizontal="centerContinuous"/>
    </xf>
    <xf numFmtId="0" fontId="20" fillId="0" borderId="21" xfId="0" applyFont="1" applyBorder="1" applyAlignment="1" quotePrefix="1">
      <alignment horizontal="centerContinuous"/>
    </xf>
    <xf numFmtId="0" fontId="20" fillId="0" borderId="5" xfId="0" applyFont="1" applyBorder="1" applyAlignment="1" quotePrefix="1">
      <alignment horizontal="centerContinuous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22" xfId="0" applyFont="1" applyBorder="1" applyAlignment="1" quotePrefix="1">
      <alignment horizontal="centerContinuous"/>
    </xf>
    <xf numFmtId="0" fontId="20" fillId="0" borderId="23" xfId="0" applyFont="1" applyBorder="1" applyAlignment="1" quotePrefix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0" fillId="0" borderId="24" xfId="0" applyFont="1" applyBorder="1" applyAlignment="1" quotePrefix="1">
      <alignment horizontal="centerContinuous"/>
    </xf>
    <xf numFmtId="0" fontId="20" fillId="0" borderId="18" xfId="0" applyFont="1" applyBorder="1" applyAlignment="1" quotePrefix="1">
      <alignment horizontal="centerContinuous"/>
    </xf>
    <xf numFmtId="0" fontId="20" fillId="0" borderId="19" xfId="0" applyFont="1" applyBorder="1" applyAlignment="1" quotePrefix="1">
      <alignment horizontal="centerContinuous"/>
    </xf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 quotePrefix="1">
      <alignment horizontal="centerContinuous"/>
    </xf>
    <xf numFmtId="44" fontId="20" fillId="0" borderId="0" xfId="16" applyFont="1"/>
    <xf numFmtId="44" fontId="20" fillId="0" borderId="0" xfId="16" applyNumberFormat="1" applyFont="1"/>
    <xf numFmtId="169" fontId="20" fillId="0" borderId="0" xfId="15" applyNumberFormat="1" applyFont="1"/>
    <xf numFmtId="169" fontId="20" fillId="0" borderId="9" xfId="15" applyNumberFormat="1" applyFont="1" applyBorder="1"/>
    <xf numFmtId="164" fontId="20" fillId="0" borderId="0" xfId="18" applyNumberFormat="1" applyFont="1"/>
    <xf numFmtId="169" fontId="20" fillId="0" borderId="0" xfId="15" applyNumberFormat="1" applyFont="1" applyBorder="1"/>
    <xf numFmtId="165" fontId="20" fillId="0" borderId="9" xfId="0" applyNumberFormat="1" applyFont="1" applyBorder="1"/>
    <xf numFmtId="169" fontId="20" fillId="0" borderId="9" xfId="15" applyNumberFormat="1" applyFont="1" applyFill="1" applyBorder="1"/>
    <xf numFmtId="165" fontId="20" fillId="0" borderId="3" xfId="0" applyNumberFormat="1" applyFont="1" applyBorder="1"/>
    <xf numFmtId="169" fontId="20" fillId="0" borderId="3" xfId="15" applyNumberFormat="1" applyFont="1" applyBorder="1"/>
    <xf numFmtId="0" fontId="20" fillId="0" borderId="21" xfId="0" applyFont="1" applyBorder="1" applyAlignment="1">
      <alignment horizontal="centerContinuous"/>
    </xf>
    <xf numFmtId="0" fontId="20" fillId="0" borderId="5" xfId="0" applyFont="1" applyBorder="1" applyAlignment="1">
      <alignment horizontal="centerContinuous"/>
    </xf>
    <xf numFmtId="0" fontId="20" fillId="0" borderId="22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4" xfId="0" applyFont="1" applyBorder="1" applyAlignment="1">
      <alignment horizontal="centerContinuous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43" fontId="20" fillId="0" borderId="0" xfId="0" applyNumberFormat="1" applyFont="1"/>
    <xf numFmtId="0" fontId="20" fillId="0" borderId="25" xfId="0" applyFont="1" applyBorder="1" applyAlignment="1" quotePrefix="1">
      <alignment horizontal="centerContinuous"/>
    </xf>
    <xf numFmtId="164" fontId="20" fillId="0" borderId="9" xfId="18" applyNumberFormat="1" applyFont="1" applyBorder="1" applyAlignment="1" quotePrefix="1">
      <alignment horizontal="left"/>
    </xf>
    <xf numFmtId="7" fontId="20" fillId="0" borderId="0" xfId="16" applyNumberFormat="1" applyFont="1"/>
    <xf numFmtId="167" fontId="20" fillId="0" borderId="0" xfId="16" applyNumberFormat="1" applyFont="1"/>
    <xf numFmtId="0" fontId="20" fillId="0" borderId="25" xfId="0" applyFont="1" applyBorder="1" applyAlignment="1">
      <alignment horizontal="centerContinuous"/>
    </xf>
    <xf numFmtId="164" fontId="20" fillId="0" borderId="0" xfId="18" applyNumberFormat="1" applyFont="1" applyBorder="1" applyAlignment="1" quotePrefix="1">
      <alignment horizontal="left"/>
    </xf>
    <xf numFmtId="165" fontId="20" fillId="0" borderId="0" xfId="0" applyNumberFormat="1" applyFont="1" applyBorder="1"/>
    <xf numFmtId="170" fontId="20" fillId="0" borderId="0" xfId="18" applyNumberFormat="1" applyFont="1"/>
    <xf numFmtId="44" fontId="20" fillId="0" borderId="0" xfId="0" applyNumberFormat="1" applyFont="1"/>
    <xf numFmtId="0" fontId="20" fillId="0" borderId="18" xfId="0" applyFont="1" applyFill="1" applyBorder="1" applyAlignment="1">
      <alignment horizontal="centerContinuous"/>
    </xf>
    <xf numFmtId="0" fontId="20" fillId="0" borderId="9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 horizontal="centerContinuous"/>
    </xf>
    <xf numFmtId="0" fontId="20" fillId="0" borderId="20" xfId="0" applyFont="1" applyFill="1" applyBorder="1" applyAlignment="1" quotePrefix="1">
      <alignment horizontal="centerContinuous"/>
    </xf>
    <xf numFmtId="0" fontId="20" fillId="0" borderId="21" xfId="0" applyFont="1" applyFill="1" applyBorder="1" applyAlignment="1" quotePrefix="1">
      <alignment horizontal="centerContinuous"/>
    </xf>
    <xf numFmtId="0" fontId="20" fillId="0" borderId="5" xfId="0" applyFont="1" applyFill="1" applyBorder="1" applyAlignment="1" quotePrefix="1">
      <alignment horizontal="centerContinuous"/>
    </xf>
    <xf numFmtId="0" fontId="20" fillId="0" borderId="25" xfId="0" applyFont="1" applyFill="1" applyBorder="1" applyAlignment="1" quotePrefix="1">
      <alignment horizontal="centerContinuous"/>
    </xf>
    <xf numFmtId="0" fontId="20" fillId="0" borderId="24" xfId="0" applyFont="1" applyFill="1" applyBorder="1" applyAlignment="1" quotePrefix="1">
      <alignment horizontal="centerContinuous"/>
    </xf>
    <xf numFmtId="0" fontId="20" fillId="0" borderId="0" xfId="0" applyFont="1" applyFill="1" applyBorder="1" applyAlignment="1" quotePrefix="1">
      <alignment horizontal="centerContinuous"/>
    </xf>
    <xf numFmtId="0" fontId="20" fillId="0" borderId="18" xfId="0" applyFont="1" applyFill="1" applyBorder="1" applyAlignment="1" quotePrefix="1">
      <alignment horizontal="centerContinuous"/>
    </xf>
    <xf numFmtId="0" fontId="20" fillId="0" borderId="19" xfId="0" applyFont="1" applyFill="1" applyBorder="1" applyAlignment="1" quotePrefix="1">
      <alignment horizontal="centerContinuous"/>
    </xf>
    <xf numFmtId="0" fontId="20" fillId="0" borderId="4" xfId="0" applyFont="1" applyFill="1" applyBorder="1" applyAlignment="1">
      <alignment horizontal="center"/>
    </xf>
    <xf numFmtId="0" fontId="20" fillId="0" borderId="9" xfId="0" applyFont="1" applyFill="1" applyBorder="1" applyAlignment="1" quotePrefix="1">
      <alignment horizontal="centerContinuous"/>
    </xf>
    <xf numFmtId="44" fontId="20" fillId="0" borderId="0" xfId="0" applyNumberFormat="1" applyFont="1" applyFill="1"/>
    <xf numFmtId="165" fontId="20" fillId="0" borderId="9" xfId="0" applyNumberFormat="1" applyFont="1" applyFill="1" applyBorder="1"/>
    <xf numFmtId="165" fontId="20" fillId="0" borderId="0" xfId="0" applyNumberFormat="1" applyFont="1" applyFill="1" applyBorder="1"/>
    <xf numFmtId="169" fontId="20" fillId="0" borderId="0" xfId="15" applyNumberFormat="1" applyFont="1" applyFill="1" applyBorder="1"/>
    <xf numFmtId="0" fontId="20" fillId="0" borderId="0" xfId="0" applyFont="1" applyFill="1" applyAlignment="1" quotePrefix="1">
      <alignment horizontal="left" indent="2"/>
    </xf>
    <xf numFmtId="168" fontId="20" fillId="0" borderId="0" xfId="16" applyNumberFormat="1" applyFont="1" applyFill="1"/>
    <xf numFmtId="0" fontId="20" fillId="0" borderId="0" xfId="0" applyFont="1" applyFill="1" applyAlignment="1">
      <alignment horizontal="left" indent="2"/>
    </xf>
    <xf numFmtId="0" fontId="20" fillId="0" borderId="0" xfId="0" applyFont="1" applyFill="1" applyAlignment="1" quotePrefix="1">
      <alignment horizontal="left" indent="3"/>
    </xf>
    <xf numFmtId="0" fontId="20" fillId="0" borderId="0" xfId="0" applyFont="1" applyFill="1" applyAlignment="1">
      <alignment horizontal="left" indent="3"/>
    </xf>
    <xf numFmtId="167" fontId="20" fillId="0" borderId="0" xfId="0" applyNumberFormat="1" applyFont="1" applyFill="1"/>
    <xf numFmtId="165" fontId="20" fillId="0" borderId="3" xfId="0" applyNumberFormat="1" applyFont="1" applyFill="1" applyBorder="1"/>
    <xf numFmtId="169" fontId="20" fillId="0" borderId="3" xfId="15" applyNumberFormat="1" applyFont="1" applyFill="1" applyBorder="1"/>
    <xf numFmtId="9" fontId="20" fillId="0" borderId="0" xfId="15" applyFont="1"/>
    <xf numFmtId="9" fontId="20" fillId="0" borderId="0" xfId="0" applyNumberFormat="1" applyFont="1"/>
    <xf numFmtId="0" fontId="20" fillId="0" borderId="0" xfId="0" applyFont="1" applyBorder="1" applyAlignment="1" quotePrefix="1">
      <alignment horizontal="left" wrapText="1"/>
    </xf>
    <xf numFmtId="164" fontId="20" fillId="0" borderId="0" xfId="18" applyNumberFormat="1" applyFont="1" applyBorder="1" applyAlignment="1">
      <alignment wrapText="1"/>
    </xf>
    <xf numFmtId="165" fontId="20" fillId="0" borderId="0" xfId="16" applyNumberFormat="1" applyFont="1" applyBorder="1" applyAlignment="1">
      <alignment wrapText="1"/>
    </xf>
    <xf numFmtId="42" fontId="20" fillId="0" borderId="0" xfId="16" applyNumberFormat="1" applyFont="1" applyAlignment="1">
      <alignment/>
    </xf>
    <xf numFmtId="10" fontId="20" fillId="0" borderId="0" xfId="15" applyNumberFormat="1" applyFont="1" applyAlignment="1">
      <alignment horizontal="right"/>
    </xf>
    <xf numFmtId="164" fontId="20" fillId="0" borderId="9" xfId="18" applyNumberFormat="1" applyFont="1" applyBorder="1" applyAlignment="1">
      <alignment/>
    </xf>
    <xf numFmtId="42" fontId="20" fillId="0" borderId="9" xfId="16" applyNumberFormat="1" applyFont="1" applyBorder="1" applyAlignment="1">
      <alignment/>
    </xf>
    <xf numFmtId="10" fontId="20" fillId="0" borderId="9" xfId="15" applyNumberFormat="1" applyFont="1" applyBorder="1" applyAlignment="1">
      <alignment horizontal="right"/>
    </xf>
    <xf numFmtId="164" fontId="20" fillId="0" borderId="0" xfId="18" applyNumberFormat="1" applyFont="1" applyAlignment="1">
      <alignment horizontal="right"/>
    </xf>
    <xf numFmtId="42" fontId="20" fillId="0" borderId="0" xfId="0" applyNumberFormat="1" applyFont="1" applyAlignment="1">
      <alignment horizontal="right"/>
    </xf>
    <xf numFmtId="173" fontId="20" fillId="0" borderId="0" xfId="15" applyNumberFormat="1" applyFont="1" applyAlignment="1">
      <alignment horizontal="right"/>
    </xf>
    <xf numFmtId="174" fontId="20" fillId="0" borderId="0" xfId="0" applyNumberFormat="1" applyFont="1"/>
    <xf numFmtId="42" fontId="20" fillId="0" borderId="0" xfId="0" applyNumberFormat="1" applyFont="1"/>
    <xf numFmtId="0" fontId="20" fillId="0" borderId="0" xfId="0" applyFont="1" applyBorder="1" applyAlignment="1">
      <alignment horizontal="centerContinuous"/>
    </xf>
    <xf numFmtId="164" fontId="20" fillId="0" borderId="3" xfId="18" applyNumberFormat="1" applyFont="1" applyBorder="1" applyAlignment="1" quotePrefix="1">
      <alignment horizontal="left"/>
    </xf>
    <xf numFmtId="0" fontId="20" fillId="0" borderId="0" xfId="0" applyFont="1" applyBorder="1" applyAlignment="1">
      <alignment horizontal="left"/>
    </xf>
    <xf numFmtId="166" fontId="20" fillId="0" borderId="0" xfId="0" applyNumberFormat="1" applyFont="1"/>
    <xf numFmtId="166" fontId="20" fillId="0" borderId="0" xfId="16" applyNumberFormat="1" applyFont="1"/>
    <xf numFmtId="0" fontId="20" fillId="0" borderId="0" xfId="0" applyFont="1" applyAlignment="1" quotePrefix="1">
      <alignment horizontal="left" indent="2"/>
    </xf>
    <xf numFmtId="42" fontId="20" fillId="0" borderId="0" xfId="16" applyNumberFormat="1" applyFont="1" applyBorder="1" applyAlignment="1">
      <alignment wrapText="1"/>
    </xf>
    <xf numFmtId="169" fontId="20" fillId="0" borderId="0" xfId="15" applyNumberFormat="1" applyFont="1" applyAlignment="1">
      <alignment horizontal="right"/>
    </xf>
    <xf numFmtId="164" fontId="20" fillId="0" borderId="0" xfId="18" applyNumberFormat="1" applyFont="1" applyAlignment="1">
      <alignment/>
    </xf>
    <xf numFmtId="164" fontId="20" fillId="0" borderId="3" xfId="18" applyNumberFormat="1" applyFont="1" applyBorder="1" applyAlignment="1">
      <alignment/>
    </xf>
    <xf numFmtId="42" fontId="20" fillId="0" borderId="3" xfId="16" applyNumberFormat="1" applyFont="1" applyBorder="1" applyAlignment="1">
      <alignment/>
    </xf>
    <xf numFmtId="169" fontId="20" fillId="0" borderId="3" xfId="15" applyNumberFormat="1" applyFont="1" applyBorder="1" applyAlignment="1">
      <alignment horizontal="right"/>
    </xf>
    <xf numFmtId="168" fontId="20" fillId="0" borderId="3" xfId="16" applyNumberFormat="1" applyFont="1" applyBorder="1"/>
    <xf numFmtId="165" fontId="20" fillId="0" borderId="0" xfId="16" applyNumberFormat="1" applyFont="1" applyAlignment="1">
      <alignment horizontal="right"/>
    </xf>
    <xf numFmtId="0" fontId="20" fillId="0" borderId="0" xfId="0" applyFont="1" applyAlignment="1">
      <alignment horizontal="right"/>
    </xf>
    <xf numFmtId="164" fontId="20" fillId="0" borderId="0" xfId="0" applyNumberFormat="1" applyFont="1" applyAlignment="1">
      <alignment horizontal="right"/>
    </xf>
    <xf numFmtId="44" fontId="20" fillId="0" borderId="0" xfId="0" applyNumberFormat="1" applyFont="1" applyAlignment="1">
      <alignment horizontal="right"/>
    </xf>
    <xf numFmtId="10" fontId="20" fillId="0" borderId="0" xfId="0" applyNumberFormat="1" applyFont="1"/>
    <xf numFmtId="10" fontId="20" fillId="0" borderId="0" xfId="15" applyNumberFormat="1" applyFont="1"/>
    <xf numFmtId="172" fontId="20" fillId="0" borderId="0" xfId="15" applyNumberFormat="1" applyFont="1"/>
    <xf numFmtId="164" fontId="20" fillId="0" borderId="0" xfId="18" applyNumberFormat="1" applyFont="1" applyFill="1" applyAlignment="1" quotePrefix="1">
      <alignment horizontal="left"/>
    </xf>
    <xf numFmtId="169" fontId="20" fillId="0" borderId="5" xfId="15" applyNumberFormat="1" applyFont="1" applyBorder="1"/>
    <xf numFmtId="0" fontId="20" fillId="0" borderId="0" xfId="0" applyFont="1" applyBorder="1" applyAlignment="1" quotePrefix="1">
      <alignment horizontal="left"/>
    </xf>
    <xf numFmtId="44" fontId="20" fillId="0" borderId="0" xfId="16" applyFont="1" applyBorder="1"/>
    <xf numFmtId="44" fontId="20" fillId="0" borderId="0" xfId="16" applyNumberFormat="1" applyFont="1" applyBorder="1"/>
    <xf numFmtId="169" fontId="20" fillId="0" borderId="0" xfId="15" applyNumberFormat="1" applyFont="1" applyBorder="1" applyAlignment="1">
      <alignment horizontal="right"/>
    </xf>
    <xf numFmtId="164" fontId="20" fillId="0" borderId="0" xfId="0" applyNumberFormat="1" applyFont="1" applyBorder="1"/>
    <xf numFmtId="43" fontId="20" fillId="0" borderId="0" xfId="0" applyNumberFormat="1" applyFont="1" applyBorder="1"/>
    <xf numFmtId="168" fontId="20" fillId="0" borderId="0" xfId="0" applyNumberFormat="1" applyFont="1"/>
    <xf numFmtId="0" fontId="20" fillId="0" borderId="0" xfId="0" applyFont="1" applyFill="1" applyAlignment="1" quotePrefix="1">
      <alignment horizontal="centerContinuous"/>
    </xf>
    <xf numFmtId="0" fontId="20" fillId="0" borderId="4" xfId="0" applyFont="1" applyFill="1" applyBorder="1" applyAlignment="1">
      <alignment horizontal="center" wrapText="1" shrinkToFit="1"/>
    </xf>
    <xf numFmtId="0" fontId="20" fillId="0" borderId="4" xfId="0" applyFont="1" applyFill="1" applyBorder="1" applyAlignment="1">
      <alignment horizontal="left" wrapText="1" shrinkToFit="1"/>
    </xf>
    <xf numFmtId="0" fontId="20" fillId="0" borderId="4" xfId="0" applyFont="1" applyFill="1" applyBorder="1" applyAlignment="1" quotePrefix="1">
      <alignment horizontal="center" wrapText="1" shrinkToFit="1"/>
    </xf>
    <xf numFmtId="0" fontId="20" fillId="0" borderId="4" xfId="0" applyFont="1" applyFill="1" applyBorder="1" applyAlignment="1" quotePrefix="1">
      <alignment horizontal="left" wrapText="1" shrinkToFit="1"/>
    </xf>
    <xf numFmtId="44" fontId="21" fillId="0" borderId="0" xfId="0" applyNumberFormat="1" applyFont="1" applyFill="1"/>
    <xf numFmtId="0" fontId="21" fillId="0" borderId="0" xfId="0" applyFont="1" applyFill="1" applyAlignment="1" quotePrefix="1">
      <alignment horizontal="left" vertical="center" wrapText="1"/>
    </xf>
    <xf numFmtId="43" fontId="20" fillId="0" borderId="0" xfId="0" applyNumberFormat="1" applyFont="1" applyFill="1"/>
    <xf numFmtId="164" fontId="20" fillId="0" borderId="9" xfId="0" applyNumberFormat="1" applyFont="1" applyFill="1" applyBorder="1"/>
    <xf numFmtId="165" fontId="21" fillId="0" borderId="0" xfId="0" applyNumberFormat="1" applyFont="1" applyFill="1" applyAlignment="1">
      <alignment horizontal="left"/>
    </xf>
    <xf numFmtId="44" fontId="20" fillId="0" borderId="0" xfId="16" applyFont="1" applyFill="1"/>
    <xf numFmtId="9" fontId="21" fillId="0" borderId="0" xfId="15" applyFont="1" applyFill="1" applyAlignment="1">
      <alignment horizontal="left"/>
    </xf>
    <xf numFmtId="0" fontId="21" fillId="0" borderId="0" xfId="0" applyFont="1" applyFill="1" applyAlignment="1">
      <alignment horizontal="left"/>
    </xf>
    <xf numFmtId="168" fontId="21" fillId="0" borderId="0" xfId="16" applyNumberFormat="1" applyFont="1" applyFill="1" applyBorder="1"/>
    <xf numFmtId="0" fontId="21" fillId="0" borderId="0" xfId="0" applyFont="1" applyFill="1" applyAlignment="1" quotePrefix="1">
      <alignment horizontal="left"/>
    </xf>
    <xf numFmtId="164" fontId="20" fillId="0" borderId="3" xfId="0" applyNumberFormat="1" applyFont="1" applyFill="1" applyBorder="1"/>
    <xf numFmtId="0" fontId="20" fillId="0" borderId="0" xfId="0" applyFont="1" applyFill="1" applyAlignment="1" quotePrefix="1">
      <alignment/>
    </xf>
    <xf numFmtId="181" fontId="21" fillId="0" borderId="0" xfId="16" applyNumberFormat="1" applyFont="1" applyFill="1" applyAlignment="1">
      <alignment horizontal="left"/>
    </xf>
    <xf numFmtId="164" fontId="20" fillId="0" borderId="0" xfId="0" applyNumberFormat="1" applyFont="1" applyFill="1"/>
    <xf numFmtId="165" fontId="21" fillId="0" borderId="26" xfId="0" applyNumberFormat="1" applyFont="1" applyFill="1" applyBorder="1"/>
    <xf numFmtId="0" fontId="21" fillId="0" borderId="0" xfId="0" applyFont="1" applyFill="1" applyAlignment="1">
      <alignment horizontal="left" wrapText="1"/>
    </xf>
    <xf numFmtId="168" fontId="20" fillId="0" borderId="0" xfId="0" applyNumberFormat="1" applyFont="1" applyFill="1"/>
    <xf numFmtId="43" fontId="20" fillId="0" borderId="0" xfId="0" applyNumberFormat="1" applyFont="1" applyFill="1" applyBorder="1"/>
    <xf numFmtId="167" fontId="20" fillId="0" borderId="0" xfId="16" applyNumberFormat="1" applyFont="1" applyFill="1"/>
    <xf numFmtId="0" fontId="23" fillId="0" borderId="0" xfId="0" applyFont="1" applyFill="1" applyBorder="1" applyAlignment="1">
      <alignment horizontal="left" wrapText="1" shrinkToFit="1"/>
    </xf>
    <xf numFmtId="0" fontId="23" fillId="0" borderId="0" xfId="0" applyFont="1" applyFill="1" applyBorder="1" applyAlignment="1" quotePrefix="1">
      <alignment horizontal="center" wrapText="1" shrinkToFit="1"/>
    </xf>
    <xf numFmtId="0" fontId="23" fillId="0" borderId="0" xfId="0" applyFont="1" applyFill="1" applyBorder="1" applyAlignment="1">
      <alignment horizontal="center" wrapText="1" shrinkToFit="1"/>
    </xf>
    <xf numFmtId="0" fontId="23" fillId="0" borderId="0" xfId="0" applyFont="1" applyFill="1" applyBorder="1" applyAlignment="1" quotePrefix="1">
      <alignment horizontal="left" wrapText="1" shrinkToFit="1"/>
    </xf>
    <xf numFmtId="44" fontId="20" fillId="0" borderId="0" xfId="0" applyNumberFormat="1" applyFont="1" applyFill="1" applyAlignment="1" quotePrefix="1">
      <alignment horizontal="left"/>
    </xf>
    <xf numFmtId="44" fontId="21" fillId="0" borderId="0" xfId="0" applyNumberFormat="1" applyFont="1" applyFill="1" applyBorder="1"/>
    <xf numFmtId="43" fontId="20" fillId="0" borderId="0" xfId="18" applyFont="1" applyFill="1"/>
    <xf numFmtId="168" fontId="21" fillId="0" borderId="0" xfId="16" applyNumberFormat="1" applyFont="1" applyFill="1"/>
    <xf numFmtId="164" fontId="20" fillId="0" borderId="0" xfId="0" applyNumberFormat="1" applyFont="1" applyFill="1" applyBorder="1"/>
    <xf numFmtId="44" fontId="21" fillId="0" borderId="0" xfId="16" applyFont="1" applyFill="1" applyBorder="1"/>
    <xf numFmtId="165" fontId="20" fillId="0" borderId="13" xfId="16" applyNumberFormat="1" applyFont="1" applyFill="1" applyBorder="1"/>
    <xf numFmtId="43" fontId="21" fillId="0" borderId="0" xfId="0" applyNumberFormat="1" applyFont="1" applyFill="1" applyBorder="1"/>
    <xf numFmtId="0" fontId="20" fillId="0" borderId="13" xfId="0" applyFont="1" applyFill="1" applyBorder="1"/>
    <xf numFmtId="43" fontId="20" fillId="0" borderId="0" xfId="18" applyFont="1" applyFill="1" applyBorder="1"/>
    <xf numFmtId="169" fontId="20" fillId="0" borderId="14" xfId="15" applyNumberFormat="1" applyFont="1" applyFill="1" applyBorder="1"/>
    <xf numFmtId="165" fontId="20" fillId="0" borderId="13" xfId="0" applyNumberFormat="1" applyFont="1" applyFill="1" applyBorder="1"/>
    <xf numFmtId="44" fontId="20" fillId="0" borderId="0" xfId="16" applyFont="1" applyFill="1" applyBorder="1"/>
    <xf numFmtId="167" fontId="21" fillId="0" borderId="0" xfId="16" applyNumberFormat="1" applyFont="1" applyFill="1" applyBorder="1"/>
    <xf numFmtId="0" fontId="20" fillId="0" borderId="27" xfId="0" applyFont="1" applyFill="1" applyBorder="1"/>
    <xf numFmtId="0" fontId="20" fillId="0" borderId="8" xfId="0" applyFont="1" applyFill="1" applyBorder="1"/>
    <xf numFmtId="169" fontId="20" fillId="0" borderId="28" xfId="15" applyNumberFormat="1" applyFont="1" applyFill="1" applyBorder="1"/>
    <xf numFmtId="0" fontId="20" fillId="0" borderId="0" xfId="0" applyFont="1" applyFill="1" applyBorder="1" applyAlignment="1">
      <alignment horizontal="left"/>
    </xf>
    <xf numFmtId="165" fontId="21" fillId="0" borderId="0" xfId="16" applyNumberFormat="1" applyFont="1" applyFill="1"/>
    <xf numFmtId="0" fontId="20" fillId="0" borderId="0" xfId="0" applyFont="1" applyFill="1" applyBorder="1" applyAlignment="1" quotePrefix="1">
      <alignment horizontal="left"/>
    </xf>
    <xf numFmtId="165" fontId="21" fillId="0" borderId="26" xfId="16" applyNumberFormat="1" applyFont="1" applyFill="1" applyBorder="1"/>
    <xf numFmtId="10" fontId="21" fillId="0" borderId="0" xfId="15" applyNumberFormat="1" applyFont="1" applyFill="1"/>
    <xf numFmtId="44" fontId="20" fillId="0" borderId="0" xfId="16" applyFont="1" applyFill="1" applyAlignment="1">
      <alignment horizontal="center"/>
    </xf>
    <xf numFmtId="0" fontId="20" fillId="0" borderId="0" xfId="0" applyFont="1" applyFill="1" applyBorder="1" applyAlignment="1">
      <alignment horizontal="left" wrapText="1" shrinkToFit="1"/>
    </xf>
    <xf numFmtId="165" fontId="20" fillId="0" borderId="14" xfId="0" applyNumberFormat="1" applyFont="1" applyFill="1" applyBorder="1"/>
    <xf numFmtId="9" fontId="20" fillId="0" borderId="0" xfId="15" applyFont="1" applyFill="1" applyBorder="1"/>
    <xf numFmtId="9" fontId="20" fillId="0" borderId="14" xfId="15" applyFont="1" applyFill="1" applyBorder="1"/>
    <xf numFmtId="0" fontId="20" fillId="0" borderId="28" xfId="0" applyFont="1" applyFill="1" applyBorder="1"/>
    <xf numFmtId="6" fontId="21" fillId="0" borderId="0" xfId="0" applyNumberFormat="1" applyFont="1" applyFill="1" applyBorder="1" applyAlignment="1">
      <alignment horizontal="right"/>
    </xf>
    <xf numFmtId="0" fontId="21" fillId="0" borderId="0" xfId="0" applyFont="1" applyFill="1"/>
    <xf numFmtId="10" fontId="21" fillId="0" borderId="0" xfId="15" applyNumberFormat="1" applyFont="1" applyFill="1" applyBorder="1"/>
    <xf numFmtId="0" fontId="21" fillId="0" borderId="0" xfId="0" applyFont="1" applyFill="1" applyAlignment="1" quotePrefix="1">
      <alignment vertical="center" wrapText="1"/>
    </xf>
    <xf numFmtId="10" fontId="20" fillId="0" borderId="0" xfId="0" applyNumberFormat="1" applyFont="1" applyFill="1" applyBorder="1" applyAlignment="1">
      <alignment horizontal="right"/>
    </xf>
    <xf numFmtId="9" fontId="20" fillId="0" borderId="13" xfId="15" applyFont="1" applyFill="1" applyBorder="1"/>
    <xf numFmtId="0" fontId="21" fillId="0" borderId="0" xfId="0" applyFont="1" applyFill="1" applyAlignment="1">
      <alignment vertical="center" wrapText="1"/>
    </xf>
    <xf numFmtId="44" fontId="21" fillId="0" borderId="0" xfId="16" applyFont="1" applyFill="1"/>
    <xf numFmtId="166" fontId="20" fillId="0" borderId="0" xfId="0" applyNumberFormat="1" applyFont="1" applyFill="1"/>
    <xf numFmtId="166" fontId="21" fillId="0" borderId="0" xfId="16" applyNumberFormat="1" applyFont="1" applyFill="1" applyBorder="1"/>
    <xf numFmtId="165" fontId="20" fillId="0" borderId="0" xfId="15" applyNumberFormat="1" applyFont="1" applyFill="1"/>
    <xf numFmtId="10" fontId="20" fillId="0" borderId="0" xfId="0" applyNumberFormat="1" applyFont="1" applyFill="1"/>
    <xf numFmtId="166" fontId="20" fillId="0" borderId="0" xfId="16" applyNumberFormat="1" applyFont="1" applyFill="1"/>
    <xf numFmtId="0" fontId="20" fillId="0" borderId="15" xfId="0" applyFont="1" applyFill="1" applyBorder="1"/>
    <xf numFmtId="0" fontId="20" fillId="0" borderId="17" xfId="0" applyFont="1" applyFill="1" applyBorder="1"/>
    <xf numFmtId="0" fontId="20" fillId="0" borderId="13" xfId="0" applyFont="1" applyFill="1" applyBorder="1" applyAlignment="1">
      <alignment horizontal="left" indent="1"/>
    </xf>
    <xf numFmtId="44" fontId="20" fillId="0" borderId="0" xfId="0" applyNumberFormat="1" applyFont="1" applyFill="1" applyBorder="1"/>
    <xf numFmtId="0" fontId="20" fillId="0" borderId="14" xfId="0" applyFont="1" applyFill="1" applyBorder="1" applyAlignment="1" quotePrefix="1">
      <alignment horizontal="left"/>
    </xf>
    <xf numFmtId="0" fontId="20" fillId="0" borderId="27" xfId="0" applyFont="1" applyFill="1" applyBorder="1" applyAlignment="1">
      <alignment horizontal="left" indent="1"/>
    </xf>
    <xf numFmtId="0" fontId="20" fillId="0" borderId="15" xfId="0" applyFont="1" applyFill="1" applyBorder="1" applyAlignment="1">
      <alignment horizontal="left" indent="1"/>
    </xf>
    <xf numFmtId="0" fontId="20" fillId="0" borderId="13" xfId="0" applyFont="1" applyFill="1" applyBorder="1" applyAlignment="1">
      <alignment horizontal="left" indent="2"/>
    </xf>
    <xf numFmtId="44" fontId="20" fillId="0" borderId="14" xfId="16" applyFont="1" applyFill="1" applyBorder="1"/>
    <xf numFmtId="0" fontId="20" fillId="0" borderId="27" xfId="0" applyFont="1" applyFill="1" applyBorder="1" applyAlignment="1">
      <alignment horizontal="left" indent="2"/>
    </xf>
    <xf numFmtId="44" fontId="20" fillId="0" borderId="28" xfId="16" applyFont="1" applyFill="1" applyBorder="1"/>
    <xf numFmtId="168" fontId="20" fillId="0" borderId="14" xfId="16" applyNumberFormat="1" applyFont="1" applyFill="1" applyBorder="1"/>
    <xf numFmtId="168" fontId="20" fillId="0" borderId="28" xfId="16" applyNumberFormat="1" applyFont="1" applyFill="1" applyBorder="1"/>
    <xf numFmtId="0" fontId="20" fillId="0" borderId="15" xfId="0" applyFont="1" applyFill="1" applyBorder="1" applyAlignment="1" quotePrefix="1">
      <alignment horizontal="left" indent="1"/>
    </xf>
    <xf numFmtId="0" fontId="20" fillId="0" borderId="10" xfId="0" applyFont="1" applyFill="1" applyBorder="1" applyAlignment="1">
      <alignment horizontal="left" indent="2"/>
    </xf>
    <xf numFmtId="171" fontId="20" fillId="0" borderId="11" xfId="18" applyNumberFormat="1" applyFont="1" applyFill="1" applyBorder="1"/>
    <xf numFmtId="0" fontId="20" fillId="0" borderId="12" xfId="0" applyFont="1" applyFill="1" applyBorder="1"/>
    <xf numFmtId="171" fontId="20" fillId="0" borderId="0" xfId="18" applyNumberFormat="1" applyFont="1" applyFill="1" applyBorder="1"/>
    <xf numFmtId="0" fontId="20" fillId="0" borderId="10" xfId="0" applyFont="1" applyFill="1" applyBorder="1"/>
    <xf numFmtId="0" fontId="20" fillId="0" borderId="16" xfId="0" applyFont="1" applyFill="1" applyBorder="1" applyAlignment="1">
      <alignment horizontal="center" wrapText="1"/>
    </xf>
    <xf numFmtId="0" fontId="20" fillId="0" borderId="16" xfId="0" applyFont="1" applyFill="1" applyBorder="1" applyAlignment="1" quotePrefix="1">
      <alignment horizontal="center" wrapText="1"/>
    </xf>
    <xf numFmtId="0" fontId="20" fillId="0" borderId="17" xfId="0" applyFont="1" applyFill="1" applyBorder="1" applyAlignment="1" quotePrefix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 quotePrefix="1">
      <alignment horizontal="center" wrapText="1"/>
    </xf>
    <xf numFmtId="0" fontId="20" fillId="0" borderId="17" xfId="0" applyFont="1" applyFill="1" applyBorder="1" applyAlignment="1">
      <alignment horizontal="center" wrapText="1"/>
    </xf>
    <xf numFmtId="44" fontId="20" fillId="0" borderId="11" xfId="16" applyFont="1" applyFill="1" applyBorder="1" applyAlignment="1">
      <alignment horizontal="left" indent="2"/>
    </xf>
    <xf numFmtId="10" fontId="20" fillId="0" borderId="11" xfId="16" applyNumberFormat="1" applyFont="1" applyFill="1" applyBorder="1" applyAlignment="1">
      <alignment/>
    </xf>
    <xf numFmtId="164" fontId="20" fillId="0" borderId="11" xfId="18" applyNumberFormat="1" applyFont="1" applyFill="1" applyBorder="1"/>
    <xf numFmtId="165" fontId="20" fillId="0" borderId="12" xfId="16" applyNumberFormat="1" applyFont="1" applyFill="1" applyBorder="1"/>
    <xf numFmtId="44" fontId="20" fillId="0" borderId="14" xfId="0" applyNumberFormat="1" applyFont="1" applyFill="1" applyBorder="1"/>
    <xf numFmtId="10" fontId="20" fillId="0" borderId="13" xfId="0" applyNumberFormat="1" applyFont="1" applyFill="1" applyBorder="1"/>
    <xf numFmtId="44" fontId="20" fillId="0" borderId="0" xfId="16" applyFont="1" applyFill="1" applyBorder="1" applyAlignment="1">
      <alignment horizontal="left" indent="2"/>
    </xf>
    <xf numFmtId="10" fontId="20" fillId="0" borderId="0" xfId="16" applyNumberFormat="1" applyFont="1" applyFill="1" applyBorder="1" applyAlignment="1">
      <alignment/>
    </xf>
    <xf numFmtId="165" fontId="20" fillId="0" borderId="14" xfId="16" applyNumberFormat="1" applyFont="1" applyFill="1" applyBorder="1"/>
    <xf numFmtId="9" fontId="20" fillId="0" borderId="13" xfId="0" applyNumberFormat="1" applyFont="1" applyFill="1" applyBorder="1"/>
    <xf numFmtId="10" fontId="20" fillId="0" borderId="14" xfId="0" applyNumberFormat="1" applyFont="1" applyFill="1" applyBorder="1"/>
    <xf numFmtId="44" fontId="20" fillId="0" borderId="8" xfId="16" applyFont="1" applyFill="1" applyBorder="1" applyAlignment="1">
      <alignment horizontal="left" indent="2"/>
    </xf>
    <xf numFmtId="10" fontId="20" fillId="0" borderId="8" xfId="16" applyNumberFormat="1" applyFont="1" applyFill="1" applyBorder="1" applyAlignment="1">
      <alignment/>
    </xf>
    <xf numFmtId="164" fontId="20" fillId="0" borderId="8" xfId="18" applyNumberFormat="1" applyFont="1" applyFill="1" applyBorder="1"/>
    <xf numFmtId="165" fontId="20" fillId="0" borderId="28" xfId="16" applyNumberFormat="1" applyFont="1" applyFill="1" applyBorder="1"/>
    <xf numFmtId="9" fontId="20" fillId="0" borderId="27" xfId="0" applyNumberFormat="1" applyFont="1" applyFill="1" applyBorder="1"/>
    <xf numFmtId="44" fontId="20" fillId="0" borderId="8" xfId="16" applyFont="1" applyFill="1" applyBorder="1"/>
    <xf numFmtId="10" fontId="20" fillId="0" borderId="8" xfId="15" applyNumberFormat="1" applyFont="1" applyFill="1" applyBorder="1"/>
    <xf numFmtId="44" fontId="20" fillId="0" borderId="8" xfId="0" applyNumberFormat="1" applyFont="1" applyFill="1" applyBorder="1"/>
    <xf numFmtId="44" fontId="20" fillId="0" borderId="28" xfId="0" applyNumberFormat="1" applyFont="1" applyFill="1" applyBorder="1"/>
    <xf numFmtId="10" fontId="20" fillId="0" borderId="27" xfId="0" applyNumberFormat="1" applyFont="1" applyFill="1" applyBorder="1"/>
    <xf numFmtId="10" fontId="20" fillId="0" borderId="28" xfId="0" applyNumberFormat="1" applyFont="1" applyFill="1" applyBorder="1"/>
    <xf numFmtId="164" fontId="20" fillId="0" borderId="16" xfId="18" applyNumberFormat="1" applyFont="1" applyFill="1" applyBorder="1"/>
    <xf numFmtId="165" fontId="20" fillId="0" borderId="17" xfId="16" applyNumberFormat="1" applyFont="1" applyFill="1" applyBorder="1"/>
    <xf numFmtId="168" fontId="20" fillId="0" borderId="11" xfId="16" applyNumberFormat="1" applyFont="1" applyFill="1" applyBorder="1" applyAlignment="1">
      <alignment horizontal="left" indent="2"/>
    </xf>
    <xf numFmtId="168" fontId="20" fillId="0" borderId="0" xfId="16" applyNumberFormat="1" applyFont="1" applyFill="1" applyBorder="1" applyAlignment="1">
      <alignment horizontal="left" indent="2"/>
    </xf>
    <xf numFmtId="10" fontId="20" fillId="0" borderId="13" xfId="15" applyNumberFormat="1" applyFont="1" applyFill="1" applyBorder="1"/>
    <xf numFmtId="168" fontId="20" fillId="0" borderId="8" xfId="16" applyNumberFormat="1" applyFont="1" applyFill="1" applyBorder="1" applyAlignment="1">
      <alignment horizontal="left" indent="2"/>
    </xf>
    <xf numFmtId="10" fontId="20" fillId="0" borderId="27" xfId="15" applyNumberFormat="1" applyFont="1" applyFill="1" applyBorder="1"/>
    <xf numFmtId="0" fontId="21" fillId="0" borderId="18" xfId="0" applyFont="1" applyFill="1" applyBorder="1" applyAlignment="1">
      <alignment horizontal="center" wrapText="1"/>
    </xf>
    <xf numFmtId="10" fontId="21" fillId="0" borderId="9" xfId="15" applyNumberFormat="1" applyFont="1" applyFill="1" applyBorder="1" applyAlignment="1">
      <alignment horizontal="center" wrapText="1"/>
    </xf>
    <xf numFmtId="10" fontId="21" fillId="0" borderId="19" xfId="15" applyNumberFormat="1" applyFont="1" applyFill="1" applyBorder="1" applyAlignment="1">
      <alignment horizontal="center" wrapText="1"/>
    </xf>
    <xf numFmtId="0" fontId="20" fillId="0" borderId="20" xfId="0" applyFont="1" applyFill="1" applyBorder="1"/>
    <xf numFmtId="10" fontId="20" fillId="0" borderId="5" xfId="15" applyNumberFormat="1" applyFont="1" applyFill="1" applyBorder="1"/>
    <xf numFmtId="10" fontId="20" fillId="0" borderId="21" xfId="15" applyNumberFormat="1" applyFont="1" applyFill="1" applyBorder="1"/>
    <xf numFmtId="0" fontId="20" fillId="0" borderId="25" xfId="0" applyFont="1" applyFill="1" applyBorder="1"/>
    <xf numFmtId="10" fontId="20" fillId="0" borderId="24" xfId="15" applyNumberFormat="1" applyFont="1" applyFill="1" applyBorder="1"/>
    <xf numFmtId="10" fontId="20" fillId="0" borderId="14" xfId="15" applyNumberFormat="1" applyFont="1" applyFill="1" applyBorder="1"/>
    <xf numFmtId="37" fontId="20" fillId="0" borderId="0" xfId="0" applyNumberFormat="1" applyFont="1" applyFill="1" applyBorder="1"/>
    <xf numFmtId="0" fontId="20" fillId="0" borderId="27" xfId="0" applyFont="1" applyFill="1" applyBorder="1" applyAlignment="1" quotePrefix="1">
      <alignment horizontal="left" indent="1"/>
    </xf>
    <xf numFmtId="37" fontId="20" fillId="0" borderId="8" xfId="0" applyNumberFormat="1" applyFont="1" applyFill="1" applyBorder="1"/>
    <xf numFmtId="10" fontId="20" fillId="0" borderId="28" xfId="15" applyNumberFormat="1" applyFont="1" applyFill="1" applyBorder="1"/>
    <xf numFmtId="10" fontId="20" fillId="0" borderId="0" xfId="0" applyNumberFormat="1" applyFont="1" applyFill="1" applyBorder="1"/>
    <xf numFmtId="10" fontId="20" fillId="0" borderId="8" xfId="0" applyNumberFormat="1" applyFont="1" applyFill="1" applyBorder="1"/>
    <xf numFmtId="0" fontId="20" fillId="0" borderId="22" xfId="0" applyFont="1" applyFill="1" applyBorder="1"/>
    <xf numFmtId="10" fontId="20" fillId="0" borderId="4" xfId="15" applyNumberFormat="1" applyFont="1" applyFill="1" applyBorder="1"/>
    <xf numFmtId="10" fontId="20" fillId="0" borderId="23" xfId="15" applyNumberFormat="1" applyFont="1" applyFill="1" applyBorder="1"/>
    <xf numFmtId="44" fontId="24" fillId="0" borderId="0" xfId="16" applyFont="1" applyFill="1"/>
    <xf numFmtId="0" fontId="21" fillId="6" borderId="4" xfId="0" applyFont="1" applyFill="1" applyBorder="1" applyAlignment="1" quotePrefix="1">
      <alignment horizontal="center" wrapText="1"/>
    </xf>
    <xf numFmtId="0" fontId="21" fillId="6" borderId="0" xfId="0" applyFont="1" applyFill="1" applyAlignment="1">
      <alignment horizontal="center" vertical="top" wrapText="1"/>
    </xf>
    <xf numFmtId="10" fontId="21" fillId="6" borderId="0" xfId="15" applyNumberFormat="1" applyFont="1" applyFill="1"/>
    <xf numFmtId="0" fontId="21" fillId="6" borderId="0" xfId="0" applyFont="1" applyFill="1"/>
    <xf numFmtId="10" fontId="21" fillId="6" borderId="3" xfId="15" applyNumberFormat="1" applyFont="1" applyFill="1" applyBorder="1"/>
    <xf numFmtId="0" fontId="21" fillId="0" borderId="0" xfId="0" applyFont="1" applyFill="1" applyAlignment="1">
      <alignment horizontal="centerContinuous"/>
    </xf>
    <xf numFmtId="165" fontId="22" fillId="0" borderId="9" xfId="16" applyNumberFormat="1" applyFont="1" applyFill="1" applyBorder="1"/>
    <xf numFmtId="0" fontId="21" fillId="0" borderId="0" xfId="0" applyFont="1" applyFill="1" applyAlignment="1" quotePrefix="1">
      <alignment horizontal="left" wrapText="1"/>
    </xf>
    <xf numFmtId="0" fontId="21" fillId="0" borderId="0" xfId="0" applyFont="1" applyFill="1" applyAlignment="1" quotePrefix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 quotePrefix="1">
      <alignment horizontal="left" vertic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1" fillId="0" borderId="0" xfId="0" applyFont="1" applyFill="1" applyAlignment="1" quotePrefix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center" vertical="center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ulation" xfId="20"/>
    <cellStyle name="CheckCell" xfId="21"/>
    <cellStyle name="Comma0" xfId="22"/>
    <cellStyle name="Comma0 - Style2" xfId="23"/>
    <cellStyle name="Comma0 - Style5" xfId="24"/>
    <cellStyle name="Comma0_00COS Ind Allocators" xfId="25"/>
    <cellStyle name="Comma1 - Style1" xfId="26"/>
    <cellStyle name="Curren - Style2" xfId="27"/>
    <cellStyle name="Curren - Style6" xfId="28"/>
    <cellStyle name="Currency0" xfId="29"/>
    <cellStyle name="Date" xfId="30"/>
    <cellStyle name="Fixed" xfId="31"/>
    <cellStyle name="Grey" xfId="32"/>
    <cellStyle name="Heading 1" xfId="33"/>
    <cellStyle name="Heading 2" xfId="34"/>
    <cellStyle name="Heading1" xfId="35"/>
    <cellStyle name="Heading2" xfId="36"/>
    <cellStyle name="Input [yellow]" xfId="37"/>
    <cellStyle name="Input Cells" xfId="38"/>
    <cellStyle name="Input Cells Percent" xfId="39"/>
    <cellStyle name="LINKED" xfId="40"/>
    <cellStyle name="Normal - Style1" xfId="41"/>
    <cellStyle name="Percen - Style1" xfId="42"/>
    <cellStyle name="Percen - Style3" xfId="43"/>
    <cellStyle name="Percent [2]" xfId="44"/>
    <cellStyle name="Processing" xfId="45"/>
    <cellStyle name="purple - Style8" xfId="46"/>
    <cellStyle name="RED" xfId="47"/>
    <cellStyle name="Red - Style7" xfId="48"/>
    <cellStyle name="Report" xfId="49"/>
    <cellStyle name="Report Bar" xfId="50"/>
    <cellStyle name="Report Heading" xfId="51"/>
    <cellStyle name="Report Percent" xfId="52"/>
    <cellStyle name="Report Unit Cost" xfId="53"/>
    <cellStyle name="Reports Total" xfId="54"/>
    <cellStyle name="Reports Unit Cost Total" xfId="55"/>
    <cellStyle name="StmtTtl1" xfId="56"/>
    <cellStyle name="StmtTtl2" xfId="57"/>
    <cellStyle name="Style 1" xfId="58"/>
    <cellStyle name="Sub-total" xfId="59"/>
    <cellStyle name="Title: Major" xfId="60"/>
    <cellStyle name="Title: Minor" xfId="61"/>
    <cellStyle name="Title: Worksheet" xfId="62"/>
    <cellStyle name="Total" xfId="63"/>
    <cellStyle name="Total4 - Style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externalLink" Target="externalLinks/externalLink4.xml" /><Relationship Id="rId50" Type="http://schemas.openxmlformats.org/officeDocument/2006/relationships/externalLink" Target="externalLinks/externalLink5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ljh\Local%20Settings\MSN%20Rate%20v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93\FCR%20for%20PSE%20S40%20V0%20%20HM%20edi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ates\Public\RASANEN\%232005%20GRC\Update%206-30-06\COS%20Update%207-7-06\ECOS%20Model%20-%20UPDATE%20(JAH-5)%207-7-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rpRates\Public\RASANEN\%232005%20GRC\COS%20Inputs\COS%20Model\ECOS%20Model%20-%20FINAL%20COMPAN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rpRates\Public\RASANEN\%232008%20GRC\Proposed%20Revenue\Sch%2040\Sch%2040%20Prod%20&amp;%20Tran%20Rate%20Calc%20Exa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</v>
          </cell>
        </row>
        <row r="21">
          <cell r="B21">
            <v>0.038234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>
        <row r="8">
          <cell r="C8">
            <v>2</v>
          </cell>
        </row>
        <row r="24">
          <cell r="F24">
            <v>0.0876</v>
          </cell>
        </row>
        <row r="39">
          <cell r="F39">
            <v>0.6207334</v>
          </cell>
        </row>
        <row r="40">
          <cell r="F40">
            <v>0.6207334</v>
          </cell>
        </row>
        <row r="41">
          <cell r="F41">
            <v>0.6207334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/>
      <sheetData sheetId="1">
        <row r="8">
          <cell r="C8">
            <v>2</v>
          </cell>
        </row>
        <row r="24">
          <cell r="F24">
            <v>0.0876</v>
          </cell>
        </row>
        <row r="25">
          <cell r="F25">
            <v>0.03408125</v>
          </cell>
        </row>
        <row r="39">
          <cell r="F39">
            <v>0.6207334</v>
          </cell>
        </row>
        <row r="40">
          <cell r="F40">
            <v>0.6207334</v>
          </cell>
        </row>
        <row r="41">
          <cell r="F41">
            <v>0.6207334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d &amp; Trans (2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="75" zoomScaleNormal="75" workbookViewId="0" topLeftCell="A1">
      <pane xSplit="2" ySplit="6" topLeftCell="C7" activePane="bottomRight" state="frozen"/>
      <selection pane="topRight" activeCell="C1" sqref="C1"/>
      <selection pane="bottomLeft" activeCell="A7" sqref="A7"/>
      <selection pane="bottomRight" activeCell="E32" sqref="E32"/>
    </sheetView>
  </sheetViews>
  <sheetFormatPr defaultColWidth="8.8515625" defaultRowHeight="12.75"/>
  <cols>
    <col min="1" max="1" width="30.28125" style="2" customWidth="1"/>
    <col min="2" max="2" width="8.7109375" style="2" customWidth="1"/>
    <col min="3" max="3" width="15.28125" style="2" bestFit="1" customWidth="1"/>
    <col min="4" max="4" width="18.8515625" style="2" bestFit="1" customWidth="1"/>
    <col min="5" max="5" width="13.421875" style="2" bestFit="1" customWidth="1"/>
    <col min="6" max="6" width="14.140625" style="2" customWidth="1"/>
    <col min="7" max="7" width="11.28125" style="2" customWidth="1"/>
    <col min="8" max="8" width="11.421875" style="2" customWidth="1"/>
    <col min="9" max="9" width="13.8515625" style="2" bestFit="1" customWidth="1"/>
    <col min="10" max="10" width="15.00390625" style="2" bestFit="1" customWidth="1"/>
    <col min="11" max="11" width="4.421875" style="2" customWidth="1"/>
    <col min="12" max="12" width="14.00390625" style="2" bestFit="1" customWidth="1"/>
    <col min="13" max="13" width="12.421875" style="2" customWidth="1"/>
    <col min="14" max="16384" width="8.8515625" style="2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357" t="s">
        <v>486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ht="24" customHeight="1"/>
    <row r="6" spans="1:14" s="8" customFormat="1" ht="51.75" thickBot="1">
      <c r="A6" s="3" t="s">
        <v>3</v>
      </c>
      <c r="B6" s="3" t="s">
        <v>4</v>
      </c>
      <c r="C6" s="3" t="s">
        <v>5</v>
      </c>
      <c r="D6" s="4" t="s">
        <v>6</v>
      </c>
      <c r="E6" s="4" t="s">
        <v>7</v>
      </c>
      <c r="F6" s="3" t="s">
        <v>8</v>
      </c>
      <c r="G6" s="3" t="s">
        <v>9</v>
      </c>
      <c r="H6" s="352" t="s">
        <v>485</v>
      </c>
      <c r="I6" s="4" t="s">
        <v>10</v>
      </c>
      <c r="J6" s="4" t="s">
        <v>11</v>
      </c>
      <c r="K6" s="5"/>
      <c r="L6" s="6" t="s">
        <v>12</v>
      </c>
      <c r="M6" s="7" t="s">
        <v>481</v>
      </c>
      <c r="N6" s="6" t="s">
        <v>13</v>
      </c>
    </row>
    <row r="7" spans="1:14" s="11" customFormat="1" ht="12.75">
      <c r="A7" s="9"/>
      <c r="B7" s="10"/>
      <c r="C7" s="10" t="s">
        <v>14</v>
      </c>
      <c r="D7" s="10" t="s">
        <v>15</v>
      </c>
      <c r="E7" s="11" t="s">
        <v>16</v>
      </c>
      <c r="F7" s="10" t="s">
        <v>17</v>
      </c>
      <c r="G7" s="11" t="s">
        <v>18</v>
      </c>
      <c r="H7" s="353" t="s">
        <v>19</v>
      </c>
      <c r="I7" s="12" t="s">
        <v>20</v>
      </c>
      <c r="J7" s="12" t="s">
        <v>21</v>
      </c>
      <c r="K7" s="12"/>
      <c r="L7" s="11" t="s">
        <v>22</v>
      </c>
      <c r="M7" s="11" t="s">
        <v>23</v>
      </c>
      <c r="N7" s="11" t="s">
        <v>24</v>
      </c>
    </row>
    <row r="8" spans="1:12" s="11" customFormat="1" ht="12.75">
      <c r="A8" s="9"/>
      <c r="B8" s="10"/>
      <c r="C8" s="10"/>
      <c r="D8" s="10"/>
      <c r="F8" s="10"/>
      <c r="H8" s="353"/>
      <c r="L8" s="2"/>
    </row>
    <row r="9" spans="1:15" ht="12.75">
      <c r="A9" s="13" t="s">
        <v>25</v>
      </c>
      <c r="B9" s="14">
        <v>7</v>
      </c>
      <c r="C9" s="15">
        <f ca="1">+'Summary Proforma Proposed'!C8</f>
        <v>10688799626.4513</v>
      </c>
      <c r="D9" s="16">
        <f ca="1">+'Summary Proforma Proposed'!D8</f>
        <v>984090382.6754009</v>
      </c>
      <c r="F9" s="17">
        <f ca="1">D9/(D$32-D$22-$D$30)</f>
        <v>0.5473585468401067</v>
      </c>
      <c r="G9" s="18">
        <v>1.25</v>
      </c>
      <c r="H9" s="354">
        <f ca="1">+$H$36*$H$37*G9</f>
        <v>0.07127382766995802</v>
      </c>
      <c r="I9" s="16">
        <f ca="1">+D9*H9</f>
        <v>70139888.34646957</v>
      </c>
      <c r="J9" s="16">
        <f ca="1">+D9+I9</f>
        <v>1054230271.0218704</v>
      </c>
      <c r="K9" s="20"/>
      <c r="L9" s="21">
        <v>1163614120</v>
      </c>
      <c r="M9" s="18">
        <v>0.93</v>
      </c>
      <c r="N9" s="22">
        <f ca="1">J9/L9</f>
        <v>0.9059964578479595</v>
      </c>
      <c r="O9" s="18">
        <f ca="1">+N9/$N$32</f>
        <v>0.9377625907776675</v>
      </c>
    </row>
    <row r="10" spans="2:13" ht="12.75">
      <c r="B10" s="14"/>
      <c r="C10" s="23"/>
      <c r="D10" s="20"/>
      <c r="F10" s="24"/>
      <c r="H10" s="355"/>
      <c r="I10" s="20"/>
      <c r="J10" s="20"/>
      <c r="K10" s="20"/>
      <c r="L10" s="21"/>
      <c r="M10" s="18"/>
    </row>
    <row r="11" spans="1:14" ht="12.75">
      <c r="A11" s="2" t="s">
        <v>26</v>
      </c>
      <c r="B11" s="14"/>
      <c r="C11" s="23"/>
      <c r="D11" s="20"/>
      <c r="F11" s="24"/>
      <c r="H11" s="355"/>
      <c r="I11" s="20"/>
      <c r="J11" s="20"/>
      <c r="K11" s="20"/>
      <c r="L11" s="21"/>
      <c r="M11" s="18"/>
      <c r="N11" s="25"/>
    </row>
    <row r="12" spans="1:15" ht="12.75">
      <c r="A12" s="26" t="s">
        <v>27</v>
      </c>
      <c r="B12" s="14">
        <v>24</v>
      </c>
      <c r="C12" s="27">
        <f ca="1">+'Summary Proforma Proposed'!C12</f>
        <v>2617272033.8314</v>
      </c>
      <c r="D12" s="20">
        <f ca="1">+'Summary Proforma Proposed'!D12</f>
        <v>225492779.55570355</v>
      </c>
      <c r="F12" s="17">
        <f ca="1">D12/(D$32-D$22-$D$30)</f>
        <v>0.12542079702577266</v>
      </c>
      <c r="G12" s="18">
        <v>1</v>
      </c>
      <c r="H12" s="354">
        <f ca="1">+$H$36*$H$37*G12</f>
        <v>0.057019062135966414</v>
      </c>
      <c r="I12" s="20">
        <f ca="1">+D12*H12</f>
        <v>12857386.808698438</v>
      </c>
      <c r="J12" s="20">
        <f ca="1">+D12+I12</f>
        <v>238350166.364402</v>
      </c>
      <c r="K12" s="20"/>
      <c r="L12" s="21">
        <v>243760418</v>
      </c>
      <c r="M12" s="18">
        <v>1.01</v>
      </c>
      <c r="N12" s="22">
        <f ca="1">J12/L12</f>
        <v>0.977805044477738</v>
      </c>
      <c r="O12" s="18">
        <f ca="1">+N12/$N$32</f>
        <v>1.0120889368187735</v>
      </c>
    </row>
    <row r="13" spans="1:15" ht="12.75">
      <c r="A13" s="26" t="s">
        <v>28</v>
      </c>
      <c r="B13" s="14" t="s">
        <v>29</v>
      </c>
      <c r="C13" s="27">
        <f ca="1">SUM('Summary Proforma Proposed'!C13,'Summary Proforma Proposed'!C15)</f>
        <v>3074814765.24367</v>
      </c>
      <c r="D13" s="20">
        <f ca="1">SUM('Summary Proforma Proposed'!D13,'Summary Proforma Proposed'!D15)</f>
        <v>260900473.45207682</v>
      </c>
      <c r="F13" s="17">
        <f ca="1">D13/(D$32-D$22-$D$30)</f>
        <v>0.14511482535819958</v>
      </c>
      <c r="G13" s="18">
        <v>0.5</v>
      </c>
      <c r="H13" s="354">
        <f ca="1">+$H$36*$H$37*G13</f>
        <v>0.028509531067983207</v>
      </c>
      <c r="I13" s="20">
        <f ca="1">+D13*H13</f>
        <v>7438150.153533512</v>
      </c>
      <c r="J13" s="20">
        <f ca="1">+D13+I13</f>
        <v>268338623.60561034</v>
      </c>
      <c r="K13" s="20"/>
      <c r="L13" s="21">
        <v>235576639</v>
      </c>
      <c r="M13" s="18">
        <v>1.21</v>
      </c>
      <c r="N13" s="22">
        <f ca="1">J13/L13</f>
        <v>1.139071449294301</v>
      </c>
      <c r="O13" s="18">
        <f ca="1">+N13/$N$32</f>
        <v>1.1790096794731106</v>
      </c>
    </row>
    <row r="14" spans="1:15" ht="12.75">
      <c r="A14" s="26" t="s">
        <v>30</v>
      </c>
      <c r="B14" s="14">
        <v>26</v>
      </c>
      <c r="C14" s="27">
        <f ca="1">+'Summary Proforma Proposed'!C14</f>
        <v>2097575464.5002759</v>
      </c>
      <c r="D14" s="20">
        <f ca="1">+'Summary Proforma Proposed'!D14</f>
        <v>159068092.2753655</v>
      </c>
      <c r="F14" s="17">
        <f ca="1">D14/(D$32-D$22-$D$30)</f>
        <v>0.0884748813414539</v>
      </c>
      <c r="G14" s="18">
        <f>+G13</f>
        <v>0.5</v>
      </c>
      <c r="H14" s="354">
        <f ca="1">+$H$36*$H$37*G14</f>
        <v>0.028509531067983207</v>
      </c>
      <c r="I14" s="20">
        <f ca="1">+D14*H14</f>
        <v>4534956.718649352</v>
      </c>
      <c r="J14" s="20">
        <f ca="1">+D14+I14</f>
        <v>163603048.99401486</v>
      </c>
      <c r="K14" s="20"/>
      <c r="L14" s="21">
        <v>149230824</v>
      </c>
      <c r="M14" s="18">
        <v>1.17</v>
      </c>
      <c r="N14" s="22">
        <f ca="1">J14/L14</f>
        <v>1.0963086888404159</v>
      </c>
      <c r="O14" s="18">
        <f ca="1">+N14/$N$32</f>
        <v>1.1347475670943339</v>
      </c>
    </row>
    <row r="15" spans="1:14" ht="12.75">
      <c r="A15" s="28" t="s">
        <v>31</v>
      </c>
      <c r="B15" s="14"/>
      <c r="C15" s="29">
        <f ca="1">SUM(C12:C14)</f>
        <v>7789662263.575345</v>
      </c>
      <c r="D15" s="16">
        <f ca="1">SUM(D12:D14)</f>
        <v>645461345.2831459</v>
      </c>
      <c r="F15" s="24"/>
      <c r="H15" s="355"/>
      <c r="I15" s="16">
        <f ca="1">SUM(I12:I14)</f>
        <v>24830493.6808813</v>
      </c>
      <c r="J15" s="16">
        <f ca="1">SUM(J12:J14)</f>
        <v>670291838.9640272</v>
      </c>
      <c r="K15" s="20"/>
      <c r="L15" s="21">
        <f>SUM(L12:L14)</f>
        <v>628567881</v>
      </c>
      <c r="M15" s="18"/>
      <c r="N15" s="22"/>
    </row>
    <row r="16" spans="2:14" ht="12.75">
      <c r="B16" s="14"/>
      <c r="C16" s="30"/>
      <c r="D16" s="20"/>
      <c r="F16" s="24"/>
      <c r="H16" s="355"/>
      <c r="I16" s="20"/>
      <c r="J16" s="20"/>
      <c r="K16" s="20"/>
      <c r="L16" s="21"/>
      <c r="M16" s="18"/>
      <c r="N16" s="22"/>
    </row>
    <row r="17" spans="1:14" ht="12.75">
      <c r="A17" s="2" t="s">
        <v>32</v>
      </c>
      <c r="B17" s="14"/>
      <c r="C17" s="30"/>
      <c r="D17" s="20"/>
      <c r="F17" s="24"/>
      <c r="H17" s="355"/>
      <c r="I17" s="20"/>
      <c r="J17" s="20"/>
      <c r="K17" s="20"/>
      <c r="L17" s="21"/>
      <c r="M17" s="18"/>
      <c r="N17" s="22"/>
    </row>
    <row r="18" spans="1:14" ht="12.75">
      <c r="A18" s="26" t="s">
        <v>33</v>
      </c>
      <c r="B18" s="14" t="s">
        <v>34</v>
      </c>
      <c r="C18" s="27">
        <f ca="1">SUM('Summary Proforma Proposed'!C19:C20)</f>
        <v>1375418238.026316</v>
      </c>
      <c r="D18" s="20">
        <f ca="1">SUM('Summary Proforma Proposed'!D19:D20)</f>
        <v>99475260.27929789</v>
      </c>
      <c r="F18" s="17">
        <f ca="1">D18/(D$32-D$22-$D$30)</f>
        <v>0.05532889546688882</v>
      </c>
      <c r="G18" s="18">
        <v>1</v>
      </c>
      <c r="H18" s="354">
        <f ca="1">+$H$36*$H$37*G18</f>
        <v>0.057019062135966414</v>
      </c>
      <c r="I18" s="20">
        <f ca="1">+D18*H18</f>
        <v>5671986.046856718</v>
      </c>
      <c r="J18" s="20">
        <f ca="1">+D18+I18</f>
        <v>105147246.3261546</v>
      </c>
      <c r="K18" s="20"/>
      <c r="L18" s="21"/>
      <c r="M18" s="18"/>
      <c r="N18" s="22"/>
    </row>
    <row r="19" spans="1:14" ht="12.75">
      <c r="A19" s="31" t="s">
        <v>35</v>
      </c>
      <c r="B19" s="14">
        <v>43</v>
      </c>
      <c r="C19" s="27">
        <f ca="1">+'Summary Proforma Proposed'!C21</f>
        <v>166310246.19</v>
      </c>
      <c r="D19" s="20">
        <f ca="1">+'Summary Proforma Proposed'!D21</f>
        <v>12849515.74653046</v>
      </c>
      <c r="F19" s="17">
        <f ca="1">D19/(D$32-D$22-$D$30)</f>
        <v>0.007146998274181783</v>
      </c>
      <c r="G19" s="18">
        <v>1</v>
      </c>
      <c r="H19" s="354">
        <f ca="1">+$H$36*$H$37*G19</f>
        <v>0.057019062135966414</v>
      </c>
      <c r="I19" s="20">
        <f ca="1">+D19*H19</f>
        <v>732667.3367684992</v>
      </c>
      <c r="J19" s="20">
        <f ca="1">+D19+I19</f>
        <v>13582183.083298959</v>
      </c>
      <c r="K19" s="20"/>
      <c r="L19" s="21"/>
      <c r="M19" s="18"/>
      <c r="N19" s="22"/>
    </row>
    <row r="20" spans="1:15" ht="12.75">
      <c r="A20" s="13" t="s">
        <v>36</v>
      </c>
      <c r="B20" s="14"/>
      <c r="C20" s="29">
        <f ca="1">SUM(C18:C19)</f>
        <v>1541728484.216316</v>
      </c>
      <c r="D20" s="16">
        <f ca="1">SUM(D18:D19)</f>
        <v>112324776.02582835</v>
      </c>
      <c r="F20" s="24"/>
      <c r="H20" s="355"/>
      <c r="I20" s="16">
        <f ca="1">SUM(I18:I19)</f>
        <v>6404653.383625218</v>
      </c>
      <c r="J20" s="16">
        <f ca="1">SUM(J18:J19)</f>
        <v>118729429.40945357</v>
      </c>
      <c r="K20" s="20"/>
      <c r="L20" s="21">
        <v>117179062</v>
      </c>
      <c r="M20" s="18">
        <v>1.05</v>
      </c>
      <c r="N20" s="22">
        <f ca="1">J20/L20</f>
        <v>1.0132307545647836</v>
      </c>
      <c r="O20" s="18">
        <f ca="1">+N20/$N$32</f>
        <v>1.048756746481382</v>
      </c>
    </row>
    <row r="21" spans="2:14" ht="12.75">
      <c r="B21" s="14"/>
      <c r="C21" s="32"/>
      <c r="D21" s="33"/>
      <c r="F21" s="34"/>
      <c r="H21" s="355"/>
      <c r="L21" s="21"/>
      <c r="M21" s="18"/>
      <c r="N21" s="22"/>
    </row>
    <row r="22" spans="1:15" ht="12.75">
      <c r="A22" s="13" t="s">
        <v>37</v>
      </c>
      <c r="B22" s="14">
        <v>40</v>
      </c>
      <c r="C22" s="35">
        <f ca="1">+'Summary Proforma Proposed'!C24</f>
        <v>616521098.9719381</v>
      </c>
      <c r="D22" s="16">
        <f ca="1">+'Summary Proforma Proposed'!D24</f>
        <v>38977060.8036143</v>
      </c>
      <c r="F22" s="24"/>
      <c r="H22" s="354">
        <f ca="1">(I22/D22)</f>
        <v>0.04995245818585317</v>
      </c>
      <c r="I22" s="358">
        <v>1947000</v>
      </c>
      <c r="J22" s="16">
        <f ca="1">+D22+I22</f>
        <v>40924060.8036143</v>
      </c>
      <c r="K22" s="20"/>
      <c r="L22" s="21">
        <v>41583366</v>
      </c>
      <c r="M22" s="18">
        <v>1.03</v>
      </c>
      <c r="N22" s="22">
        <f ca="1">J22/L22</f>
        <v>0.9841449776724256</v>
      </c>
      <c r="O22" s="18">
        <f ca="1">+N22/$N$32</f>
        <v>1.0186511613468139</v>
      </c>
    </row>
    <row r="23" spans="2:14" ht="12.75">
      <c r="B23" s="14"/>
      <c r="C23" s="32"/>
      <c r="D23" s="33"/>
      <c r="F23" s="34"/>
      <c r="H23" s="355"/>
      <c r="L23" s="21"/>
      <c r="M23" s="18"/>
      <c r="N23" s="22"/>
    </row>
    <row r="24" spans="1:15" ht="12.75">
      <c r="A24" s="28" t="s">
        <v>38</v>
      </c>
      <c r="B24" s="14" t="s">
        <v>39</v>
      </c>
      <c r="C24" s="35">
        <f ca="1">+'Summary Proforma Proposed'!C29</f>
        <v>559457418</v>
      </c>
      <c r="D24" s="16">
        <f ca="1">+'Summary Proforma Proposed'!D29</f>
        <v>31895957.965524245</v>
      </c>
      <c r="F24" s="17">
        <f ca="1">D24/(D$32-D$22-$D$30)</f>
        <v>0.01774077412952537</v>
      </c>
      <c r="G24" s="18">
        <v>1</v>
      </c>
      <c r="H24" s="354">
        <f ca="1">+$H$36*$H$37*G24</f>
        <v>0.057019062135966414</v>
      </c>
      <c r="I24" s="16">
        <f ca="1">+D24*H24</f>
        <v>1818677.6091223997</v>
      </c>
      <c r="J24" s="16">
        <f ca="1">+D24+I24</f>
        <v>33714635.574646644</v>
      </c>
      <c r="K24" s="20"/>
      <c r="L24" s="21">
        <v>35131064</v>
      </c>
      <c r="M24" s="18">
        <v>0.99</v>
      </c>
      <c r="N24" s="22">
        <f ca="1">J24/L24</f>
        <v>0.9596815961693231</v>
      </c>
      <c r="O24" s="18">
        <f ca="1">+N24/$N$32</f>
        <v>0.9933300424629455</v>
      </c>
    </row>
    <row r="25" spans="2:14" ht="12.75">
      <c r="B25" s="14"/>
      <c r="C25" s="32"/>
      <c r="D25" s="33"/>
      <c r="F25" s="34"/>
      <c r="H25" s="355"/>
      <c r="I25" s="37"/>
      <c r="J25" s="37"/>
      <c r="K25" s="37"/>
      <c r="L25" s="21"/>
      <c r="M25" s="18"/>
      <c r="N25" s="22"/>
    </row>
    <row r="26" spans="1:15" ht="12.75">
      <c r="A26" s="28" t="s">
        <v>40</v>
      </c>
      <c r="B26" s="14">
        <v>449</v>
      </c>
      <c r="C26" s="35">
        <f ca="1">SUM('Summary Proforma Proposed'!C42)</f>
        <v>2114957127</v>
      </c>
      <c r="D26" s="16">
        <f ca="1">SUM('Summary Proforma Proposed'!D42)</f>
        <v>8667087.28415802</v>
      </c>
      <c r="F26" s="17">
        <f ca="1">D26/(D$32-D$22-$D$30)</f>
        <v>0.004820699790090211</v>
      </c>
      <c r="G26" s="18">
        <v>1</v>
      </c>
      <c r="H26" s="354">
        <f ca="1">+$H$36*$H$37*G26</f>
        <v>0.057019062135966414</v>
      </c>
      <c r="I26" s="16">
        <f ca="1">+D26*H26</f>
        <v>494189.1883932505</v>
      </c>
      <c r="J26" s="16">
        <f ca="1">+D26+I26</f>
        <v>9161276.47255127</v>
      </c>
      <c r="K26" s="20"/>
      <c r="L26" s="21">
        <v>9864946</v>
      </c>
      <c r="M26" s="18">
        <v>0.96</v>
      </c>
      <c r="N26" s="22">
        <f ca="1">J26/L26</f>
        <v>0.9286697030628722</v>
      </c>
      <c r="O26" s="18">
        <f ca="1">+N26/$N$32</f>
        <v>0.961230807446614</v>
      </c>
    </row>
    <row r="27" spans="2:14" ht="12.75">
      <c r="B27" s="14"/>
      <c r="C27" s="32"/>
      <c r="D27" s="33"/>
      <c r="F27" s="34"/>
      <c r="H27" s="355"/>
      <c r="I27" s="37"/>
      <c r="L27" s="21"/>
      <c r="M27" s="18"/>
      <c r="N27" s="22"/>
    </row>
    <row r="28" spans="1:15" ht="12.75">
      <c r="A28" s="2" t="s">
        <v>41</v>
      </c>
      <c r="B28" s="14" t="s">
        <v>42</v>
      </c>
      <c r="C28" s="35">
        <f ca="1">+'Summary Proforma Proposed'!C31</f>
        <v>79343267.5189</v>
      </c>
      <c r="D28" s="16">
        <f ca="1">+'Summary Proforma Proposed'!D31</f>
        <v>15450313.556139601</v>
      </c>
      <c r="F28" s="17">
        <f ca="1">D28/(D$32-D$22-$D$30)</f>
        <v>0.008593581773781079</v>
      </c>
      <c r="G28" s="18">
        <v>0.75</v>
      </c>
      <c r="H28" s="354">
        <f ca="1">+$H$36*$H$37*G28</f>
        <v>0.04276429660197481</v>
      </c>
      <c r="I28" s="16">
        <f ca="1">+D28*H28</f>
        <v>660721.7915082661</v>
      </c>
      <c r="J28" s="16">
        <f ca="1">+D28+I28</f>
        <v>16111035.347647868</v>
      </c>
      <c r="K28" s="20"/>
      <c r="L28" s="21">
        <v>15408998</v>
      </c>
      <c r="M28" s="18">
        <v>1.1</v>
      </c>
      <c r="N28" s="22">
        <f ca="1">J28/L28</f>
        <v>1.045560220570336</v>
      </c>
      <c r="O28" s="18">
        <f ca="1">+N28/$N$32</f>
        <v>1.0822197512615983</v>
      </c>
    </row>
    <row r="29" spans="2:14" ht="12.75">
      <c r="B29" s="14"/>
      <c r="C29" s="32"/>
      <c r="D29" s="33"/>
      <c r="F29" s="34"/>
      <c r="H29" s="355"/>
      <c r="I29" s="37"/>
      <c r="J29" s="37"/>
      <c r="K29" s="37"/>
      <c r="L29" s="21"/>
      <c r="M29" s="18"/>
      <c r="N29" s="22"/>
    </row>
    <row r="30" spans="1:15" ht="12.75">
      <c r="A30" s="2" t="s">
        <v>43</v>
      </c>
      <c r="B30" s="38" t="s">
        <v>44</v>
      </c>
      <c r="C30" s="35">
        <f ca="1">+'Summary Proforma Proposed'!C37</f>
        <v>155516511</v>
      </c>
      <c r="D30" s="16">
        <f ca="1">+'Summary Proforma Proposed'!D37</f>
        <v>1142381.40744</v>
      </c>
      <c r="F30" s="17"/>
      <c r="G30" s="18"/>
      <c r="H30" s="354">
        <f ca="1">(I30/D30)</f>
        <v>0.29776832657167185</v>
      </c>
      <c r="I30" s="358">
        <v>340165</v>
      </c>
      <c r="J30" s="16">
        <f ca="1">+D30+I30</f>
        <v>1482546.40744</v>
      </c>
      <c r="K30" s="20"/>
      <c r="L30" s="21">
        <v>1478986</v>
      </c>
      <c r="M30" s="18">
        <v>0.85</v>
      </c>
      <c r="N30" s="22">
        <f ca="1">J30/L30</f>
        <v>1.0024073300491012</v>
      </c>
      <c r="O30" s="18">
        <f ca="1">+N30/$N$32</f>
        <v>1.037553830038395</v>
      </c>
    </row>
    <row r="31" spans="2:14" ht="12.75">
      <c r="B31" s="14"/>
      <c r="C31" s="21"/>
      <c r="D31" s="33"/>
      <c r="F31" s="33"/>
      <c r="H31" s="355"/>
      <c r="L31" s="21"/>
      <c r="M31" s="18"/>
      <c r="N31" s="22"/>
    </row>
    <row r="32" spans="1:15" ht="13.5" thickBot="1">
      <c r="A32" s="2" t="s">
        <v>45</v>
      </c>
      <c r="B32" s="14"/>
      <c r="C32" s="39">
        <f ca="1">SUM(C30,C28,C26,C22,C24,C20,C15,C9)</f>
        <v>23545985796.7338</v>
      </c>
      <c r="D32" s="40">
        <f ca="1">SUM(D30,D28,D26,D22,D24,D20,D15,D9)</f>
        <v>1838009305.0012512</v>
      </c>
      <c r="E32" s="41">
        <v>106635789</v>
      </c>
      <c r="F32" s="42">
        <f ca="1">SUM(F9:F30)</f>
        <v>1</v>
      </c>
      <c r="G32" s="40"/>
      <c r="H32" s="356">
        <f ca="1">+E32/D32</f>
        <v>0.05801700171475868</v>
      </c>
      <c r="I32" s="40">
        <f ca="1">SUM(I30,I28,I26,I22,I24,I20,I15,I9)</f>
        <v>106635789</v>
      </c>
      <c r="J32" s="40">
        <f ca="1">SUM(J30,J28,J26,J22,J24,J20,J15,J9)</f>
        <v>1944645094.0012512</v>
      </c>
      <c r="K32" s="20"/>
      <c r="L32" s="21">
        <f>SUM(L7:L31)-L15</f>
        <v>2012828423</v>
      </c>
      <c r="M32" s="18">
        <v>1</v>
      </c>
      <c r="N32" s="22">
        <f ca="1">J32/L32</f>
        <v>0.9661256129833831</v>
      </c>
      <c r="O32" s="18">
        <f ca="1">+N32/$N$32</f>
        <v>1</v>
      </c>
    </row>
    <row r="33" spans="2:13" ht="13.5" thickTop="1">
      <c r="B33" s="14"/>
      <c r="C33" s="43"/>
      <c r="D33" s="33"/>
      <c r="F33" s="33"/>
      <c r="J33" s="44"/>
      <c r="L33" s="21"/>
      <c r="M33" s="45"/>
    </row>
    <row r="34" spans="2:13" ht="13.5" thickBot="1">
      <c r="B34" s="14"/>
      <c r="C34" s="14"/>
      <c r="J34" s="44"/>
      <c r="K34" s="44"/>
      <c r="L34" s="21"/>
      <c r="M34" s="45"/>
    </row>
    <row r="35" spans="1:13" ht="12.75">
      <c r="A35" s="46" t="s">
        <v>46</v>
      </c>
      <c r="B35" s="47"/>
      <c r="C35" s="47"/>
      <c r="D35" s="48"/>
      <c r="E35" s="49">
        <v>1</v>
      </c>
      <c r="F35" s="48"/>
      <c r="G35" s="49"/>
      <c r="H35" s="50">
        <f ca="1">E32/(D32)</f>
        <v>0.05801700171475868</v>
      </c>
      <c r="L35" s="21"/>
      <c r="M35" s="45"/>
    </row>
    <row r="36" spans="1:13" ht="12.75">
      <c r="A36" s="51" t="s">
        <v>47</v>
      </c>
      <c r="B36" s="52"/>
      <c r="C36" s="52"/>
      <c r="D36" s="37"/>
      <c r="E36" s="37"/>
      <c r="F36" s="37"/>
      <c r="G36" s="37"/>
      <c r="H36" s="53">
        <f ca="1">(E32-I22-I30)/SUM(D32-D22-D30)</f>
        <v>0.05803949739060121</v>
      </c>
      <c r="J36" s="44"/>
      <c r="K36" s="44"/>
      <c r="L36" s="21"/>
      <c r="M36" s="45"/>
    </row>
    <row r="37" spans="1:13" ht="13.5" thickBot="1">
      <c r="A37" s="54" t="s">
        <v>48</v>
      </c>
      <c r="B37" s="52"/>
      <c r="C37" s="52"/>
      <c r="D37" s="37"/>
      <c r="E37" s="37"/>
      <c r="F37" s="37"/>
      <c r="G37" s="37"/>
      <c r="H37" s="55">
        <f ca="1">1/SUMPRODUCT($G$9:$G$30,$F$9:$F$30)</f>
        <v>0.9824182616922517</v>
      </c>
      <c r="J37" s="44"/>
      <c r="K37" s="44"/>
      <c r="L37" s="21"/>
      <c r="M37" s="45"/>
    </row>
    <row r="38" spans="1:13" ht="13.5" thickBot="1">
      <c r="A38" s="56" t="s">
        <v>49</v>
      </c>
      <c r="B38" s="57"/>
      <c r="C38" s="57"/>
      <c r="D38" s="58"/>
      <c r="E38" s="58"/>
      <c r="F38" s="58"/>
      <c r="G38" s="58"/>
      <c r="H38" s="59">
        <f ca="1">H37*H36</f>
        <v>0.057019062135966414</v>
      </c>
      <c r="J38" s="44"/>
      <c r="K38" s="44"/>
      <c r="L38" s="21"/>
      <c r="M38" s="45"/>
    </row>
    <row r="39" ht="12.75">
      <c r="M39" s="45"/>
    </row>
    <row r="40" spans="2:13" ht="12.75">
      <c r="B40" s="14"/>
      <c r="C40" s="20"/>
      <c r="M40" s="45"/>
    </row>
    <row r="41" spans="2:13" ht="12.75">
      <c r="B41" s="14"/>
      <c r="C41" s="60"/>
      <c r="M41" s="45"/>
    </row>
    <row r="42" spans="2:13" ht="12.75">
      <c r="B42" s="14"/>
      <c r="C42" s="60"/>
      <c r="M42" s="45"/>
    </row>
    <row r="43" spans="2:13" ht="12.75">
      <c r="B43" s="14"/>
      <c r="C43" s="14"/>
      <c r="M43" s="45"/>
    </row>
    <row r="44" spans="1:13" ht="12.75" customHeight="1">
      <c r="A44" s="359"/>
      <c r="B44" s="359"/>
      <c r="C44" s="359"/>
      <c r="D44" s="359"/>
      <c r="E44" s="359"/>
      <c r="F44" s="359"/>
      <c r="M44" s="45"/>
    </row>
    <row r="45" spans="2:13" ht="12.75">
      <c r="B45" s="14"/>
      <c r="C45" s="14"/>
      <c r="M45" s="45"/>
    </row>
    <row r="46" spans="2:13" ht="12.75">
      <c r="B46" s="14"/>
      <c r="C46" s="14"/>
      <c r="M46" s="45"/>
    </row>
    <row r="47" spans="2:13" ht="12.75">
      <c r="B47" s="14"/>
      <c r="C47" s="14"/>
      <c r="M47" s="45"/>
    </row>
    <row r="48" spans="2:13" ht="12.75">
      <c r="B48" s="14"/>
      <c r="C48" s="14"/>
      <c r="M48" s="45"/>
    </row>
    <row r="49" spans="2:13" ht="12.75">
      <c r="B49" s="14"/>
      <c r="C49" s="14"/>
      <c r="M49" s="45"/>
    </row>
    <row r="50" spans="2:13" ht="12.75">
      <c r="B50" s="14"/>
      <c r="C50" s="14"/>
      <c r="M50" s="45"/>
    </row>
    <row r="51" spans="2:13" ht="12.75">
      <c r="B51" s="14"/>
      <c r="C51" s="14"/>
      <c r="M51" s="45"/>
    </row>
    <row r="52" spans="2:3" ht="12.75">
      <c r="B52" s="14"/>
      <c r="C52" s="14"/>
    </row>
    <row r="53" spans="2:3" ht="12.75">
      <c r="B53" s="14"/>
      <c r="C53" s="14"/>
    </row>
    <row r="54" spans="2:3" ht="12.75">
      <c r="B54" s="14"/>
      <c r="C54" s="14"/>
    </row>
    <row r="55" spans="2:3" ht="12.75">
      <c r="B55" s="14"/>
      <c r="C55" s="14"/>
    </row>
    <row r="56" spans="2:3" ht="12.75">
      <c r="B56" s="14"/>
      <c r="C56" s="14"/>
    </row>
    <row r="57" spans="2:3" ht="12.75">
      <c r="B57" s="14"/>
      <c r="C57" s="14"/>
    </row>
  </sheetData>
  <mergeCells count="1">
    <mergeCell ref="A44:F44"/>
  </mergeCells>
  <printOptions/>
  <pageMargins left="0.75" right="0.75" top="1.75" bottom="1" header="1" footer="0.5"/>
  <pageSetup fitToHeight="1" fitToWidth="1" horizontalDpi="600" verticalDpi="600" orientation="landscape" scale="79" r:id="rId3"/>
  <headerFooter alignWithMargins="0">
    <oddHeader>&amp;R&amp;"Times New Roman,Regular"Exhibit No. ____ (TES-5)
UE-072300/UG-072301
May 30, 2008</oddHeader>
    <oddFooter>&amp;R&amp;"Times New Roman,Regular"Page 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4">
      <selection activeCell="A4" sqref="A1:IV65536"/>
    </sheetView>
  </sheetViews>
  <sheetFormatPr defaultColWidth="9.140625" defaultRowHeight="12.75"/>
  <cols>
    <col min="1" max="1" width="24.140625" style="62" bestFit="1" customWidth="1"/>
    <col min="2" max="2" width="12.28125" style="62" bestFit="1" customWidth="1"/>
    <col min="3" max="3" width="11.28125" style="62" bestFit="1" customWidth="1"/>
    <col min="4" max="4" width="15.00390625" style="62" bestFit="1" customWidth="1"/>
    <col min="5" max="5" width="10.7109375" style="62" bestFit="1" customWidth="1"/>
    <col min="6" max="6" width="15.00390625" style="62" bestFit="1" customWidth="1"/>
    <col min="7" max="7" width="10.7109375" style="62" bestFit="1" customWidth="1"/>
    <col min="8" max="8" width="12.28125" style="62" bestFit="1" customWidth="1"/>
    <col min="9" max="9" width="11.7109375" style="62" customWidth="1"/>
    <col min="10" max="10" width="7.8515625" style="62" bestFit="1" customWidth="1"/>
    <col min="11" max="16384" width="9.140625" style="62" customWidth="1"/>
  </cols>
  <sheetData>
    <row r="1" spans="1:10" ht="12.75">
      <c r="A1" s="61" t="str">
        <f ca="1">+'Residential Sch 7'!A1</f>
        <v>Puget Sound Energy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 t="str">
        <f ca="1">+'Residential Sch 7'!A2</f>
        <v>Proforma and Proposed Revenue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tr">
        <f ca="1">+'Residential Sch 7'!A3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1" t="s">
        <v>285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2.75">
      <c r="A5" s="61" t="s">
        <v>286</v>
      </c>
      <c r="B5" s="61"/>
      <c r="C5" s="61"/>
      <c r="D5" s="61"/>
      <c r="E5" s="61"/>
      <c r="F5" s="61"/>
      <c r="G5" s="61"/>
      <c r="H5" s="61"/>
      <c r="I5" s="61"/>
      <c r="J5" s="61"/>
    </row>
    <row r="7" spans="2:10" ht="12.75">
      <c r="B7" s="98" t="s">
        <v>238</v>
      </c>
      <c r="C7" s="99"/>
      <c r="D7" s="100"/>
      <c r="E7" s="101" t="str">
        <f ca="1">+'Residential Sch 7'!E7</f>
        <v>Proforma</v>
      </c>
      <c r="F7" s="102"/>
      <c r="G7" s="103" t="str">
        <f ca="1">+'Residential Sch 7'!G7</f>
        <v>Proposed</v>
      </c>
      <c r="H7" s="102"/>
      <c r="I7" s="104"/>
      <c r="J7" s="104"/>
    </row>
    <row r="8" spans="3:10" ht="12.75">
      <c r="C8" s="93" t="s">
        <v>239</v>
      </c>
      <c r="D8" s="105"/>
      <c r="E8" s="132" t="str">
        <f ca="1">+'Residential Sch 7'!E8</f>
        <v>Rates Effective 9-1-07</v>
      </c>
      <c r="F8" s="109"/>
      <c r="G8" s="108" t="str">
        <f ca="1">+'Residential Sch 7'!G8</f>
        <v>Rates Effective 2008</v>
      </c>
      <c r="H8" s="109"/>
      <c r="I8" s="110" t="str">
        <f ca="1">+'Residential Sch 7'!I8</f>
        <v>Differences</v>
      </c>
      <c r="J8" s="111"/>
    </row>
    <row r="9" spans="1:10" ht="12.75">
      <c r="A9" s="112"/>
      <c r="B9" s="112"/>
      <c r="C9" s="112" t="s">
        <v>243</v>
      </c>
      <c r="D9" s="112" t="s">
        <v>244</v>
      </c>
      <c r="E9" s="110" t="str">
        <f ca="1">+'Residential Sch 7'!E9</f>
        <v>Charge</v>
      </c>
      <c r="F9" s="111" t="str">
        <f ca="1">+'Residential Sch 7'!F9</f>
        <v>Revenue</v>
      </c>
      <c r="G9" s="113" t="str">
        <f ca="1">+'Residential Sch 7'!G9</f>
        <v>Charge</v>
      </c>
      <c r="H9" s="111" t="str">
        <f ca="1">+'Residential Sch 7'!H9</f>
        <v>Revenue</v>
      </c>
      <c r="I9" s="113" t="str">
        <f ca="1">+'Residential Sch 7'!I9</f>
        <v>$</v>
      </c>
      <c r="J9" s="111" t="str">
        <f ca="1">+'Residential Sch 7'!J9</f>
        <v>%</v>
      </c>
    </row>
    <row r="10" spans="1:10" ht="12.75">
      <c r="A10" s="62" t="s">
        <v>64</v>
      </c>
      <c r="B10" s="133">
        <v>2202</v>
      </c>
      <c r="C10" s="133"/>
      <c r="D10" s="133">
        <f>SUM(B10:C10)</f>
        <v>2202</v>
      </c>
      <c r="E10" s="114">
        <v>295</v>
      </c>
      <c r="F10" s="78">
        <f>+E10*D10</f>
        <v>649590</v>
      </c>
      <c r="G10" s="114">
        <f ca="1">+'Rate Design Sch 43'!$F$7</f>
        <v>305</v>
      </c>
      <c r="H10" s="78">
        <f ca="1">+G10*D10</f>
        <v>671610</v>
      </c>
      <c r="I10" s="120">
        <f ca="1">+H10-F10</f>
        <v>22020</v>
      </c>
      <c r="J10" s="117">
        <f ca="1">+I10/F10</f>
        <v>0.03389830508474576</v>
      </c>
    </row>
    <row r="11" spans="6:8" ht="12.75">
      <c r="F11" s="96"/>
      <c r="H11" s="96"/>
    </row>
    <row r="12" spans="1:10" ht="12.75">
      <c r="A12" s="83" t="s">
        <v>265</v>
      </c>
      <c r="B12" s="77">
        <v>167594812.19</v>
      </c>
      <c r="C12" s="77">
        <v>-1684428</v>
      </c>
      <c r="D12" s="133">
        <f>SUM(B12:C12)</f>
        <v>165910384.19</v>
      </c>
      <c r="E12" s="97">
        <v>0.049375</v>
      </c>
      <c r="F12" s="78">
        <f>+E12*D12</f>
        <v>8191825.21938125</v>
      </c>
      <c r="G12" s="97">
        <f ca="1">+'Rate Design Sch 43'!$F$12</f>
        <v>0.054419</v>
      </c>
      <c r="H12" s="78">
        <f ca="1">+G12*D12</f>
        <v>9028677.19723561</v>
      </c>
      <c r="I12" s="120">
        <f ca="1">+H12-F12</f>
        <v>836851.9778543599</v>
      </c>
      <c r="J12" s="117">
        <f ca="1">+I12/F12</f>
        <v>0.10215696202531643</v>
      </c>
    </row>
    <row r="13" spans="2:4" ht="12.75">
      <c r="B13" s="75"/>
      <c r="C13" s="75"/>
      <c r="D13" s="75"/>
    </row>
    <row r="14" spans="1:10" ht="12.75">
      <c r="A14" s="83" t="s">
        <v>268</v>
      </c>
      <c r="B14" s="77">
        <v>825740</v>
      </c>
      <c r="C14" s="77"/>
      <c r="D14" s="133">
        <f>SUM(B14:C14)</f>
        <v>825740</v>
      </c>
      <c r="E14" s="114">
        <v>4.04</v>
      </c>
      <c r="F14" s="78">
        <f>+E14*D14</f>
        <v>3335989.6</v>
      </c>
      <c r="G14" s="114">
        <f ca="1">+'Rate Design Sch 43'!$F$17</f>
        <v>4.39</v>
      </c>
      <c r="H14" s="78">
        <f ca="1">+G14*D14</f>
        <v>3624998.5999999996</v>
      </c>
      <c r="I14" s="120">
        <f ca="1">+H14-F14</f>
        <v>289008.99999999953</v>
      </c>
      <c r="J14" s="117">
        <f ca="1">+I14/F14</f>
        <v>0.08663366336633649</v>
      </c>
    </row>
    <row r="15" spans="2:10" ht="12.75">
      <c r="B15" s="80"/>
      <c r="C15" s="80"/>
      <c r="D15" s="80"/>
      <c r="F15" s="81"/>
      <c r="H15" s="81"/>
      <c r="I15" s="81"/>
      <c r="J15" s="119"/>
    </row>
    <row r="16" spans="1:10" ht="12.75">
      <c r="A16" s="83" t="s">
        <v>269</v>
      </c>
      <c r="B16" s="133">
        <v>79336168.76</v>
      </c>
      <c r="C16" s="133"/>
      <c r="D16" s="133">
        <f>SUM(B16:C16)</f>
        <v>79336168.76</v>
      </c>
      <c r="E16" s="135">
        <v>0.00265</v>
      </c>
      <c r="F16" s="78">
        <f>+E16*D16</f>
        <v>210240.847214</v>
      </c>
      <c r="G16" s="135">
        <f ca="1">+'Rate Design Sch 43'!$F$19</f>
        <v>0.0028</v>
      </c>
      <c r="H16" s="78">
        <f ca="1">+G16*D16</f>
        <v>222141.272528</v>
      </c>
      <c r="I16" s="120">
        <f ca="1">+H16-F16</f>
        <v>11900.425313999993</v>
      </c>
      <c r="J16" s="117">
        <f ca="1">+I16/F16</f>
        <v>0.05660377358490563</v>
      </c>
    </row>
    <row r="17" ht="12.75">
      <c r="D17" s="75"/>
    </row>
    <row r="18" spans="1:10" ht="12.75">
      <c r="A18" s="76" t="s">
        <v>252</v>
      </c>
      <c r="D18" s="133">
        <f>+D12</f>
        <v>165910384.19</v>
      </c>
      <c r="E18" s="97">
        <v>0.0025859999999999998</v>
      </c>
      <c r="F18" s="78">
        <f>+E18*D18</f>
        <v>429044.25351534</v>
      </c>
      <c r="G18" s="97">
        <v>0</v>
      </c>
      <c r="H18" s="78">
        <f>+G18*D18</f>
        <v>0</v>
      </c>
      <c r="I18" s="120">
        <f>+H18-F18</f>
        <v>-429044.25351534</v>
      </c>
      <c r="J18" s="117">
        <f>+I18/F18</f>
        <v>-1</v>
      </c>
    </row>
    <row r="19" ht="12.75">
      <c r="D19" s="75"/>
    </row>
    <row r="20" spans="1:10" ht="12.75">
      <c r="A20" s="76" t="s">
        <v>274</v>
      </c>
      <c r="D20" s="77">
        <v>399862</v>
      </c>
      <c r="E20" s="97">
        <v>0.08209288809606893</v>
      </c>
      <c r="F20" s="78">
        <f>+E20*D20</f>
        <v>32825.82641987032</v>
      </c>
      <c r="G20" s="97">
        <f ca="1">+'Rate Design Sch 43'!$F$14</f>
        <v>0.086774</v>
      </c>
      <c r="H20" s="78">
        <f ca="1">+G20*D20</f>
        <v>34697.625188</v>
      </c>
      <c r="I20" s="120">
        <f ca="1">+H20-F20</f>
        <v>1871.79876812968</v>
      </c>
      <c r="J20" s="117">
        <f ca="1">+I20/F20</f>
        <v>0.057022136904880234</v>
      </c>
    </row>
    <row r="21" ht="12.75">
      <c r="D21" s="75"/>
    </row>
    <row r="22" spans="1:10" ht="13.5" thickBot="1">
      <c r="A22" s="62" t="s">
        <v>77</v>
      </c>
      <c r="D22" s="95">
        <f>SUM(D20,D12)</f>
        <v>166310246.19</v>
      </c>
      <c r="F22" s="122">
        <f>SUM(F16,F14,F12,F10,F18,F20)</f>
        <v>12849515.74653046</v>
      </c>
      <c r="H22" s="122">
        <f ca="1">SUM(H16,H14,H12,H10,H18,H20)</f>
        <v>13582124.69495161</v>
      </c>
      <c r="I22" s="122">
        <f ca="1">SUM(I16,I14,I12,I10,I18,I20)</f>
        <v>732608.948421149</v>
      </c>
      <c r="J22" s="123">
        <f ca="1">+I22/F22</f>
        <v>0.057014518124464196</v>
      </c>
    </row>
    <row r="23" ht="13.5" thickTop="1"/>
    <row r="25" spans="1:7" ht="12.75">
      <c r="A25" s="62" t="s">
        <v>287</v>
      </c>
      <c r="E25" s="140">
        <f ca="1">+'Primary Sch 31'!E14-'Primary Sch 43'!E14</f>
        <v>3.3099999999999996</v>
      </c>
      <c r="G25" s="140">
        <f ca="1">+'Primary Sch 31'!G14-'Primary Sch 43'!G14</f>
        <v>3.5900000000000007</v>
      </c>
    </row>
    <row r="27" spans="1:8" ht="12.75" hidden="1">
      <c r="A27" s="62" t="s">
        <v>127</v>
      </c>
      <c r="F27" s="96">
        <v>12816689.92011059</v>
      </c>
      <c r="H27" s="96">
        <f ca="1">+'Rate Design Sch 43'!$H$24</f>
        <v>13582183.083298959</v>
      </c>
    </row>
    <row r="28" spans="1:8" ht="12.75" hidden="1">
      <c r="A28" s="62" t="s">
        <v>127</v>
      </c>
      <c r="F28" s="94">
        <f>+F27-(F22-F20)</f>
        <v>0</v>
      </c>
      <c r="H28" s="94">
        <f ca="1">+H27-H22</f>
        <v>58.388347348198295</v>
      </c>
    </row>
    <row r="29" ht="12.75" hidden="1"/>
    <row r="30" ht="12.75" hidden="1"/>
    <row r="31" spans="1:6" ht="12.75" hidden="1">
      <c r="A31" s="83" t="str">
        <f ca="1">+'Residential Sch 7'!$A$29</f>
        <v>Schedule 95 Effective 9-1-07</v>
      </c>
      <c r="E31" s="97">
        <f>+E18</f>
        <v>0.0025859999999999998</v>
      </c>
      <c r="F31" s="96">
        <f>+E31*$D$12</f>
        <v>429044.25351534</v>
      </c>
    </row>
  </sheetData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34">
      <selection activeCell="A34" sqref="A1:IV65536"/>
    </sheetView>
  </sheetViews>
  <sheetFormatPr defaultColWidth="9.140625" defaultRowHeight="12.75"/>
  <cols>
    <col min="1" max="1" width="38.57421875" style="2" bestFit="1" customWidth="1"/>
    <col min="2" max="2" width="12.28125" style="2" bestFit="1" customWidth="1"/>
    <col min="3" max="3" width="11.28125" style="2" bestFit="1" customWidth="1"/>
    <col min="4" max="4" width="12.28125" style="2" bestFit="1" customWidth="1"/>
    <col min="5" max="5" width="19.140625" style="2" bestFit="1" customWidth="1"/>
    <col min="6" max="6" width="12.28125" style="2" bestFit="1" customWidth="1"/>
    <col min="7" max="7" width="11.28125" style="2" bestFit="1" customWidth="1"/>
    <col min="8" max="8" width="12.28125" style="2" bestFit="1" customWidth="1"/>
    <col min="9" max="9" width="12.8515625" style="2" bestFit="1" customWidth="1"/>
    <col min="10" max="10" width="11.28125" style="2" bestFit="1" customWidth="1"/>
    <col min="11" max="16384" width="9.14062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 ca="1"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 ca="1">+'Residential Sch 7'!A3</f>
        <v>Twelve Months ended September 30, 2007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288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289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141" t="s">
        <v>238</v>
      </c>
      <c r="C7" s="142"/>
      <c r="D7" s="143"/>
      <c r="E7" s="144" t="str">
        <f ca="1">+'Residential Sch 7'!E7</f>
        <v>Proforma</v>
      </c>
      <c r="F7" s="145"/>
      <c r="G7" s="146" t="str">
        <f ca="1">+'Residential Sch 7'!G7</f>
        <v>Proposed</v>
      </c>
      <c r="H7" s="145"/>
      <c r="I7" s="37"/>
      <c r="J7" s="37"/>
    </row>
    <row r="8" spans="3:10" ht="12.75">
      <c r="C8" s="38" t="s">
        <v>239</v>
      </c>
      <c r="D8" s="52"/>
      <c r="E8" s="147" t="str">
        <f ca="1">+'Residential Sch 7'!E8</f>
        <v>Rates Effective 9-1-07</v>
      </c>
      <c r="F8" s="148"/>
      <c r="G8" s="149" t="str">
        <f ca="1">+'Residential Sch 7'!G8</f>
        <v>Rates Effective 2008</v>
      </c>
      <c r="H8" s="148"/>
      <c r="I8" s="150" t="str">
        <f ca="1">+'Residential Sch 7'!I8</f>
        <v>Differences</v>
      </c>
      <c r="J8" s="151"/>
    </row>
    <row r="9" spans="1:10" ht="12.75">
      <c r="A9" s="152"/>
      <c r="B9" s="152"/>
      <c r="C9" s="152" t="s">
        <v>243</v>
      </c>
      <c r="D9" s="152" t="s">
        <v>244</v>
      </c>
      <c r="E9" s="150" t="str">
        <f ca="1">+'Residential Sch 7'!E9</f>
        <v>Charge</v>
      </c>
      <c r="F9" s="151" t="str">
        <f ca="1">+'Residential Sch 7'!F9</f>
        <v>Revenue</v>
      </c>
      <c r="G9" s="153" t="str">
        <f ca="1">+'Residential Sch 7'!G9</f>
        <v>Charge</v>
      </c>
      <c r="H9" s="151" t="str">
        <f ca="1">+'Residential Sch 7'!H9</f>
        <v>Revenue</v>
      </c>
      <c r="I9" s="153" t="str">
        <f ca="1">+'Residential Sch 7'!I9</f>
        <v>$</v>
      </c>
      <c r="J9" s="151" t="str">
        <f ca="1">+'Residential Sch 7'!J9</f>
        <v>%</v>
      </c>
    </row>
    <row r="11" ht="12.75">
      <c r="A11" s="28" t="s">
        <v>290</v>
      </c>
    </row>
    <row r="12" spans="1:8" ht="12.75">
      <c r="A12" s="31" t="s">
        <v>291</v>
      </c>
      <c r="B12" s="21">
        <v>372</v>
      </c>
      <c r="C12" s="21"/>
      <c r="D12" s="21">
        <f>SUM(B12:C12)</f>
        <v>372</v>
      </c>
      <c r="E12" s="154">
        <v>27.2</v>
      </c>
      <c r="F12" s="33">
        <f>+E12*D12</f>
        <v>10118.4</v>
      </c>
      <c r="G12" s="154">
        <v>70</v>
      </c>
      <c r="H12" s="33">
        <f>+G12*D12</f>
        <v>26040</v>
      </c>
    </row>
    <row r="13" spans="1:8" ht="12.75">
      <c r="A13" s="26" t="s">
        <v>292</v>
      </c>
      <c r="B13" s="21">
        <v>456</v>
      </c>
      <c r="C13" s="21"/>
      <c r="D13" s="21">
        <f>SUM(B13:C13)</f>
        <v>456</v>
      </c>
      <c r="E13" s="154">
        <v>48</v>
      </c>
      <c r="F13" s="33">
        <f>+E13*D13</f>
        <v>21888</v>
      </c>
      <c r="G13" s="154">
        <v>150</v>
      </c>
      <c r="H13" s="33">
        <f>+G13*D13</f>
        <v>68400</v>
      </c>
    </row>
    <row r="14" spans="1:8" ht="12.75">
      <c r="A14" s="31" t="s">
        <v>32</v>
      </c>
      <c r="B14" s="21">
        <v>288</v>
      </c>
      <c r="C14" s="21"/>
      <c r="D14" s="21">
        <f>SUM(B14:C14)</f>
        <v>288</v>
      </c>
      <c r="E14" s="154">
        <v>295</v>
      </c>
      <c r="F14" s="33">
        <f>+E14*D14</f>
        <v>84960</v>
      </c>
      <c r="G14" s="154">
        <v>350</v>
      </c>
      <c r="H14" s="33">
        <f>+G14*D14</f>
        <v>100800</v>
      </c>
    </row>
    <row r="15" spans="2:10" ht="12.75">
      <c r="B15" s="15">
        <f>SUM(B12:B14)</f>
        <v>1116</v>
      </c>
      <c r="C15" s="21"/>
      <c r="D15" s="15">
        <f>SUM(D12:D14)</f>
        <v>1116</v>
      </c>
      <c r="F15" s="16">
        <f>SUM(F12:F14)</f>
        <v>116966.4</v>
      </c>
      <c r="H15" s="16">
        <f>SUM(H12:H14)</f>
        <v>195240</v>
      </c>
      <c r="I15" s="155">
        <f>+H15-F15</f>
        <v>78273.6</v>
      </c>
      <c r="J15" s="121">
        <f>+I15/F15</f>
        <v>0.6691973079448458</v>
      </c>
    </row>
    <row r="16" spans="1:10" ht="12.75">
      <c r="A16" s="28" t="s">
        <v>293</v>
      </c>
      <c r="B16" s="23"/>
      <c r="C16" s="21"/>
      <c r="D16" s="23"/>
      <c r="F16" s="20"/>
      <c r="H16" s="20"/>
      <c r="I16" s="156"/>
      <c r="J16" s="157"/>
    </row>
    <row r="17" ht="12.75">
      <c r="A17" s="31" t="s">
        <v>5</v>
      </c>
    </row>
    <row r="18" spans="1:8" ht="12.75">
      <c r="A18" s="158" t="s">
        <v>26</v>
      </c>
      <c r="B18" s="21">
        <v>157874960</v>
      </c>
      <c r="C18" s="21">
        <v>710691.5182537066</v>
      </c>
      <c r="D18" s="21">
        <f>SUM(B18:C18)</f>
        <v>158585651.5182537</v>
      </c>
      <c r="E18" s="159">
        <v>0.053517</v>
      </c>
      <c r="F18" s="33">
        <f>+E18*D18</f>
        <v>8487028.312302385</v>
      </c>
      <c r="G18" s="159">
        <v>0.05622</v>
      </c>
      <c r="H18" s="33">
        <f>+G18*D18</f>
        <v>8915685.328356223</v>
      </c>
    </row>
    <row r="19" spans="1:8" ht="12.75">
      <c r="A19" s="160" t="s">
        <v>32</v>
      </c>
      <c r="B19" s="21">
        <v>456592500</v>
      </c>
      <c r="C19" s="21">
        <v>-1458024.5463155962</v>
      </c>
      <c r="D19" s="21">
        <f>SUM(B19:C19)</f>
        <v>455134475.4536844</v>
      </c>
      <c r="E19" s="159">
        <v>0.051909</v>
      </c>
      <c r="F19" s="33">
        <f>+E19*D19</f>
        <v>23625575.4863253</v>
      </c>
      <c r="G19" s="159">
        <v>0.054635</v>
      </c>
      <c r="H19" s="33">
        <f>+G19*D19</f>
        <v>24866272.066412047</v>
      </c>
    </row>
    <row r="20" spans="1:8" ht="12.75">
      <c r="A20" s="31"/>
      <c r="B20" s="15">
        <f>SUM(B18:B19)</f>
        <v>614467460</v>
      </c>
      <c r="C20" s="15">
        <f>SUM(C18:C19)</f>
        <v>-747333.0280618896</v>
      </c>
      <c r="D20" s="15">
        <f>SUM(D18:D19)</f>
        <v>613720126.9719381</v>
      </c>
      <c r="F20" s="16">
        <f>SUM(F18:F19)</f>
        <v>32112603.798627686</v>
      </c>
      <c r="H20" s="16">
        <f>SUM(H18:H19)</f>
        <v>33781957.39476827</v>
      </c>
    </row>
    <row r="21" spans="1:8" ht="12.75">
      <c r="A21" s="31"/>
      <c r="B21" s="23"/>
      <c r="C21" s="23"/>
      <c r="D21" s="23"/>
      <c r="F21" s="20"/>
      <c r="H21" s="20"/>
    </row>
    <row r="22" spans="1:10" ht="12.75">
      <c r="A22" s="160" t="s">
        <v>294</v>
      </c>
      <c r="B22" s="23"/>
      <c r="C22" s="23"/>
      <c r="D22" s="23"/>
      <c r="E22" s="23"/>
      <c r="F22" s="23"/>
      <c r="H22" s="20"/>
      <c r="I22" s="156"/>
      <c r="J22" s="157"/>
    </row>
    <row r="23" spans="1:8" ht="12.75">
      <c r="A23" s="161" t="s">
        <v>26</v>
      </c>
      <c r="B23" s="23"/>
      <c r="C23" s="23"/>
      <c r="D23" s="21">
        <f>+D18</f>
        <v>158585651.5182537</v>
      </c>
      <c r="E23" s="159">
        <v>0</v>
      </c>
      <c r="F23" s="33">
        <f>+E23*D23</f>
        <v>0</v>
      </c>
      <c r="G23" s="159">
        <v>0</v>
      </c>
      <c r="H23" s="33">
        <f>+G23*D23</f>
        <v>0</v>
      </c>
    </row>
    <row r="24" spans="1:8" ht="12.75">
      <c r="A24" s="162" t="s">
        <v>32</v>
      </c>
      <c r="B24" s="23"/>
      <c r="C24" s="23"/>
      <c r="D24" s="21">
        <f>+D19</f>
        <v>455134475.4536844</v>
      </c>
      <c r="E24" s="159">
        <v>0</v>
      </c>
      <c r="F24" s="33">
        <f>+E24*D24</f>
        <v>0</v>
      </c>
      <c r="G24" s="159">
        <v>0</v>
      </c>
      <c r="H24" s="33">
        <f>+G24*D24</f>
        <v>0</v>
      </c>
    </row>
    <row r="25" spans="1:10" ht="12.75">
      <c r="A25" s="31"/>
      <c r="B25" s="23"/>
      <c r="C25" s="23"/>
      <c r="D25" s="15">
        <f>SUM(D23:D24)</f>
        <v>613720126.9719381</v>
      </c>
      <c r="F25" s="16">
        <f>SUM(F23:F24)</f>
        <v>0</v>
      </c>
      <c r="H25" s="16">
        <f>SUM(H23:H24)</f>
        <v>0</v>
      </c>
      <c r="I25" s="155">
        <f>+H25-F25+H20-F20</f>
        <v>1669353.596140582</v>
      </c>
      <c r="J25" s="121">
        <f>+I25/SUM(F20,F25)</f>
        <v>0.051984373693544</v>
      </c>
    </row>
    <row r="26" spans="1:3" ht="12.75">
      <c r="A26" s="26" t="s">
        <v>295</v>
      </c>
      <c r="B26" s="23"/>
      <c r="C26" s="23"/>
    </row>
    <row r="27" spans="1:8" ht="12.75">
      <c r="A27" s="158" t="s">
        <v>26</v>
      </c>
      <c r="B27" s="23">
        <v>298481</v>
      </c>
      <c r="C27" s="23"/>
      <c r="D27" s="21">
        <f>SUM(B27:C27)</f>
        <v>298481</v>
      </c>
      <c r="E27" s="154">
        <v>3.42</v>
      </c>
      <c r="F27" s="33">
        <f>+E27*D27</f>
        <v>1020805.02</v>
      </c>
      <c r="G27" s="154">
        <v>4.18</v>
      </c>
      <c r="H27" s="33">
        <f>+G27*D27</f>
        <v>1247650.5799999998</v>
      </c>
    </row>
    <row r="28" spans="1:8" ht="12.75">
      <c r="A28" s="160" t="s">
        <v>32</v>
      </c>
      <c r="B28" s="21">
        <v>795981</v>
      </c>
      <c r="D28" s="21">
        <f>SUM(B28:C28)</f>
        <v>795981</v>
      </c>
      <c r="E28" s="154">
        <v>3.32</v>
      </c>
      <c r="F28" s="33">
        <f>+E28*D28</f>
        <v>2642656.92</v>
      </c>
      <c r="G28" s="154">
        <v>4.06</v>
      </c>
      <c r="H28" s="33">
        <f>+G28*D28</f>
        <v>3231682.86</v>
      </c>
    </row>
    <row r="29" spans="1:10" ht="12.75">
      <c r="A29" s="31"/>
      <c r="B29" s="15">
        <f>SUM(B27:B28)</f>
        <v>1094462</v>
      </c>
      <c r="C29" s="21"/>
      <c r="D29" s="15">
        <f>SUM(D27:D28)</f>
        <v>1094462</v>
      </c>
      <c r="F29" s="16">
        <f>SUM(F26:F28)</f>
        <v>3663461.94</v>
      </c>
      <c r="H29" s="16">
        <f>SUM(H26:H28)</f>
        <v>4479333.4399999995</v>
      </c>
      <c r="I29" s="155">
        <f>+H29-F29</f>
        <v>815871.4999999995</v>
      </c>
      <c r="J29" s="121">
        <f>+I29/F29</f>
        <v>0.22270505695495216</v>
      </c>
    </row>
    <row r="30" ht="12.75">
      <c r="A30" s="31" t="s">
        <v>296</v>
      </c>
    </row>
    <row r="31" spans="1:8" ht="12.75">
      <c r="A31" s="158" t="s">
        <v>26</v>
      </c>
      <c r="B31" s="23">
        <v>52230182.00000001</v>
      </c>
      <c r="C31" s="23"/>
      <c r="D31" s="21">
        <f>SUM(B31:C31)</f>
        <v>52230182.00000001</v>
      </c>
      <c r="E31" s="163">
        <v>0.00115</v>
      </c>
      <c r="F31" s="33">
        <f>+E31*D31</f>
        <v>60064.70930000001</v>
      </c>
      <c r="G31" s="163">
        <v>0.0012</v>
      </c>
      <c r="H31" s="33">
        <f>+G31*D31</f>
        <v>62676.218400000005</v>
      </c>
    </row>
    <row r="32" spans="1:8" ht="12.75">
      <c r="A32" s="160" t="s">
        <v>32</v>
      </c>
      <c r="B32" s="21">
        <v>161716500</v>
      </c>
      <c r="D32" s="21">
        <f>SUM(B32:C32)</f>
        <v>161716500</v>
      </c>
      <c r="E32" s="163">
        <v>0.00094</v>
      </c>
      <c r="F32" s="33">
        <f>+E32*D32</f>
        <v>152013.51</v>
      </c>
      <c r="G32" s="163">
        <v>0.00103</v>
      </c>
      <c r="H32" s="33">
        <f>+G32*D32</f>
        <v>166567.99500000002</v>
      </c>
    </row>
    <row r="33" spans="2:10" ht="12.75">
      <c r="B33" s="15">
        <f>SUM(B31:B32)</f>
        <v>213946682</v>
      </c>
      <c r="C33" s="21"/>
      <c r="D33" s="15">
        <f>SUM(D31:D32)</f>
        <v>213946682</v>
      </c>
      <c r="F33" s="16">
        <f>SUM(F30:F32)</f>
        <v>212078.21930000003</v>
      </c>
      <c r="H33" s="16">
        <f>SUM(H30:H32)</f>
        <v>229244.21340000004</v>
      </c>
      <c r="I33" s="155">
        <f>+H33-F33</f>
        <v>17165.99410000001</v>
      </c>
      <c r="J33" s="121">
        <f>+I33/F33</f>
        <v>0.0809418060782445</v>
      </c>
    </row>
    <row r="35" ht="12.75">
      <c r="A35" s="28" t="s">
        <v>297</v>
      </c>
    </row>
    <row r="36" spans="1:10" ht="12.75">
      <c r="A36" s="31" t="s">
        <v>298</v>
      </c>
      <c r="F36" s="16">
        <v>2694871.7789336005</v>
      </c>
      <c r="G36" s="18"/>
      <c r="H36" s="16">
        <v>2061050.0850352002</v>
      </c>
      <c r="I36" s="155">
        <f>+H36-F36</f>
        <v>-633821.6938984003</v>
      </c>
      <c r="J36" s="121">
        <f>+I36/F36</f>
        <v>-0.23519549199079617</v>
      </c>
    </row>
    <row r="38" spans="1:10" ht="12.75">
      <c r="A38" s="28" t="s">
        <v>253</v>
      </c>
      <c r="D38" s="15">
        <v>2800972</v>
      </c>
      <c r="E38" s="159">
        <v>0.06322043446097123</v>
      </c>
      <c r="F38" s="16">
        <f>+E38*D38</f>
        <v>177078.66675301548</v>
      </c>
      <c r="G38" s="159">
        <f>+E38</f>
        <v>0.06322043446097123</v>
      </c>
      <c r="H38" s="16">
        <f>+G38*D38</f>
        <v>177078.66675301548</v>
      </c>
      <c r="I38" s="155">
        <f>+H38-F38</f>
        <v>0</v>
      </c>
      <c r="J38" s="121">
        <f>+I38/F38</f>
        <v>0</v>
      </c>
    </row>
    <row r="40" spans="1:10" ht="13.5" thickBot="1">
      <c r="A40" s="2" t="s">
        <v>299</v>
      </c>
      <c r="D40" s="39">
        <f>SUM(D38,D20)</f>
        <v>616521098.9719381</v>
      </c>
      <c r="F40" s="164">
        <f>SUM(F36,F33,F29,F25,F20,F15,F38)</f>
        <v>38977060.8036143</v>
      </c>
      <c r="H40" s="164">
        <f>SUM(H36,H33,H29,H25,H20,H15,H38)</f>
        <v>40923903.799956486</v>
      </c>
      <c r="I40" s="164">
        <f>SUM(I36,I33,I29,I25,I15,I38)</f>
        <v>1946842.9963421815</v>
      </c>
      <c r="J40" s="165">
        <f>+I40/F40</f>
        <v>0.04994843008176883</v>
      </c>
    </row>
    <row r="41" ht="13.5" thickTop="1"/>
    <row r="42" spans="1:6" ht="12.75" hidden="1">
      <c r="A42" s="2" t="s">
        <v>127</v>
      </c>
      <c r="F42" s="33">
        <v>38799979.76095569</v>
      </c>
    </row>
    <row r="43" spans="1:6" ht="12.75" hidden="1">
      <c r="A43" s="2" t="s">
        <v>127</v>
      </c>
      <c r="F43" s="44">
        <f>+F42-(F40-F38)</f>
        <v>-2.3759055957198143</v>
      </c>
    </row>
    <row r="44" ht="12.75" hidden="1"/>
    <row r="45" ht="12.75" hidden="1">
      <c r="A45" s="28"/>
    </row>
    <row r="46" spans="1:5" ht="12.75" hidden="1">
      <c r="A46" s="28" t="str">
        <f ca="1">+'Residential Sch 7'!$A$29</f>
        <v>Schedule 95 Effective 9-1-07</v>
      </c>
      <c r="E46" s="159"/>
    </row>
    <row r="47" spans="1:6" ht="12.75" hidden="1">
      <c r="A47" s="161" t="s">
        <v>300</v>
      </c>
      <c r="E47" s="159">
        <f>+E23</f>
        <v>0</v>
      </c>
      <c r="F47" s="33">
        <f>+E47*D18</f>
        <v>0</v>
      </c>
    </row>
    <row r="48" spans="1:6" ht="12.75" hidden="1">
      <c r="A48" s="162" t="s">
        <v>32</v>
      </c>
      <c r="E48" s="159">
        <f>+E24</f>
        <v>0</v>
      </c>
      <c r="F48" s="33">
        <f>+E48*D19</f>
        <v>0</v>
      </c>
    </row>
    <row r="49" ht="12.75" hidden="1">
      <c r="F49" s="44">
        <f>SUM(F47:F48)</f>
        <v>0</v>
      </c>
    </row>
    <row r="50" ht="12.75" hidden="1"/>
  </sheetData>
  <printOptions horizontalCentered="1"/>
  <pageMargins left="0.25" right="0.25" top="1" bottom="1" header="0.5" footer="0.5"/>
  <pageSetup fitToHeight="1" fitToWidth="1" horizontalDpi="600" verticalDpi="600" orientation="landscape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A1" sqref="A1:IV65536"/>
    </sheetView>
  </sheetViews>
  <sheetFormatPr defaultColWidth="9.140625" defaultRowHeight="12.75"/>
  <cols>
    <col min="1" max="1" width="27.8515625" style="62" bestFit="1" customWidth="1"/>
    <col min="2" max="2" width="15.00390625" style="62" bestFit="1" customWidth="1"/>
    <col min="3" max="3" width="11.8515625" style="62" bestFit="1" customWidth="1"/>
    <col min="4" max="4" width="14.00390625" style="62" bestFit="1" customWidth="1"/>
    <col min="5" max="5" width="11.421875" style="62" bestFit="1" customWidth="1"/>
    <col min="6" max="6" width="14.00390625" style="62" bestFit="1" customWidth="1"/>
    <col min="7" max="7" width="11.8515625" style="62" bestFit="1" customWidth="1"/>
    <col min="8" max="8" width="7.8515625" style="62" bestFit="1" customWidth="1"/>
    <col min="9" max="16384" width="9.140625" style="62" customWidth="1"/>
  </cols>
  <sheetData>
    <row r="1" spans="1:8" ht="12.75">
      <c r="A1" s="61" t="str">
        <f ca="1">+'Residential Sch 7'!A1</f>
        <v>Puget Sound Energy</v>
      </c>
      <c r="B1" s="61"/>
      <c r="C1" s="61"/>
      <c r="D1" s="61"/>
      <c r="E1" s="61"/>
      <c r="F1" s="61"/>
      <c r="G1" s="61"/>
      <c r="H1" s="61"/>
    </row>
    <row r="2" spans="1:8" ht="12.75">
      <c r="A2" s="61" t="str">
        <f ca="1">+'Residential Sch 7'!A2</f>
        <v>Proforma and Proposed Revenue</v>
      </c>
      <c r="B2" s="61"/>
      <c r="C2" s="61"/>
      <c r="D2" s="61"/>
      <c r="E2" s="61"/>
      <c r="F2" s="61"/>
      <c r="G2" s="61"/>
      <c r="H2" s="61"/>
    </row>
    <row r="3" spans="1:8" ht="12.75">
      <c r="A3" s="61" t="str">
        <f ca="1">+'Residential Sch 7'!A3</f>
        <v>Twelve Months ended September 30, 2007</v>
      </c>
      <c r="B3" s="61"/>
      <c r="C3" s="61"/>
      <c r="D3" s="61"/>
      <c r="E3" s="61"/>
      <c r="F3" s="61"/>
      <c r="G3" s="61"/>
      <c r="H3" s="61"/>
    </row>
    <row r="4" spans="1:8" ht="12.75">
      <c r="A4" s="61" t="s">
        <v>301</v>
      </c>
      <c r="B4" s="61"/>
      <c r="C4" s="61"/>
      <c r="D4" s="61"/>
      <c r="E4" s="61"/>
      <c r="F4" s="61"/>
      <c r="G4" s="61"/>
      <c r="H4" s="61"/>
    </row>
    <row r="5" spans="1:8" ht="12.75">
      <c r="A5" s="61" t="s">
        <v>302</v>
      </c>
      <c r="B5" s="61"/>
      <c r="C5" s="61"/>
      <c r="D5" s="61"/>
      <c r="E5" s="61"/>
      <c r="F5" s="61"/>
      <c r="G5" s="61"/>
      <c r="H5" s="61"/>
    </row>
    <row r="7" spans="3:8" ht="12.75">
      <c r="C7" s="101" t="str">
        <f ca="1">+'Residential Sch 7'!E7</f>
        <v>Proforma</v>
      </c>
      <c r="D7" s="102"/>
      <c r="E7" s="103" t="str">
        <f ca="1">+'Residential Sch 7'!G7</f>
        <v>Proposed</v>
      </c>
      <c r="F7" s="102"/>
      <c r="G7" s="104"/>
      <c r="H7" s="104"/>
    </row>
    <row r="8" spans="3:8" ht="12.75">
      <c r="C8" s="132" t="str">
        <f ca="1">+'Residential Sch 7'!E8</f>
        <v>Rates Effective 9-1-07</v>
      </c>
      <c r="D8" s="109"/>
      <c r="E8" s="108" t="str">
        <f ca="1">+'Residential Sch 7'!G8</f>
        <v>Rates Effective 2008</v>
      </c>
      <c r="F8" s="109"/>
      <c r="G8" s="110" t="str">
        <f ca="1">+'Residential Sch 7'!I8</f>
        <v>Differences</v>
      </c>
      <c r="H8" s="111"/>
    </row>
    <row r="9" spans="1:8" ht="12.75">
      <c r="A9" s="112"/>
      <c r="B9" s="112"/>
      <c r="C9" s="110" t="str">
        <f ca="1">+'Residential Sch 7'!E9</f>
        <v>Charge</v>
      </c>
      <c r="D9" s="111" t="str">
        <f ca="1">+'Residential Sch 7'!F9</f>
        <v>Revenue</v>
      </c>
      <c r="E9" s="113" t="str">
        <f ca="1">+'Residential Sch 7'!G9</f>
        <v>Charge</v>
      </c>
      <c r="F9" s="111" t="str">
        <f ca="1">+'Residential Sch 7'!H9</f>
        <v>Revenue</v>
      </c>
      <c r="G9" s="113" t="str">
        <f ca="1">+'Residential Sch 7'!I9</f>
        <v>$</v>
      </c>
      <c r="H9" s="111" t="str">
        <f ca="1">+'Residential Sch 7'!J9</f>
        <v>%</v>
      </c>
    </row>
    <row r="10" spans="1:8" ht="12.75">
      <c r="A10" s="83" t="s">
        <v>265</v>
      </c>
      <c r="B10" s="77">
        <v>51158005</v>
      </c>
      <c r="C10" s="97">
        <v>0.046901</v>
      </c>
      <c r="D10" s="78">
        <f>+C10*B10</f>
        <v>2399361.592505</v>
      </c>
      <c r="E10" s="97">
        <f ca="1">+'Rate Design Sch 46'!$F$8</f>
        <v>0.051976</v>
      </c>
      <c r="F10" s="78">
        <f ca="1">+E10*B10</f>
        <v>2658988.46788</v>
      </c>
      <c r="G10" s="78">
        <f ca="1">+F10-D10</f>
        <v>259626.87537499983</v>
      </c>
      <c r="H10" s="117">
        <f ca="1">+G10/D10</f>
        <v>0.10820664804588381</v>
      </c>
    </row>
    <row r="11" ht="12.75">
      <c r="B11" s="75"/>
    </row>
    <row r="12" spans="1:8" ht="12.75">
      <c r="A12" s="83" t="s">
        <v>303</v>
      </c>
      <c r="B12" s="77">
        <v>167256</v>
      </c>
      <c r="C12" s="114">
        <v>1.78</v>
      </c>
      <c r="D12" s="78">
        <f>+C12*B12</f>
        <v>297715.68</v>
      </c>
      <c r="E12" s="114">
        <f ca="1">+'Rate Design Sch 46'!$F$13</f>
        <v>1.93</v>
      </c>
      <c r="F12" s="78">
        <f ca="1">+E12*B12</f>
        <v>322804.08</v>
      </c>
      <c r="G12" s="78">
        <f ca="1">+F12-D12</f>
        <v>25088.400000000023</v>
      </c>
      <c r="H12" s="117">
        <f ca="1">+G12/D12</f>
        <v>0.0842696629213484</v>
      </c>
    </row>
    <row r="13" spans="2:8" ht="12.75">
      <c r="B13" s="80"/>
      <c r="D13" s="81"/>
      <c r="F13" s="81"/>
      <c r="G13" s="81"/>
      <c r="H13" s="119"/>
    </row>
    <row r="14" spans="1:8" ht="12.75">
      <c r="A14" s="76" t="s">
        <v>252</v>
      </c>
      <c r="B14" s="77">
        <f>+B10</f>
        <v>51158005</v>
      </c>
      <c r="C14" s="97">
        <v>0.002768</v>
      </c>
      <c r="D14" s="78">
        <f>+C14*B14</f>
        <v>141605.35784</v>
      </c>
      <c r="E14" s="97">
        <v>0</v>
      </c>
      <c r="F14" s="78">
        <f>+E14*B14</f>
        <v>0</v>
      </c>
      <c r="G14" s="78">
        <f>+F14-D14</f>
        <v>-141605.35784</v>
      </c>
      <c r="H14" s="117">
        <f>+G14/D14</f>
        <v>-1</v>
      </c>
    </row>
    <row r="15" spans="2:8" ht="12.75">
      <c r="B15" s="80"/>
      <c r="D15" s="81"/>
      <c r="F15" s="81"/>
      <c r="G15" s="81"/>
      <c r="H15" s="119"/>
    </row>
    <row r="16" spans="1:8" ht="12.75">
      <c r="A16" s="76" t="s">
        <v>253</v>
      </c>
      <c r="B16" s="77">
        <v>206407</v>
      </c>
      <c r="C16" s="97">
        <v>0.05570290574882803</v>
      </c>
      <c r="D16" s="78">
        <f>+C16*B16</f>
        <v>11497.469666898347</v>
      </c>
      <c r="E16" s="97">
        <f ca="1">+'Rate Design Sch 46'!$F$10</f>
        <v>0.058879</v>
      </c>
      <c r="F16" s="78">
        <f ca="1">+E16*B16</f>
        <v>12153.037753</v>
      </c>
      <c r="G16" s="78">
        <f ca="1">+F16-D16</f>
        <v>655.5680861016535</v>
      </c>
      <c r="H16" s="117">
        <f ca="1">+G16/D16</f>
        <v>0.05701846624471287</v>
      </c>
    </row>
    <row r="17" spans="2:8" ht="12.75">
      <c r="B17" s="80"/>
      <c r="D17" s="81"/>
      <c r="F17" s="81"/>
      <c r="G17" s="81"/>
      <c r="H17" s="119"/>
    </row>
    <row r="18" spans="1:8" ht="13.5" thickBot="1">
      <c r="A18" s="62" t="s">
        <v>77</v>
      </c>
      <c r="B18" s="95">
        <f>SUM(B10,B16)</f>
        <v>51364412</v>
      </c>
      <c r="D18" s="122">
        <f>SUM(D12,D10,D14,D16)</f>
        <v>2850180.1000118987</v>
      </c>
      <c r="F18" s="122">
        <f ca="1">SUM(F12,F10,F14,F16)</f>
        <v>2993945.585633</v>
      </c>
      <c r="G18" s="122">
        <f ca="1">SUM(G12,G10,G14,G16)</f>
        <v>143765.48562110148</v>
      </c>
      <c r="H18" s="123">
        <f ca="1">+G18/D18</f>
        <v>0.05044084253500377</v>
      </c>
    </row>
    <row r="19" ht="13.5" thickTop="1"/>
    <row r="20" ht="12.75">
      <c r="B20" s="131"/>
    </row>
    <row r="21" spans="2:7" ht="12.75">
      <c r="B21" s="75"/>
      <c r="F21" s="94"/>
      <c r="G21" s="139"/>
    </row>
    <row r="22" spans="2:7" ht="12.75">
      <c r="B22" s="166"/>
      <c r="F22" s="94"/>
      <c r="G22" s="139"/>
    </row>
    <row r="23" spans="1:6" ht="12.75">
      <c r="A23" s="83" t="s">
        <v>304</v>
      </c>
      <c r="D23" s="167">
        <v>0.9</v>
      </c>
      <c r="E23" s="97">
        <f ca="1">+E10*D23</f>
        <v>0.046778400000000005</v>
      </c>
      <c r="F23" s="114"/>
    </row>
    <row r="24" spans="1:6" ht="12.75">
      <c r="A24" s="62" t="s">
        <v>305</v>
      </c>
      <c r="D24" s="62">
        <v>12</v>
      </c>
      <c r="E24" s="140">
        <f ca="1">+D24*E12</f>
        <v>23.16</v>
      </c>
      <c r="F24" s="114"/>
    </row>
    <row r="27" ht="12.75" hidden="1"/>
    <row r="28" spans="1:6" ht="12.75" hidden="1">
      <c r="A28" s="62" t="s">
        <v>306</v>
      </c>
      <c r="D28" s="96">
        <v>2838682.630345</v>
      </c>
      <c r="F28" s="96"/>
    </row>
    <row r="29" spans="1:6" ht="12.75" hidden="1">
      <c r="A29" s="62" t="s">
        <v>306</v>
      </c>
      <c r="D29" s="94">
        <f>+D28-(D18-D16)</f>
        <v>0</v>
      </c>
      <c r="F29" s="94"/>
    </row>
    <row r="30" ht="12.75" hidden="1"/>
    <row r="32" spans="1:4" ht="12.75" hidden="1">
      <c r="A32" s="83" t="str">
        <f ca="1">+'Residential Sch 7'!$A$29</f>
        <v>Schedule 95 Effective 9-1-07</v>
      </c>
      <c r="C32" s="97">
        <f>+C14</f>
        <v>0.002768</v>
      </c>
      <c r="D32" s="96">
        <f>+C32*$B$10</f>
        <v>141605.35784</v>
      </c>
    </row>
  </sheetData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A1" sqref="A1:IV65536"/>
    </sheetView>
  </sheetViews>
  <sheetFormatPr defaultColWidth="9.140625" defaultRowHeight="12.75"/>
  <cols>
    <col min="1" max="1" width="27.8515625" style="62" bestFit="1" customWidth="1"/>
    <col min="2" max="2" width="14.00390625" style="62" bestFit="1" customWidth="1"/>
    <col min="3" max="3" width="11.8515625" style="62" bestFit="1" customWidth="1"/>
    <col min="4" max="4" width="15.00390625" style="62" bestFit="1" customWidth="1"/>
    <col min="5" max="5" width="11.421875" style="62" bestFit="1" customWidth="1"/>
    <col min="6" max="6" width="15.00390625" style="62" bestFit="1" customWidth="1"/>
    <col min="7" max="7" width="12.8515625" style="62" bestFit="1" customWidth="1"/>
    <col min="8" max="8" width="7.8515625" style="62" bestFit="1" customWidth="1"/>
    <col min="9" max="16384" width="9.140625" style="62" customWidth="1"/>
  </cols>
  <sheetData>
    <row r="1" spans="1:8" ht="12.75">
      <c r="A1" s="61" t="str">
        <f ca="1">+'Residential Sch 7'!A1</f>
        <v>Puget Sound Energy</v>
      </c>
      <c r="B1" s="61"/>
      <c r="C1" s="61"/>
      <c r="D1" s="61"/>
      <c r="E1" s="61"/>
      <c r="F1" s="61"/>
      <c r="G1" s="61"/>
      <c r="H1" s="61"/>
    </row>
    <row r="2" spans="1:8" ht="12.75">
      <c r="A2" s="61" t="str">
        <f ca="1">+'Residential Sch 7'!A2</f>
        <v>Proforma and Proposed Revenue</v>
      </c>
      <c r="B2" s="61"/>
      <c r="C2" s="61"/>
      <c r="D2" s="61"/>
      <c r="E2" s="61"/>
      <c r="F2" s="61"/>
      <c r="G2" s="61"/>
      <c r="H2" s="61"/>
    </row>
    <row r="3" spans="1:8" ht="12.75">
      <c r="A3" s="61" t="str">
        <f ca="1">+'Residential Sch 7'!$A$3</f>
        <v>Twelve Months ended September 30, 2007</v>
      </c>
      <c r="B3" s="61"/>
      <c r="C3" s="61"/>
      <c r="D3" s="61"/>
      <c r="E3" s="61"/>
      <c r="F3" s="61"/>
      <c r="G3" s="61"/>
      <c r="H3" s="61"/>
    </row>
    <row r="4" spans="1:8" ht="12.75">
      <c r="A4" s="61" t="s">
        <v>307</v>
      </c>
      <c r="B4" s="61"/>
      <c r="C4" s="61"/>
      <c r="D4" s="61"/>
      <c r="E4" s="61"/>
      <c r="F4" s="61"/>
      <c r="G4" s="61"/>
      <c r="H4" s="61"/>
    </row>
    <row r="5" spans="1:8" ht="12.75">
      <c r="A5" s="61" t="s">
        <v>308</v>
      </c>
      <c r="B5" s="61"/>
      <c r="C5" s="61"/>
      <c r="D5" s="61"/>
      <c r="E5" s="61"/>
      <c r="F5" s="61"/>
      <c r="G5" s="61"/>
      <c r="H5" s="61"/>
    </row>
    <row r="7" spans="3:8" ht="12.75">
      <c r="C7" s="101" t="str">
        <f ca="1">+'Residential Sch 7'!E7</f>
        <v>Proforma</v>
      </c>
      <c r="D7" s="102"/>
      <c r="E7" s="103" t="str">
        <f ca="1">+'Residential Sch 7'!G7</f>
        <v>Proposed</v>
      </c>
      <c r="F7" s="102"/>
      <c r="G7" s="104"/>
      <c r="H7" s="104"/>
    </row>
    <row r="8" spans="3:8" ht="12.75">
      <c r="C8" s="132" t="str">
        <f ca="1">+'Residential Sch 7'!E8</f>
        <v>Rates Effective 9-1-07</v>
      </c>
      <c r="D8" s="109"/>
      <c r="E8" s="108" t="str">
        <f ca="1">+'Residential Sch 7'!G8</f>
        <v>Rates Effective 2008</v>
      </c>
      <c r="F8" s="109"/>
      <c r="G8" s="110" t="str">
        <f ca="1">+'Residential Sch 7'!I8</f>
        <v>Differences</v>
      </c>
      <c r="H8" s="111"/>
    </row>
    <row r="9" spans="1:8" ht="12.75">
      <c r="A9" s="112"/>
      <c r="B9" s="112"/>
      <c r="C9" s="110" t="str">
        <f ca="1">+'Residential Sch 7'!E9</f>
        <v>Charge</v>
      </c>
      <c r="D9" s="111" t="str">
        <f ca="1">+'Residential Sch 7'!F9</f>
        <v>Revenue</v>
      </c>
      <c r="E9" s="113" t="str">
        <f ca="1">+'Residential Sch 7'!G9</f>
        <v>Charge</v>
      </c>
      <c r="F9" s="111" t="str">
        <f ca="1">+'Residential Sch 7'!H9</f>
        <v>Revenue</v>
      </c>
      <c r="G9" s="113" t="str">
        <f ca="1">+'Residential Sch 7'!I9</f>
        <v>$</v>
      </c>
      <c r="H9" s="111" t="str">
        <f ca="1">+'Residential Sch 7'!J9</f>
        <v>%</v>
      </c>
    </row>
    <row r="10" spans="1:8" ht="12.75">
      <c r="A10" s="83" t="s">
        <v>265</v>
      </c>
      <c r="B10" s="77">
        <v>506155235</v>
      </c>
      <c r="C10" s="97">
        <v>0.046901</v>
      </c>
      <c r="D10" s="78">
        <f>+C10*B10</f>
        <v>23739186.676735</v>
      </c>
      <c r="E10" s="97">
        <f ca="1">+'Rate Design Sch 49'!$F$8</f>
        <v>0.051976</v>
      </c>
      <c r="F10" s="78">
        <f ca="1">+E10*B10</f>
        <v>26307924.49436</v>
      </c>
      <c r="G10" s="78">
        <f ca="1">+F10-D10</f>
        <v>2568737.817625001</v>
      </c>
      <c r="H10" s="117">
        <f ca="1">+G10/D10</f>
        <v>0.10820664804588394</v>
      </c>
    </row>
    <row r="11" ht="12.75">
      <c r="B11" s="75"/>
    </row>
    <row r="12" spans="1:8" ht="12.75">
      <c r="A12" s="83" t="s">
        <v>303</v>
      </c>
      <c r="B12" s="77">
        <v>1259430.44</v>
      </c>
      <c r="C12" s="114">
        <v>3.14</v>
      </c>
      <c r="D12" s="78">
        <f>+C12*B12</f>
        <v>3954611.5816</v>
      </c>
      <c r="E12" s="114">
        <f ca="1">+'Rate Design Sch 49'!$F$13</f>
        <v>3.41</v>
      </c>
      <c r="F12" s="78">
        <f ca="1">+E12*B12</f>
        <v>4294657.8004</v>
      </c>
      <c r="G12" s="78">
        <f ca="1">+F12-D12</f>
        <v>340046.2187999999</v>
      </c>
      <c r="H12" s="117">
        <f ca="1">+G12/D12</f>
        <v>0.0859872611464968</v>
      </c>
    </row>
    <row r="13" spans="2:8" ht="12.75">
      <c r="B13" s="80"/>
      <c r="D13" s="81"/>
      <c r="F13" s="81"/>
      <c r="G13" s="81"/>
      <c r="H13" s="119"/>
    </row>
    <row r="14" spans="1:8" ht="12.75">
      <c r="A14" s="76" t="s">
        <v>252</v>
      </c>
      <c r="B14" s="77">
        <f>+B10</f>
        <v>506155235</v>
      </c>
      <c r="C14" s="97">
        <v>0.002451</v>
      </c>
      <c r="D14" s="78">
        <f>+C14*B14</f>
        <v>1240586.480985</v>
      </c>
      <c r="E14" s="97">
        <v>0</v>
      </c>
      <c r="F14" s="78">
        <f>+E14*B14</f>
        <v>0</v>
      </c>
      <c r="G14" s="78">
        <f>+F14-D14</f>
        <v>-1240586.480985</v>
      </c>
      <c r="H14" s="117">
        <f>+G14/D14</f>
        <v>-1</v>
      </c>
    </row>
    <row r="15" spans="2:8" ht="12.75">
      <c r="B15" s="80"/>
      <c r="D15" s="81"/>
      <c r="F15" s="81"/>
      <c r="G15" s="81"/>
      <c r="H15" s="119"/>
    </row>
    <row r="16" spans="1:8" ht="12.75">
      <c r="A16" s="76" t="s">
        <v>253</v>
      </c>
      <c r="B16" s="77">
        <v>1937771</v>
      </c>
      <c r="C16" s="97">
        <v>0.05748518591327201</v>
      </c>
      <c r="D16" s="78">
        <f>+C16*B16</f>
        <v>111393.12619234702</v>
      </c>
      <c r="E16" s="97">
        <f ca="1">+'Rate Design Sch 49'!$F$10</f>
        <v>0.060763</v>
      </c>
      <c r="F16" s="78">
        <f ca="1">+E16*B16</f>
        <v>117744.779273</v>
      </c>
      <c r="G16" s="78">
        <f ca="1">+F16-D16</f>
        <v>6351.653080652977</v>
      </c>
      <c r="H16" s="117">
        <f ca="1">+G16/D16</f>
        <v>0.05702015283856313</v>
      </c>
    </row>
    <row r="17" spans="2:8" ht="12.75">
      <c r="B17" s="80"/>
      <c r="D17" s="81"/>
      <c r="F17" s="81"/>
      <c r="G17" s="81"/>
      <c r="H17" s="119"/>
    </row>
    <row r="18" spans="1:8" ht="13.5" thickBot="1">
      <c r="A18" s="62" t="s">
        <v>77</v>
      </c>
      <c r="B18" s="95">
        <f>SUM(B10,B16)</f>
        <v>508093006</v>
      </c>
      <c r="D18" s="122">
        <f>SUM(D12,D10,D14,D16)</f>
        <v>29045777.865512345</v>
      </c>
      <c r="F18" s="122">
        <f ca="1">SUM(F12,F10,F14,F16)</f>
        <v>30720327.074033</v>
      </c>
      <c r="G18" s="122">
        <f ca="1">SUM(G12,G10,G14,G16)</f>
        <v>1674549.208520654</v>
      </c>
      <c r="H18" s="123">
        <f ca="1">+G18/D18</f>
        <v>0.05765206964930137</v>
      </c>
    </row>
    <row r="19" ht="13.5" thickTop="1"/>
    <row r="21" spans="1:7" ht="12.75" hidden="1">
      <c r="A21" s="62" t="s">
        <v>127</v>
      </c>
      <c r="B21" s="75"/>
      <c r="D21" s="96">
        <v>28934384.739320002</v>
      </c>
      <c r="F21" s="96">
        <f ca="1">+'Rate Design Sch 49'!$H$18</f>
        <v>33714635.574646644</v>
      </c>
      <c r="G21" s="139"/>
    </row>
    <row r="22" spans="1:7" ht="12.75" hidden="1">
      <c r="A22" s="62" t="s">
        <v>127</v>
      </c>
      <c r="B22" s="75"/>
      <c r="D22" s="94">
        <f>+D21-(D18-D16)</f>
        <v>0</v>
      </c>
      <c r="F22" s="94">
        <f ca="1">+F21-F18-'HV Sch 46'!F18</f>
        <v>362.91498064482585</v>
      </c>
      <c r="G22" s="139"/>
    </row>
    <row r="23" ht="12.75" hidden="1">
      <c r="D23" s="94"/>
    </row>
    <row r="24" ht="12.75" hidden="1"/>
    <row r="25" ht="12.75" hidden="1"/>
    <row r="26" ht="12.75" hidden="1"/>
    <row r="27" ht="12.75" hidden="1"/>
    <row r="28" spans="1:4" ht="12.75" hidden="1">
      <c r="A28" s="83" t="str">
        <f ca="1">+'Residential Sch 7'!$A$29</f>
        <v>Schedule 95 Effective 9-1-07</v>
      </c>
      <c r="C28" s="97">
        <f>+C14</f>
        <v>0.002451</v>
      </c>
      <c r="D28" s="96">
        <f>+C28*$B$10</f>
        <v>1240586.480985</v>
      </c>
    </row>
  </sheetData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:IV65536"/>
    </sheetView>
  </sheetViews>
  <sheetFormatPr defaultColWidth="9.140625" defaultRowHeight="12.75"/>
  <cols>
    <col min="1" max="1" width="23.28125" style="62" bestFit="1" customWidth="1"/>
    <col min="2" max="2" width="13.8515625" style="62" bestFit="1" customWidth="1"/>
    <col min="3" max="5" width="15.00390625" style="62" bestFit="1" customWidth="1"/>
    <col min="6" max="6" width="9.8515625" style="62" bestFit="1" customWidth="1"/>
    <col min="7" max="16384" width="9.140625" style="62" customWidth="1"/>
  </cols>
  <sheetData>
    <row r="1" spans="1:6" ht="12.75">
      <c r="A1" s="61" t="s">
        <v>0</v>
      </c>
      <c r="B1" s="61"/>
      <c r="C1" s="61"/>
      <c r="D1" s="61"/>
      <c r="E1" s="61"/>
      <c r="F1" s="61"/>
    </row>
    <row r="2" spans="1:6" ht="12.75">
      <c r="A2" s="61" t="s">
        <v>309</v>
      </c>
      <c r="B2" s="61"/>
      <c r="C2" s="61"/>
      <c r="D2" s="61"/>
      <c r="E2" s="61"/>
      <c r="F2" s="61"/>
    </row>
    <row r="3" spans="1:6" ht="12.75">
      <c r="A3" s="61" t="s">
        <v>310</v>
      </c>
      <c r="B3" s="61"/>
      <c r="C3" s="61"/>
      <c r="D3" s="61"/>
      <c r="E3" s="61"/>
      <c r="F3" s="61"/>
    </row>
    <row r="4" spans="1:6" ht="12.75">
      <c r="A4" s="61" t="str">
        <f ca="1">+'Residential Sch 7'!$A$3</f>
        <v>Twelve Months ended September 30, 2007</v>
      </c>
      <c r="B4" s="61"/>
      <c r="C4" s="61"/>
      <c r="D4" s="61"/>
      <c r="E4" s="61"/>
      <c r="F4" s="61"/>
    </row>
    <row r="7" spans="1:6" s="65" customFormat="1" ht="38.25">
      <c r="A7" s="63" t="s">
        <v>4</v>
      </c>
      <c r="B7" s="63" t="s">
        <v>5</v>
      </c>
      <c r="C7" s="64" t="s">
        <v>311</v>
      </c>
      <c r="D7" s="64" t="s">
        <v>312</v>
      </c>
      <c r="E7" s="63" t="s">
        <v>313</v>
      </c>
      <c r="F7" s="63" t="s">
        <v>223</v>
      </c>
    </row>
    <row r="8" spans="1:6" s="65" customFormat="1" ht="12.75">
      <c r="A8" s="168" t="s">
        <v>314</v>
      </c>
      <c r="B8" s="169">
        <f ca="1">+'Lighting Summary'!B8</f>
        <v>7056.72</v>
      </c>
      <c r="C8" s="170">
        <f ca="1">+'Lighting Summary'!C8</f>
        <v>568.8</v>
      </c>
      <c r="D8" s="170">
        <f ca="1">+'Lighting Summary'!D8</f>
        <v>590.4</v>
      </c>
      <c r="E8" s="171">
        <f aca="true" t="shared" si="0" ref="E8:E19">+D8-C8</f>
        <v>21.600000000000023</v>
      </c>
      <c r="F8" s="172">
        <f aca="true" t="shared" si="1" ref="F8:F21">+E8/C8</f>
        <v>0.03797468354430384</v>
      </c>
    </row>
    <row r="9" spans="1:6" ht="12.75">
      <c r="A9" s="76" t="s">
        <v>315</v>
      </c>
      <c r="B9" s="169">
        <f ca="1">+'Lighting Summary'!B9</f>
        <v>405753.12</v>
      </c>
      <c r="C9" s="170">
        <f ca="1">+'Lighting Summary'!C9</f>
        <v>12772</v>
      </c>
      <c r="D9" s="170">
        <f ca="1">+'Lighting Summary'!D9</f>
        <v>13319</v>
      </c>
      <c r="E9" s="171">
        <f ca="1" t="shared" si="0"/>
        <v>547</v>
      </c>
      <c r="F9" s="172">
        <f ca="1" t="shared" si="1"/>
        <v>0.04282806138427811</v>
      </c>
    </row>
    <row r="10" spans="1:6" ht="12.75">
      <c r="A10" s="76" t="s">
        <v>316</v>
      </c>
      <c r="B10" s="169">
        <f ca="1">+'Lighting Summary'!B10</f>
        <v>0</v>
      </c>
      <c r="C10" s="170">
        <f ca="1">+'Lighting Summary'!C10</f>
        <v>26260</v>
      </c>
      <c r="D10" s="170">
        <f ca="1">+'Lighting Summary'!D10</f>
        <v>27384</v>
      </c>
      <c r="E10" s="171">
        <f ca="1" t="shared" si="0"/>
        <v>1124</v>
      </c>
      <c r="F10" s="172">
        <f ca="1" t="shared" si="1"/>
        <v>0.042802741812642806</v>
      </c>
    </row>
    <row r="11" spans="1:6" ht="12.75">
      <c r="A11" s="83" t="s">
        <v>317</v>
      </c>
      <c r="B11" s="169">
        <f ca="1">+'Lighting Summary'!B11</f>
        <v>0</v>
      </c>
      <c r="C11" s="170">
        <f ca="1">+'Lighting Summary'!C11</f>
        <v>669570.3148896014</v>
      </c>
      <c r="D11" s="170">
        <f ca="1">+'Lighting Summary'!D11</f>
        <v>697469.0780100017</v>
      </c>
      <c r="E11" s="171">
        <f ca="1" t="shared" si="0"/>
        <v>27898.763120400254</v>
      </c>
      <c r="F11" s="172">
        <f ca="1" t="shared" si="1"/>
        <v>0.041666666666666956</v>
      </c>
    </row>
    <row r="12" spans="1:6" ht="12.75">
      <c r="A12" s="76" t="s">
        <v>318</v>
      </c>
      <c r="B12" s="169">
        <f ca="1">+'Lighting Summary'!B12</f>
        <v>8884359.386</v>
      </c>
      <c r="C12" s="170">
        <f ca="1">+'Lighting Summary'!C12</f>
        <v>846754</v>
      </c>
      <c r="D12" s="170">
        <f ca="1">+'Lighting Summary'!D12</f>
        <v>882702</v>
      </c>
      <c r="E12" s="171">
        <f ca="1" t="shared" si="0"/>
        <v>35948</v>
      </c>
      <c r="F12" s="172">
        <f ca="1" t="shared" si="1"/>
        <v>0.04245388861463896</v>
      </c>
    </row>
    <row r="13" spans="1:6" ht="12.75">
      <c r="A13" s="76" t="s">
        <v>319</v>
      </c>
      <c r="B13" s="169">
        <f ca="1">+'Lighting Summary'!B13</f>
        <v>47285571.4913</v>
      </c>
      <c r="C13" s="170">
        <f ca="1">+'Lighting Summary'!C13</f>
        <v>10851790</v>
      </c>
      <c r="D13" s="170">
        <f ca="1">+'Lighting Summary'!D13</f>
        <v>11313409</v>
      </c>
      <c r="E13" s="171">
        <f ca="1" t="shared" si="0"/>
        <v>461619</v>
      </c>
      <c r="F13" s="172">
        <f ca="1" t="shared" si="1"/>
        <v>0.042538512079573966</v>
      </c>
    </row>
    <row r="14" spans="1:6" ht="12.75">
      <c r="A14" s="83" t="s">
        <v>320</v>
      </c>
      <c r="B14" s="169">
        <f ca="1">+'Lighting Summary'!B14</f>
        <v>11434793.5232</v>
      </c>
      <c r="C14" s="170">
        <f ca="1">+'Lighting Summary'!C14</f>
        <v>1077465</v>
      </c>
      <c r="D14" s="170">
        <f ca="1">+'Lighting Summary'!D14</f>
        <v>1123259</v>
      </c>
      <c r="E14" s="171">
        <f ca="1" t="shared" si="0"/>
        <v>45794</v>
      </c>
      <c r="F14" s="172">
        <f ca="1" t="shared" si="1"/>
        <v>0.04250161258138315</v>
      </c>
    </row>
    <row r="15" spans="1:6" ht="12.75">
      <c r="A15" s="83" t="s">
        <v>321</v>
      </c>
      <c r="B15" s="169">
        <f ca="1">+'Lighting Summary'!B15</f>
        <v>4217522.1338</v>
      </c>
      <c r="C15" s="170">
        <f ca="1">+'Lighting Summary'!C15</f>
        <v>1059919</v>
      </c>
      <c r="D15" s="170">
        <f ca="1">+'Lighting Summary'!D15</f>
        <v>1105438</v>
      </c>
      <c r="E15" s="171">
        <f ca="1" t="shared" si="0"/>
        <v>45519</v>
      </c>
      <c r="F15" s="172">
        <f ca="1" t="shared" si="1"/>
        <v>0.042945734532544466</v>
      </c>
    </row>
    <row r="16" spans="1:6" ht="12.75">
      <c r="A16" s="83" t="s">
        <v>322</v>
      </c>
      <c r="B16" s="169">
        <f ca="1">+'Lighting Summary'!B16</f>
        <v>5012801.793</v>
      </c>
      <c r="C16" s="170">
        <f ca="1">+'Lighting Summary'!C16</f>
        <v>465474.44125000003</v>
      </c>
      <c r="D16" s="170">
        <f ca="1">+'Lighting Summary'!D16</f>
        <v>485321.04380000004</v>
      </c>
      <c r="E16" s="171">
        <f ca="1" t="shared" si="0"/>
        <v>19846.60255000001</v>
      </c>
      <c r="F16" s="172">
        <f ca="1" t="shared" si="1"/>
        <v>0.042637362637362654</v>
      </c>
    </row>
    <row r="17" spans="1:6" ht="12.75">
      <c r="A17" s="83" t="s">
        <v>323</v>
      </c>
      <c r="B17" s="169">
        <f ca="1">+'Lighting Summary'!B17</f>
        <v>2095409.3516</v>
      </c>
      <c r="C17" s="170">
        <f ca="1">+'Lighting Summary'!C17</f>
        <v>378369</v>
      </c>
      <c r="D17" s="170">
        <f ca="1">+'Lighting Summary'!D17</f>
        <v>394554</v>
      </c>
      <c r="E17" s="171">
        <f ca="1" t="shared" si="0"/>
        <v>16185</v>
      </c>
      <c r="F17" s="172">
        <f ca="1" t="shared" si="1"/>
        <v>0.04277570308349785</v>
      </c>
    </row>
    <row r="18" spans="1:6" ht="12.75">
      <c r="A18" s="83" t="s">
        <v>324</v>
      </c>
      <c r="B18" s="169">
        <f ca="1">+'Lighting Summary'!B18</f>
        <v>0</v>
      </c>
      <c r="C18" s="170">
        <f ca="1">+'Lighting Summary'!C18</f>
        <v>27488</v>
      </c>
      <c r="D18" s="170">
        <f ca="1">+'Lighting Summary'!D18</f>
        <v>28652</v>
      </c>
      <c r="E18" s="171">
        <f ca="1" t="shared" si="0"/>
        <v>1164</v>
      </c>
      <c r="F18" s="172">
        <f ca="1" t="shared" si="1"/>
        <v>0.04234575087310827</v>
      </c>
    </row>
    <row r="19" spans="1:6" ht="12.75">
      <c r="A19" s="62" t="s">
        <v>325</v>
      </c>
      <c r="B19" s="169">
        <f ca="1">+'Lighting Summary'!B19</f>
        <v>0</v>
      </c>
      <c r="C19" s="170">
        <f ca="1">+'Lighting Summary'!C19</f>
        <v>33883</v>
      </c>
      <c r="D19" s="170">
        <f ca="1">+'Lighting Summary'!D19</f>
        <v>35332</v>
      </c>
      <c r="E19" s="171">
        <f ca="1" t="shared" si="0"/>
        <v>1449</v>
      </c>
      <c r="F19" s="172">
        <f ca="1" t="shared" si="1"/>
        <v>0.0427648083109524</v>
      </c>
    </row>
    <row r="20" spans="1:6" ht="12.75">
      <c r="A20" s="76"/>
      <c r="B20" s="169"/>
      <c r="C20" s="170"/>
      <c r="D20" s="170"/>
      <c r="E20" s="171"/>
      <c r="F20" s="172"/>
    </row>
    <row r="21" spans="2:6" ht="12.75">
      <c r="B21" s="173">
        <f ca="1">SUM(B8:B20)</f>
        <v>79343267.5189</v>
      </c>
      <c r="C21" s="174">
        <f ca="1">SUM(C8:C20)</f>
        <v>15450313.556139601</v>
      </c>
      <c r="D21" s="174">
        <f ca="1">SUM(D8:D20)</f>
        <v>16107429.521810003</v>
      </c>
      <c r="E21" s="174">
        <f ca="1">SUM(E8:E20)</f>
        <v>657115.9656704003</v>
      </c>
      <c r="F21" s="175">
        <f ca="1" t="shared" si="1"/>
        <v>0.04253091455281679</v>
      </c>
    </row>
    <row r="22" spans="2:6" ht="12.75">
      <c r="B22" s="176"/>
      <c r="D22" s="177"/>
      <c r="E22" s="177"/>
      <c r="F22" s="178"/>
    </row>
    <row r="25" spans="3:6" ht="12.75" hidden="1">
      <c r="C25" s="96">
        <v>15450313.556139603</v>
      </c>
      <c r="F25" s="179"/>
    </row>
    <row r="26" ht="12.75" hidden="1">
      <c r="C26" s="180">
        <f ca="1">+C25-C21</f>
        <v>0</v>
      </c>
    </row>
    <row r="27" ht="12.75" hidden="1"/>
    <row r="28" ht="12.75" hidden="1"/>
  </sheetData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A1" sqref="A1:IV65536"/>
    </sheetView>
  </sheetViews>
  <sheetFormatPr defaultColWidth="9.140625" defaultRowHeight="12.75"/>
  <cols>
    <col min="1" max="1" width="32.57421875" style="62" customWidth="1"/>
    <col min="2" max="2" width="10.28125" style="62" bestFit="1" customWidth="1"/>
    <col min="3" max="3" width="11.28125" style="62" bestFit="1" customWidth="1"/>
    <col min="4" max="4" width="10.28125" style="62" bestFit="1" customWidth="1"/>
    <col min="5" max="5" width="11.28125" style="62" bestFit="1" customWidth="1"/>
    <col min="6" max="6" width="9.7109375" style="62" bestFit="1" customWidth="1"/>
    <col min="7" max="7" width="10.7109375" style="62" bestFit="1" customWidth="1"/>
    <col min="8" max="8" width="10.28125" style="62" bestFit="1" customWidth="1"/>
    <col min="9" max="9" width="9.28125" style="62" bestFit="1" customWidth="1"/>
    <col min="10" max="10" width="5.8515625" style="62" bestFit="1" customWidth="1"/>
    <col min="11" max="16384" width="9.140625" style="62" customWidth="1"/>
  </cols>
  <sheetData>
    <row r="1" spans="1:10" ht="12.75">
      <c r="A1" s="61" t="str">
        <f ca="1">+'Residential Sch 7'!A1</f>
        <v>Puget Sound Energy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 t="str">
        <f ca="1">+'Residential Sch 7'!A2</f>
        <v>Proforma and Proposed Revenue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tr">
        <f ca="1">+'Residential Sch 7'!A3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1" t="s">
        <v>230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2.75">
      <c r="A5" s="61"/>
      <c r="B5" s="61"/>
      <c r="C5" s="61"/>
      <c r="D5" s="61"/>
      <c r="E5" s="61"/>
      <c r="F5" s="61"/>
      <c r="G5" s="61"/>
      <c r="H5" s="61"/>
      <c r="I5" s="61"/>
      <c r="J5" s="61"/>
    </row>
    <row r="7" spans="2:10" ht="12.75">
      <c r="B7" s="98" t="s">
        <v>238</v>
      </c>
      <c r="C7" s="99"/>
      <c r="D7" s="100"/>
      <c r="E7" s="101" t="str">
        <f ca="1">+'Residential Sch 7'!E7</f>
        <v>Proforma</v>
      </c>
      <c r="F7" s="102"/>
      <c r="G7" s="103" t="str">
        <f ca="1">+'Residential Sch 7'!G7</f>
        <v>Proposed</v>
      </c>
      <c r="H7" s="102"/>
      <c r="I7" s="104"/>
      <c r="J7" s="104"/>
    </row>
    <row r="8" spans="3:10" ht="12.75">
      <c r="C8" s="93" t="s">
        <v>239</v>
      </c>
      <c r="D8" s="105"/>
      <c r="E8" s="132" t="str">
        <f ca="1">+'Residential Sch 7'!E8</f>
        <v>Rates Effective 9-1-07</v>
      </c>
      <c r="F8" s="109"/>
      <c r="G8" s="181" t="s">
        <v>326</v>
      </c>
      <c r="H8" s="109"/>
      <c r="I8" s="110" t="str">
        <f ca="1">+'Residential Sch 7'!I8</f>
        <v>Differences</v>
      </c>
      <c r="J8" s="111"/>
    </row>
    <row r="9" spans="1:10" ht="12.75">
      <c r="A9" s="112"/>
      <c r="B9" s="112"/>
      <c r="C9" s="112" t="s">
        <v>243</v>
      </c>
      <c r="D9" s="112" t="s">
        <v>244</v>
      </c>
      <c r="E9" s="110" t="str">
        <f ca="1">+'Residential Sch 7'!E9</f>
        <v>Charge</v>
      </c>
      <c r="F9" s="111" t="str">
        <f ca="1">+'Residential Sch 7'!F9</f>
        <v>Revenue</v>
      </c>
      <c r="G9" s="113" t="str">
        <f ca="1">+'Residential Sch 7'!G9</f>
        <v>Charge</v>
      </c>
      <c r="H9" s="111" t="str">
        <f ca="1">+'Residential Sch 7'!H9</f>
        <v>Revenue</v>
      </c>
      <c r="I9" s="113" t="str">
        <f ca="1">+'Residential Sch 7'!I9</f>
        <v>$</v>
      </c>
      <c r="J9" s="111" t="str">
        <f ca="1">+'Residential Sch 7'!J9</f>
        <v>%</v>
      </c>
    </row>
    <row r="10" spans="1:8" ht="13.5" thickBot="1">
      <c r="A10" s="83" t="s">
        <v>265</v>
      </c>
      <c r="B10" s="95">
        <v>7737868</v>
      </c>
      <c r="C10" s="95">
        <v>-85172</v>
      </c>
      <c r="D10" s="95">
        <f>+C10+B10</f>
        <v>7652696</v>
      </c>
      <c r="E10" s="97">
        <v>0.03514</v>
      </c>
      <c r="F10" s="87">
        <f>+E10*D10</f>
        <v>268915.73744</v>
      </c>
      <c r="G10" s="97">
        <f>+E10</f>
        <v>0.03514</v>
      </c>
      <c r="H10" s="87">
        <f>+G10*D10</f>
        <v>268915.73744</v>
      </c>
    </row>
    <row r="11" spans="2:4" ht="13.5" thickTop="1">
      <c r="B11" s="75"/>
      <c r="C11" s="75"/>
      <c r="D11" s="75"/>
    </row>
    <row r="12" spans="1:8" ht="13.5" thickBot="1">
      <c r="A12" s="83" t="s">
        <v>268</v>
      </c>
      <c r="B12" s="95">
        <v>16414.74</v>
      </c>
      <c r="C12" s="95"/>
      <c r="D12" s="95">
        <f>+C12+B12</f>
        <v>16414.74</v>
      </c>
      <c r="E12" s="114">
        <v>5.25</v>
      </c>
      <c r="F12" s="87">
        <f>+E12*D12</f>
        <v>86177.38500000001</v>
      </c>
      <c r="G12" s="114">
        <f>+E12</f>
        <v>5.25</v>
      </c>
      <c r="H12" s="87">
        <f>+G12*D12</f>
        <v>86177.38500000001</v>
      </c>
    </row>
    <row r="13" spans="2:8" ht="13.5" thickTop="1">
      <c r="B13" s="80"/>
      <c r="C13" s="80"/>
      <c r="D13" s="80"/>
      <c r="F13" s="81"/>
      <c r="H13" s="81"/>
    </row>
    <row r="14" spans="1:8" ht="13.5" thickBot="1">
      <c r="A14" s="83" t="s">
        <v>269</v>
      </c>
      <c r="B14" s="182">
        <v>2446340</v>
      </c>
      <c r="C14" s="182"/>
      <c r="D14" s="95">
        <f>+C14+B14</f>
        <v>2446340</v>
      </c>
      <c r="E14" s="135">
        <v>0.00025</v>
      </c>
      <c r="F14" s="87">
        <f>+E14*D14</f>
        <v>611.585</v>
      </c>
      <c r="G14" s="135">
        <f>+E14</f>
        <v>0.00025</v>
      </c>
      <c r="H14" s="87">
        <f>+G14*D14</f>
        <v>611.585</v>
      </c>
    </row>
    <row r="15" spans="2:4" ht="13.5" thickTop="1">
      <c r="B15" s="75"/>
      <c r="C15" s="75"/>
      <c r="D15" s="75"/>
    </row>
    <row r="16" spans="1:8" ht="13.5" thickBot="1">
      <c r="A16" s="83" t="s">
        <v>327</v>
      </c>
      <c r="B16" s="75"/>
      <c r="C16" s="75"/>
      <c r="D16" s="75"/>
      <c r="G16" s="97">
        <f ca="1">ROUND(+'Rate Spread'!$I$30/'Rate Spread'!$C$30,6)-0</f>
        <v>0.002187</v>
      </c>
      <c r="H16" s="87">
        <f ca="1">+G16*D10</f>
        <v>16736.446152</v>
      </c>
    </row>
    <row r="17" spans="2:4" ht="13.5" thickTop="1">
      <c r="B17" s="75"/>
      <c r="C17" s="75"/>
      <c r="D17" s="75"/>
    </row>
    <row r="18" spans="1:10" ht="13.5" thickBot="1">
      <c r="A18" s="62" t="s">
        <v>77</v>
      </c>
      <c r="F18" s="122">
        <f>SUM(F10:F15)</f>
        <v>355704.70744</v>
      </c>
      <c r="H18" s="122">
        <f ca="1">SUM(H10:H16)</f>
        <v>372441.153592</v>
      </c>
      <c r="I18" s="122">
        <f ca="1">+H18-F18</f>
        <v>16736.44615199999</v>
      </c>
      <c r="J18" s="123">
        <f ca="1">+I18/F18</f>
        <v>0.047051517176851194</v>
      </c>
    </row>
    <row r="19" ht="13.5" thickTop="1"/>
    <row r="20" spans="1:6" ht="12.75" hidden="1">
      <c r="A20" s="62" t="s">
        <v>127</v>
      </c>
      <c r="F20" s="94">
        <v>355704.79591999995</v>
      </c>
    </row>
    <row r="21" spans="4:9" ht="12.75" hidden="1">
      <c r="D21" s="75"/>
      <c r="F21" s="94">
        <f>+F18-F20</f>
        <v>-0.08847999991849065</v>
      </c>
      <c r="H21" s="94"/>
      <c r="I21" s="97"/>
    </row>
    <row r="22" spans="4:9" ht="12.75">
      <c r="D22" s="75"/>
      <c r="H22" s="94"/>
      <c r="I22" s="97"/>
    </row>
    <row r="25" ht="12.75">
      <c r="F25" s="96"/>
    </row>
    <row r="26" ht="12.75">
      <c r="F26" s="94"/>
    </row>
  </sheetData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8">
      <selection activeCell="A18" sqref="A1:IV65536"/>
    </sheetView>
  </sheetViews>
  <sheetFormatPr defaultColWidth="9.140625" defaultRowHeight="12.75"/>
  <cols>
    <col min="1" max="1" width="29.8515625" style="62" bestFit="1" customWidth="1"/>
    <col min="2" max="2" width="14.00390625" style="62" bestFit="1" customWidth="1"/>
    <col min="3" max="3" width="11.7109375" style="62" bestFit="1" customWidth="1"/>
    <col min="4" max="4" width="13.28125" style="62" bestFit="1" customWidth="1"/>
    <col min="5" max="5" width="11.28125" style="62" bestFit="1" customWidth="1"/>
    <col min="6" max="6" width="13.28125" style="62" bestFit="1" customWidth="1"/>
    <col min="7" max="7" width="11.8515625" style="62" bestFit="1" customWidth="1"/>
    <col min="8" max="8" width="11.28125" style="62" bestFit="1" customWidth="1"/>
    <col min="9" max="16384" width="9.140625" style="62" customWidth="1"/>
  </cols>
  <sheetData>
    <row r="1" spans="1:8" ht="12.75">
      <c r="A1" s="61" t="str">
        <f ca="1">+'Residential Sch 7'!A1</f>
        <v>Puget Sound Energy</v>
      </c>
      <c r="B1" s="61"/>
      <c r="C1" s="61"/>
      <c r="D1" s="61"/>
      <c r="E1" s="61"/>
      <c r="F1" s="61"/>
      <c r="G1" s="61"/>
      <c r="H1" s="61"/>
    </row>
    <row r="2" spans="1:8" ht="12.75">
      <c r="A2" s="61" t="str">
        <f ca="1">+'Residential Sch 7'!A2</f>
        <v>Proforma and Proposed Revenue</v>
      </c>
      <c r="B2" s="61"/>
      <c r="C2" s="61"/>
      <c r="D2" s="61"/>
      <c r="E2" s="61"/>
      <c r="F2" s="61"/>
      <c r="G2" s="61"/>
      <c r="H2" s="61"/>
    </row>
    <row r="3" spans="1:8" ht="12.75">
      <c r="A3" s="61" t="str">
        <f ca="1">+'Residential Sch 7'!A3</f>
        <v>Twelve Months ended September 30, 2007</v>
      </c>
      <c r="B3" s="61"/>
      <c r="C3" s="61"/>
      <c r="D3" s="61"/>
      <c r="E3" s="61"/>
      <c r="F3" s="61"/>
      <c r="G3" s="61"/>
      <c r="H3" s="61"/>
    </row>
    <row r="4" spans="1:8" ht="12.75">
      <c r="A4" s="61" t="s">
        <v>328</v>
      </c>
      <c r="B4" s="61"/>
      <c r="C4" s="61"/>
      <c r="D4" s="61"/>
      <c r="E4" s="61"/>
      <c r="F4" s="61"/>
      <c r="G4" s="61"/>
      <c r="H4" s="61"/>
    </row>
    <row r="5" spans="1:8" ht="12.75">
      <c r="A5" s="61" t="s">
        <v>40</v>
      </c>
      <c r="B5" s="61"/>
      <c r="C5" s="61"/>
      <c r="D5" s="61"/>
      <c r="E5" s="61"/>
      <c r="F5" s="61"/>
      <c r="G5" s="61"/>
      <c r="H5" s="61"/>
    </row>
    <row r="7" spans="3:8" ht="12.75">
      <c r="C7" s="101" t="str">
        <f ca="1">+'Residential Sch 7'!E7</f>
        <v>Proforma</v>
      </c>
      <c r="D7" s="102"/>
      <c r="E7" s="103" t="str">
        <f ca="1">+'Residential Sch 7'!G7</f>
        <v>Proposed</v>
      </c>
      <c r="F7" s="102"/>
      <c r="G7" s="104"/>
      <c r="H7" s="104"/>
    </row>
    <row r="8" spans="3:8" ht="12.75">
      <c r="C8" s="132" t="str">
        <f ca="1">+'Residential Sch 7'!E8</f>
        <v>Rates Effective 9-1-07</v>
      </c>
      <c r="D8" s="109"/>
      <c r="E8" s="108" t="str">
        <f ca="1">+'Residential Sch 7'!G8</f>
        <v>Rates Effective 2008</v>
      </c>
      <c r="F8" s="109"/>
      <c r="G8" s="110" t="str">
        <f ca="1">+'Residential Sch 7'!I8</f>
        <v>Differences</v>
      </c>
      <c r="H8" s="111"/>
    </row>
    <row r="9" spans="1:8" ht="12.75">
      <c r="A9" s="112"/>
      <c r="B9" s="112"/>
      <c r="C9" s="110" t="str">
        <f ca="1">+'Residential Sch 7'!E9</f>
        <v>Charge</v>
      </c>
      <c r="D9" s="111" t="str">
        <f ca="1">+'Residential Sch 7'!F9</f>
        <v>Revenue</v>
      </c>
      <c r="E9" s="113" t="str">
        <f ca="1">+'Residential Sch 7'!G9</f>
        <v>Charge</v>
      </c>
      <c r="F9" s="111" t="str">
        <f ca="1">+'Residential Sch 7'!H9</f>
        <v>Revenue</v>
      </c>
      <c r="G9" s="113" t="str">
        <f ca="1">+'Residential Sch 7'!I9</f>
        <v>$</v>
      </c>
      <c r="H9" s="111" t="str">
        <f ca="1">+'Residential Sch 7'!J9</f>
        <v>%</v>
      </c>
    </row>
    <row r="10" spans="1:10" ht="12.75">
      <c r="A10" s="183" t="s">
        <v>329</v>
      </c>
      <c r="B10" s="105"/>
      <c r="C10" s="108"/>
      <c r="D10" s="108"/>
      <c r="E10" s="108"/>
      <c r="F10" s="108"/>
      <c r="G10" s="108"/>
      <c r="H10" s="108"/>
      <c r="I10" s="108"/>
      <c r="J10" s="108"/>
    </row>
    <row r="11" spans="1:8" ht="12.75">
      <c r="A11" s="70" t="s">
        <v>5</v>
      </c>
      <c r="B11" s="75">
        <v>117759347</v>
      </c>
      <c r="C11" s="140"/>
      <c r="D11" s="81"/>
      <c r="E11" s="115"/>
      <c r="F11" s="81"/>
      <c r="G11" s="138"/>
      <c r="H11" s="119"/>
    </row>
    <row r="12" spans="1:8" ht="12.75">
      <c r="A12" s="70" t="s">
        <v>330</v>
      </c>
      <c r="B12" s="137">
        <v>24</v>
      </c>
      <c r="C12" s="114">
        <v>709</v>
      </c>
      <c r="D12" s="81">
        <f>+C12*B12</f>
        <v>17016</v>
      </c>
      <c r="E12" s="115">
        <f ca="1">+'Rate Design Sch 449'!$E$8</f>
        <v>1075</v>
      </c>
      <c r="F12" s="81">
        <f ca="1">+E12*B12</f>
        <v>25800</v>
      </c>
      <c r="G12" s="138">
        <f ca="1">+F12-D12</f>
        <v>8784</v>
      </c>
      <c r="H12" s="119">
        <f ca="1">+G12/D12</f>
        <v>0.5162200282087447</v>
      </c>
    </row>
    <row r="13" spans="1:8" ht="12.75">
      <c r="A13" s="70" t="s">
        <v>331</v>
      </c>
      <c r="B13" s="118">
        <v>209738</v>
      </c>
      <c r="C13" s="184">
        <v>3.999</v>
      </c>
      <c r="D13" s="81">
        <f>+C13*B13</f>
        <v>838742.262</v>
      </c>
      <c r="E13" s="185">
        <f ca="1">+'Rate Design Sch 449'!$E$14</f>
        <v>4.101999999999999</v>
      </c>
      <c r="F13" s="81">
        <f ca="1">+E13*B13</f>
        <v>860345.2759999998</v>
      </c>
      <c r="G13" s="138">
        <f ca="1">+F13-D13</f>
        <v>21603.01399999985</v>
      </c>
      <c r="H13" s="119">
        <f ca="1">+G13/D13</f>
        <v>0.025756439109777266</v>
      </c>
    </row>
    <row r="14" spans="1:8" ht="13.5" thickBot="1">
      <c r="A14" s="186" t="s">
        <v>332</v>
      </c>
      <c r="D14" s="122">
        <f>SUM(D12:D13)</f>
        <v>855758.262</v>
      </c>
      <c r="F14" s="122">
        <f ca="1">SUM(F12:F13)</f>
        <v>886145.2759999998</v>
      </c>
      <c r="G14" s="122">
        <f ca="1">SUM(G12:G13)</f>
        <v>30387.01399999985</v>
      </c>
      <c r="H14" s="123">
        <f ca="1">+G14/D14</f>
        <v>0.035508875986756</v>
      </c>
    </row>
    <row r="15" ht="13.5" thickTop="1">
      <c r="D15" s="94"/>
    </row>
    <row r="16" spans="1:8" ht="12.75">
      <c r="A16" s="183" t="s">
        <v>333</v>
      </c>
      <c r="B16" s="105"/>
      <c r="C16" s="108"/>
      <c r="D16" s="108"/>
      <c r="E16" s="108"/>
      <c r="F16" s="108"/>
      <c r="G16" s="108"/>
      <c r="H16" s="108"/>
    </row>
    <row r="17" spans="1:8" ht="12.75">
      <c r="A17" s="70" t="s">
        <v>5</v>
      </c>
      <c r="B17" s="75">
        <v>1640214172</v>
      </c>
      <c r="C17" s="140"/>
      <c r="D17" s="81"/>
      <c r="E17" s="115"/>
      <c r="F17" s="81"/>
      <c r="G17" s="138"/>
      <c r="H17" s="119"/>
    </row>
    <row r="18" spans="1:8" ht="12.75">
      <c r="A18" s="70" t="s">
        <v>330</v>
      </c>
      <c r="B18" s="137">
        <v>168</v>
      </c>
      <c r="C18" s="114">
        <v>709</v>
      </c>
      <c r="D18" s="81">
        <f>+C18*B18</f>
        <v>119112</v>
      </c>
      <c r="E18" s="115">
        <f ca="1">+'Rate Design Sch 449'!$E$9</f>
        <v>1075</v>
      </c>
      <c r="F18" s="81">
        <f ca="1">+E18*B18</f>
        <v>180600</v>
      </c>
      <c r="G18" s="138">
        <f ca="1">+F18-D18</f>
        <v>61488</v>
      </c>
      <c r="H18" s="119">
        <f ca="1">+G18/D18</f>
        <v>0.5162200282087447</v>
      </c>
    </row>
    <row r="19" spans="1:8" ht="12.75">
      <c r="A19" s="70" t="s">
        <v>331</v>
      </c>
      <c r="B19" s="118">
        <v>2928917</v>
      </c>
      <c r="C19" s="184">
        <v>1.532</v>
      </c>
      <c r="D19" s="81">
        <f>+C19*B19-1022</f>
        <v>4486078.8440000005</v>
      </c>
      <c r="E19" s="185">
        <f ca="1">+'Rate Design Sch 449'!$E$15</f>
        <v>1.641</v>
      </c>
      <c r="F19" s="81">
        <f ca="1">+E19*B19</f>
        <v>4806352.797</v>
      </c>
      <c r="G19" s="138">
        <f ca="1">+F19-D19</f>
        <v>320273.95299999975</v>
      </c>
      <c r="H19" s="119">
        <f ca="1">+G19/D19</f>
        <v>0.07139284977756394</v>
      </c>
    </row>
    <row r="20" spans="1:8" ht="13.5" thickBot="1">
      <c r="A20" s="186" t="s">
        <v>334</v>
      </c>
      <c r="D20" s="122">
        <f>SUM(D18:D19)</f>
        <v>4605190.8440000005</v>
      </c>
      <c r="F20" s="122">
        <f ca="1">SUM(F18:F19)</f>
        <v>4986952.797</v>
      </c>
      <c r="G20" s="122">
        <f ca="1">SUM(G18:G19)</f>
        <v>381761.95299999975</v>
      </c>
      <c r="H20" s="123">
        <f ca="1">+G20/D20</f>
        <v>0.08289818292707431</v>
      </c>
    </row>
    <row r="21" spans="1:8" ht="13.5" thickTop="1">
      <c r="A21" s="186"/>
      <c r="D21" s="138"/>
      <c r="F21" s="138"/>
      <c r="G21" s="138"/>
      <c r="H21" s="119"/>
    </row>
    <row r="22" spans="1:8" ht="12.75">
      <c r="A22" s="76" t="s">
        <v>204</v>
      </c>
      <c r="C22" s="97"/>
      <c r="D22" s="120">
        <v>2727171.9066523993</v>
      </c>
      <c r="E22" s="97"/>
      <c r="F22" s="120">
        <f>+D22</f>
        <v>2727171.9066523993</v>
      </c>
      <c r="G22" s="120">
        <f>+F22-D22</f>
        <v>0</v>
      </c>
      <c r="H22" s="117">
        <f>+G22/D22</f>
        <v>0</v>
      </c>
    </row>
    <row r="24" spans="1:8" ht="12.75">
      <c r="A24" s="76" t="s">
        <v>253</v>
      </c>
      <c r="B24" s="77">
        <f>+B35</f>
        <v>19025846</v>
      </c>
      <c r="C24" s="97">
        <f>+D24/B24</f>
        <v>-0.004643472884201838</v>
      </c>
      <c r="D24" s="120">
        <f>+D35</f>
        <v>-88346</v>
      </c>
      <c r="E24" s="97">
        <f ca="1">+F24/B24</f>
        <v>-0.004908</v>
      </c>
      <c r="F24" s="120">
        <f ca="1">SUM('Rate Design Sch 449'!$G$22:$G$23)</f>
        <v>-93378.852168</v>
      </c>
      <c r="G24" s="120">
        <f ca="1">+F24-D24</f>
        <v>-5032.852167999998</v>
      </c>
      <c r="H24" s="117">
        <f ca="1">+G24/D24</f>
        <v>0.05696751599393292</v>
      </c>
    </row>
    <row r="26" spans="1:8" ht="13.5" thickBot="1">
      <c r="A26" s="62" t="s">
        <v>335</v>
      </c>
      <c r="B26" s="95">
        <f>SUM(B24,B17,B11)</f>
        <v>1776999365</v>
      </c>
      <c r="D26" s="122">
        <f>+D20+D14+D24+D22</f>
        <v>8099775.0126524</v>
      </c>
      <c r="F26" s="122">
        <f ca="1">+F20+F14+F24+F22</f>
        <v>8506891.1274844</v>
      </c>
      <c r="G26" s="122">
        <f ca="1">+G20+G14+G24+G22</f>
        <v>407116.1148319996</v>
      </c>
      <c r="H26" s="123">
        <f ca="1">+G26/D26</f>
        <v>0.050262644850759</v>
      </c>
    </row>
    <row r="27" ht="13.5" thickTop="1">
      <c r="B27" s="75"/>
    </row>
    <row r="28" spans="4:8" ht="13.5" thickBot="1">
      <c r="D28" s="94">
        <f ca="1">+D26+'Sch 459'!D20</f>
        <v>8667087.28415802</v>
      </c>
      <c r="F28" s="94">
        <f ca="1">+F26+'Sch 459'!F20</f>
        <v>9161515.889286019</v>
      </c>
      <c r="G28" s="94">
        <f ca="1">+G26+'Sch 459'!G20</f>
        <v>494428.60512799956</v>
      </c>
      <c r="H28" s="123">
        <f ca="1">+G28/D28</f>
        <v>0.057046685803168504</v>
      </c>
    </row>
    <row r="29" ht="13.5" thickTop="1">
      <c r="D29" s="96"/>
    </row>
    <row r="30" ht="12.75" hidden="1">
      <c r="D30" s="94">
        <f ca="1">+D20+'Sch 459'!D14</f>
        <v>5579857.86</v>
      </c>
    </row>
    <row r="31" ht="12.75" hidden="1"/>
    <row r="32" ht="12.75" hidden="1"/>
    <row r="33" spans="1:8" ht="12.75" hidden="1">
      <c r="A33" s="62" t="s">
        <v>336</v>
      </c>
      <c r="B33" s="118">
        <v>1218729</v>
      </c>
      <c r="D33" s="118">
        <v>-5659</v>
      </c>
      <c r="F33" s="118">
        <f ca="1">+E24*B33</f>
        <v>-5981.521932</v>
      </c>
      <c r="H33" s="94"/>
    </row>
    <row r="34" spans="1:6" ht="12.75" hidden="1">
      <c r="A34" s="62" t="s">
        <v>337</v>
      </c>
      <c r="B34" s="118">
        <v>17807117</v>
      </c>
      <c r="D34" s="118">
        <v>-82687</v>
      </c>
      <c r="F34" s="118">
        <f ca="1">+E24*B34</f>
        <v>-87397.330236</v>
      </c>
    </row>
    <row r="35" spans="2:6" ht="12.75" hidden="1">
      <c r="B35" s="75">
        <f>SUM(B33:B34)</f>
        <v>19025846</v>
      </c>
      <c r="D35" s="75">
        <f>SUM(D33:D34)</f>
        <v>-88346</v>
      </c>
      <c r="F35" s="75">
        <f ca="1">SUM(F33:F34)</f>
        <v>-93378.852168</v>
      </c>
    </row>
    <row r="36" ht="12.75" hidden="1">
      <c r="D36" s="75">
        <f ca="1">+D35+'Sch 459'!D18</f>
        <v>-105327</v>
      </c>
    </row>
    <row r="37" ht="12.75" hidden="1"/>
    <row r="38" ht="12.75" hidden="1">
      <c r="D38" s="94"/>
    </row>
    <row r="39" ht="12.75" hidden="1">
      <c r="D39" s="94">
        <f>+D14+D33</f>
        <v>850099.262</v>
      </c>
    </row>
    <row r="40" spans="4:5" ht="12.75" hidden="1">
      <c r="D40" s="94">
        <f ca="1">+D20+D24+'Sch 459'!D16+'Sch 459'!D14</f>
        <v>5101138.115505621</v>
      </c>
      <c r="E40" s="94"/>
    </row>
    <row r="41" spans="2:4" ht="12.75" hidden="1">
      <c r="B41" s="75">
        <f ca="1">+B34+B17+'Sch 459'!B20</f>
        <v>1995979051</v>
      </c>
      <c r="D41" s="94">
        <f ca="1">+D22+'Sch 459'!D16</f>
        <v>2336798.1621580194</v>
      </c>
    </row>
    <row r="42" ht="12.75" hidden="1">
      <c r="D42" s="94">
        <f ca="1">SUM(D39:D41)</f>
        <v>8288035.539663641</v>
      </c>
    </row>
  </sheetData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A20" sqref="A20"/>
    </sheetView>
  </sheetViews>
  <sheetFormatPr defaultColWidth="9.140625" defaultRowHeight="12.75"/>
  <cols>
    <col min="1" max="1" width="29.8515625" style="62" bestFit="1" customWidth="1"/>
    <col min="2" max="2" width="14.00390625" style="62" bestFit="1" customWidth="1"/>
    <col min="3" max="3" width="11.7109375" style="62" bestFit="1" customWidth="1"/>
    <col min="4" max="4" width="13.28125" style="62" bestFit="1" customWidth="1"/>
    <col min="5" max="5" width="11.28125" style="62" bestFit="1" customWidth="1"/>
    <col min="6" max="6" width="13.28125" style="62" bestFit="1" customWidth="1"/>
    <col min="7" max="7" width="11.8515625" style="62" bestFit="1" customWidth="1"/>
    <col min="8" max="8" width="7.8515625" style="62" bestFit="1" customWidth="1"/>
    <col min="9" max="16384" width="9.140625" style="62" customWidth="1"/>
  </cols>
  <sheetData>
    <row r="1" spans="1:8" ht="12.75">
      <c r="A1" s="61" t="str">
        <f ca="1">+'Residential Sch 7'!A1</f>
        <v>Puget Sound Energy</v>
      </c>
      <c r="B1" s="61"/>
      <c r="C1" s="61"/>
      <c r="D1" s="61"/>
      <c r="E1" s="61"/>
      <c r="F1" s="61"/>
      <c r="G1" s="61"/>
      <c r="H1" s="61"/>
    </row>
    <row r="2" spans="1:8" ht="12.75">
      <c r="A2" s="61" t="str">
        <f ca="1">+'Residential Sch 7'!A2</f>
        <v>Proforma and Proposed Revenue</v>
      </c>
      <c r="B2" s="61"/>
      <c r="C2" s="61"/>
      <c r="D2" s="61"/>
      <c r="E2" s="61"/>
      <c r="F2" s="61"/>
      <c r="G2" s="61"/>
      <c r="H2" s="61"/>
    </row>
    <row r="3" spans="1:8" ht="12.75">
      <c r="A3" s="61" t="str">
        <f ca="1">+'Residential Sch 7'!A3</f>
        <v>Twelve Months ended September 30, 2007</v>
      </c>
      <c r="B3" s="61"/>
      <c r="C3" s="61"/>
      <c r="D3" s="61"/>
      <c r="E3" s="61"/>
      <c r="F3" s="61"/>
      <c r="G3" s="61"/>
      <c r="H3" s="61"/>
    </row>
    <row r="4" spans="1:8" ht="12.75">
      <c r="A4" s="61" t="s">
        <v>338</v>
      </c>
      <c r="B4" s="61"/>
      <c r="C4" s="61"/>
      <c r="D4" s="61"/>
      <c r="E4" s="61"/>
      <c r="F4" s="61"/>
      <c r="G4" s="61"/>
      <c r="H4" s="61"/>
    </row>
    <row r="5" spans="1:8" ht="12.75">
      <c r="A5" s="61" t="s">
        <v>339</v>
      </c>
      <c r="B5" s="61"/>
      <c r="C5" s="61"/>
      <c r="D5" s="61"/>
      <c r="E5" s="61"/>
      <c r="F5" s="61"/>
      <c r="G5" s="61"/>
      <c r="H5" s="61"/>
    </row>
    <row r="7" spans="3:8" ht="12.75">
      <c r="C7" s="101" t="str">
        <f ca="1">+'Residential Sch 7'!E7</f>
        <v>Proforma</v>
      </c>
      <c r="D7" s="102"/>
      <c r="E7" s="103" t="str">
        <f ca="1">+'Residential Sch 7'!G7</f>
        <v>Proposed</v>
      </c>
      <c r="F7" s="102"/>
      <c r="G7" s="104"/>
      <c r="H7" s="104"/>
    </row>
    <row r="8" spans="3:8" ht="12.75">
      <c r="C8" s="132" t="str">
        <f ca="1">+'Residential Sch 7'!E8</f>
        <v>Rates Effective 9-1-07</v>
      </c>
      <c r="D8" s="109"/>
      <c r="E8" s="108" t="str">
        <f ca="1">+'Residential Sch 7'!G8</f>
        <v>Rates Effective 2008</v>
      </c>
      <c r="F8" s="109"/>
      <c r="G8" s="110" t="str">
        <f ca="1">+'Residential Sch 7'!I8</f>
        <v>Differences</v>
      </c>
      <c r="H8" s="111"/>
    </row>
    <row r="9" spans="1:8" ht="12.75">
      <c r="A9" s="112"/>
      <c r="B9" s="112"/>
      <c r="C9" s="110" t="str">
        <f ca="1">+'Residential Sch 7'!E9</f>
        <v>Charge</v>
      </c>
      <c r="D9" s="111" t="str">
        <f ca="1">+'Residential Sch 7'!F9</f>
        <v>Revenue</v>
      </c>
      <c r="E9" s="113" t="str">
        <f ca="1">+'Residential Sch 7'!G9</f>
        <v>Charge</v>
      </c>
      <c r="F9" s="111" t="str">
        <f ca="1">+'Residential Sch 7'!H9</f>
        <v>Revenue</v>
      </c>
      <c r="G9" s="113" t="str">
        <f ca="1">+'Residential Sch 7'!I9</f>
        <v>$</v>
      </c>
      <c r="H9" s="111" t="str">
        <f ca="1">+'Residential Sch 7'!J9</f>
        <v>%</v>
      </c>
    </row>
    <row r="10" spans="1:8" ht="12.75">
      <c r="A10" s="183" t="s">
        <v>333</v>
      </c>
      <c r="B10" s="105"/>
      <c r="C10" s="108"/>
      <c r="D10" s="108"/>
      <c r="E10" s="108"/>
      <c r="F10" s="108"/>
      <c r="G10" s="108"/>
      <c r="H10" s="108"/>
    </row>
    <row r="11" spans="1:8" ht="12.75">
      <c r="A11" s="70" t="s">
        <v>5</v>
      </c>
      <c r="B11" s="75">
        <v>334300824</v>
      </c>
      <c r="C11" s="140"/>
      <c r="D11" s="81"/>
      <c r="E11" s="115"/>
      <c r="F11" s="81"/>
      <c r="G11" s="138"/>
      <c r="H11" s="119"/>
    </row>
    <row r="12" spans="1:8" ht="12.75">
      <c r="A12" s="70" t="s">
        <v>330</v>
      </c>
      <c r="B12" s="137">
        <v>60</v>
      </c>
      <c r="C12" s="115">
        <v>709</v>
      </c>
      <c r="D12" s="81">
        <f>+C12*B12</f>
        <v>42540</v>
      </c>
      <c r="E12" s="115">
        <f ca="1">+'Rate Design Sch 449'!$E$10</f>
        <v>1075</v>
      </c>
      <c r="F12" s="81">
        <f ca="1">+E12*B12</f>
        <v>64500</v>
      </c>
      <c r="G12" s="138">
        <f ca="1">+F12-D12</f>
        <v>21960</v>
      </c>
      <c r="H12" s="119">
        <f ca="1">+G12/D12</f>
        <v>0.5162200282087447</v>
      </c>
    </row>
    <row r="13" spans="1:8" ht="12.75">
      <c r="A13" s="70" t="s">
        <v>340</v>
      </c>
      <c r="B13" s="118">
        <v>608438</v>
      </c>
      <c r="C13" s="185">
        <v>1.532</v>
      </c>
      <c r="D13" s="81">
        <f>+C13*B13</f>
        <v>932127.0160000001</v>
      </c>
      <c r="E13" s="185">
        <f ca="1">+'Rate Design Sch 449'!$E$16</f>
        <v>1.641</v>
      </c>
      <c r="F13" s="81">
        <f ca="1">+E13*B13</f>
        <v>998446.758</v>
      </c>
      <c r="G13" s="138">
        <f ca="1">+F13-D13</f>
        <v>66319.74199999997</v>
      </c>
      <c r="H13" s="119">
        <f ca="1">+G13/D13</f>
        <v>0.07114882506527412</v>
      </c>
    </row>
    <row r="14" spans="1:8" ht="13.5" thickBot="1">
      <c r="A14" s="186" t="s">
        <v>334</v>
      </c>
      <c r="D14" s="122">
        <f>SUM(D12:D13)</f>
        <v>974667.0160000001</v>
      </c>
      <c r="F14" s="122">
        <f ca="1">SUM(F12:F13)</f>
        <v>1062946.758</v>
      </c>
      <c r="G14" s="122">
        <f ca="1">SUM(G12:G13)</f>
        <v>88279.74199999997</v>
      </c>
      <c r="H14" s="123">
        <f ca="1">+G14/D14</f>
        <v>0.09057425823467075</v>
      </c>
    </row>
    <row r="15" ht="13.5" thickTop="1"/>
    <row r="16" spans="1:8" ht="12.75">
      <c r="A16" s="76" t="s">
        <v>204</v>
      </c>
      <c r="C16" s="97"/>
      <c r="D16" s="120">
        <v>-390373.74449437996</v>
      </c>
      <c r="E16" s="97"/>
      <c r="F16" s="120">
        <f>+D16</f>
        <v>-390373.74449437996</v>
      </c>
      <c r="G16" s="120">
        <f>+F16-D16</f>
        <v>0</v>
      </c>
      <c r="H16" s="117">
        <f>+G16/D16</f>
        <v>0</v>
      </c>
    </row>
    <row r="18" spans="1:8" ht="13.5" thickBot="1">
      <c r="A18" s="76" t="s">
        <v>253</v>
      </c>
      <c r="B18" s="77">
        <v>3656938</v>
      </c>
      <c r="C18" s="97">
        <f>+D18/B18</f>
        <v>-0.0046435022961833095</v>
      </c>
      <c r="D18" s="122">
        <v>-16981</v>
      </c>
      <c r="E18" s="97">
        <f ca="1">+F18/B18</f>
        <v>-0.004907999999999999</v>
      </c>
      <c r="F18" s="122">
        <f ca="1">+'Rate Design Sch 449'!$G$24</f>
        <v>-17948.251704</v>
      </c>
      <c r="G18" s="122">
        <f ca="1">+F18-D18</f>
        <v>-967.2517039999984</v>
      </c>
      <c r="H18" s="123">
        <f ca="1">+G18/D18</f>
        <v>0.05696082115305332</v>
      </c>
    </row>
    <row r="19" ht="13.5" thickTop="1"/>
    <row r="20" spans="1:8" ht="13.5" thickBot="1">
      <c r="A20" s="83" t="s">
        <v>482</v>
      </c>
      <c r="B20" s="95">
        <f>SUM(B11,B18)</f>
        <v>337957762</v>
      </c>
      <c r="D20" s="122">
        <f>SUM(D18,D14,D16)</f>
        <v>567312.2715056201</v>
      </c>
      <c r="F20" s="122">
        <f ca="1">SUM(F18,F14,F16)</f>
        <v>654624.7618016199</v>
      </c>
      <c r="G20" s="122">
        <f ca="1">SUM(G18,G14,G16)</f>
        <v>87312.49029599997</v>
      </c>
      <c r="H20" s="123">
        <f ca="1">+G20/D20</f>
        <v>0.15390552026007956</v>
      </c>
    </row>
    <row r="21" ht="13.5" thickTop="1">
      <c r="B21" s="75"/>
    </row>
    <row r="22" ht="12.75">
      <c r="D22" s="94"/>
    </row>
    <row r="23" ht="12.75">
      <c r="D23" s="96"/>
    </row>
  </sheetData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A1" sqref="A1:IV65536"/>
    </sheetView>
  </sheetViews>
  <sheetFormatPr defaultColWidth="9.140625" defaultRowHeight="12.75"/>
  <cols>
    <col min="1" max="1" width="47.140625" style="62" bestFit="1" customWidth="1"/>
    <col min="2" max="2" width="12.28125" style="62" bestFit="1" customWidth="1"/>
    <col min="3" max="3" width="10.7109375" style="62" bestFit="1" customWidth="1"/>
    <col min="4" max="4" width="11.28125" style="62" bestFit="1" customWidth="1"/>
    <col min="5" max="5" width="10.7109375" style="62" bestFit="1" customWidth="1"/>
    <col min="6" max="6" width="11.28125" style="62" bestFit="1" customWidth="1"/>
    <col min="7" max="7" width="9.7109375" style="62" bestFit="1" customWidth="1"/>
    <col min="8" max="8" width="6.28125" style="62" bestFit="1" customWidth="1"/>
    <col min="9" max="16384" width="9.140625" style="62" customWidth="1"/>
  </cols>
  <sheetData>
    <row r="1" spans="1:8" ht="12.75">
      <c r="A1" s="61" t="str">
        <f ca="1">+'Residential Sch 7'!A1</f>
        <v>Puget Sound Energy</v>
      </c>
      <c r="B1" s="61"/>
      <c r="C1" s="61"/>
      <c r="D1" s="61"/>
      <c r="E1" s="61"/>
      <c r="F1" s="61"/>
      <c r="G1" s="61"/>
      <c r="H1" s="61"/>
    </row>
    <row r="2" spans="1:8" ht="12.75">
      <c r="A2" s="61" t="str">
        <f ca="1">+'Residential Sch 7'!A2</f>
        <v>Proforma and Proposed Revenue</v>
      </c>
      <c r="B2" s="61"/>
      <c r="C2" s="61"/>
      <c r="D2" s="61"/>
      <c r="E2" s="61"/>
      <c r="F2" s="61"/>
      <c r="G2" s="61"/>
      <c r="H2" s="61"/>
    </row>
    <row r="3" spans="1:8" ht="12.75">
      <c r="A3" s="61" t="str">
        <f ca="1">+'Residential Sch 7'!A3</f>
        <v>Twelve Months ended September 30, 2007</v>
      </c>
      <c r="B3" s="61"/>
      <c r="C3" s="61"/>
      <c r="D3" s="61"/>
      <c r="E3" s="61"/>
      <c r="F3" s="61"/>
      <c r="G3" s="61"/>
      <c r="H3" s="61"/>
    </row>
    <row r="4" spans="1:8" ht="12.75">
      <c r="A4" s="61" t="s">
        <v>341</v>
      </c>
      <c r="B4" s="61"/>
      <c r="C4" s="61"/>
      <c r="D4" s="61"/>
      <c r="E4" s="61"/>
      <c r="F4" s="61"/>
      <c r="G4" s="61"/>
      <c r="H4" s="61"/>
    </row>
    <row r="5" spans="1:8" ht="12.75">
      <c r="A5" s="61"/>
      <c r="B5" s="61"/>
      <c r="C5" s="61"/>
      <c r="D5" s="61"/>
      <c r="E5" s="61"/>
      <c r="F5" s="61"/>
      <c r="G5" s="61"/>
      <c r="H5" s="61"/>
    </row>
    <row r="7" spans="2:8" ht="12.75">
      <c r="B7" s="100"/>
      <c r="C7" s="101" t="str">
        <f ca="1">+'Residential Sch 7'!E7</f>
        <v>Proforma</v>
      </c>
      <c r="D7" s="102"/>
      <c r="E7" s="103" t="str">
        <f ca="1">+'Residential Sch 7'!G7</f>
        <v>Proposed</v>
      </c>
      <c r="F7" s="102"/>
      <c r="G7" s="104"/>
      <c r="H7" s="104"/>
    </row>
    <row r="8" spans="2:8" ht="12.75">
      <c r="B8" s="105"/>
      <c r="C8" s="132" t="str">
        <f ca="1">+'Residential Sch 7'!E8</f>
        <v>Rates Effective 9-1-07</v>
      </c>
      <c r="D8" s="109"/>
      <c r="E8" s="181" t="s">
        <v>326</v>
      </c>
      <c r="F8" s="109"/>
      <c r="G8" s="110" t="str">
        <f ca="1">+'Residential Sch 7'!I8</f>
        <v>Differences</v>
      </c>
      <c r="H8" s="111"/>
    </row>
    <row r="9" spans="1:8" ht="12.75">
      <c r="A9" s="112"/>
      <c r="B9" s="112" t="s">
        <v>244</v>
      </c>
      <c r="C9" s="110" t="str">
        <f ca="1">+'Residential Sch 7'!E9</f>
        <v>Charge</v>
      </c>
      <c r="D9" s="111" t="str">
        <f ca="1">+'Residential Sch 7'!F9</f>
        <v>Revenue</v>
      </c>
      <c r="E9" s="113" t="str">
        <f ca="1">+'Residential Sch 7'!G9</f>
        <v>Charge</v>
      </c>
      <c r="F9" s="111" t="str">
        <f ca="1">+'Residential Sch 7'!H9</f>
        <v>Revenue</v>
      </c>
      <c r="G9" s="113" t="str">
        <f ca="1">+'Residential Sch 7'!I9</f>
        <v>$</v>
      </c>
      <c r="H9" s="111" t="str">
        <f ca="1">+'Residential Sch 7'!J9</f>
        <v>%</v>
      </c>
    </row>
    <row r="10" spans="1:6" ht="13.5" thickBot="1">
      <c r="A10" s="83" t="s">
        <v>265</v>
      </c>
      <c r="B10" s="95">
        <v>147863815</v>
      </c>
      <c r="C10" s="97"/>
      <c r="D10" s="87">
        <v>786676.7</v>
      </c>
      <c r="E10" s="97"/>
      <c r="F10" s="87">
        <f>+D10</f>
        <v>786676.7</v>
      </c>
    </row>
    <row r="11" ht="13.5" thickTop="1">
      <c r="B11" s="75"/>
    </row>
    <row r="12" spans="1:6" ht="13.5" thickBot="1">
      <c r="A12" s="83" t="s">
        <v>327</v>
      </c>
      <c r="B12" s="75"/>
      <c r="C12" s="75"/>
      <c r="D12" s="75"/>
      <c r="E12" s="97">
        <f ca="1">+'Small Firm Resale'!G16</f>
        <v>0.002187</v>
      </c>
      <c r="F12" s="87">
        <f ca="1">+E12*B10</f>
        <v>323378.163405</v>
      </c>
    </row>
    <row r="13" ht="13.5" thickTop="1">
      <c r="B13" s="75"/>
    </row>
    <row r="14" spans="1:8" ht="13.5" thickBot="1">
      <c r="A14" s="62" t="s">
        <v>77</v>
      </c>
      <c r="D14" s="122">
        <f>+D10</f>
        <v>786676.7</v>
      </c>
      <c r="F14" s="122">
        <f ca="1">SUM(F10:F12)</f>
        <v>1110054.863405</v>
      </c>
      <c r="G14" s="122">
        <f ca="1">+F14-D14</f>
        <v>323378.163405</v>
      </c>
      <c r="H14" s="123">
        <f ca="1">+G14/D14</f>
        <v>0.41106869366411897</v>
      </c>
    </row>
    <row r="15" ht="13.5" thickTop="1"/>
    <row r="16" spans="1:4" ht="12.75">
      <c r="A16" s="62" t="s">
        <v>127</v>
      </c>
      <c r="D16" s="94">
        <v>786676.7</v>
      </c>
    </row>
    <row r="17" spans="2:7" ht="12.75">
      <c r="B17" s="75"/>
      <c r="D17" s="94">
        <f>+D14-D16</f>
        <v>0</v>
      </c>
      <c r="F17" s="94"/>
      <c r="G17" s="97"/>
    </row>
    <row r="18" spans="2:7" ht="12.75">
      <c r="B18" s="75"/>
      <c r="F18" s="94"/>
      <c r="G18" s="97"/>
    </row>
    <row r="19" spans="1:6" ht="12.75">
      <c r="A19" s="83" t="s">
        <v>342</v>
      </c>
      <c r="D19" s="94">
        <f ca="1">+'Small Firm Resale'!F18</f>
        <v>355704.70744</v>
      </c>
      <c r="F19" s="94">
        <f ca="1">+'Small Firm Resale'!H18</f>
        <v>372441.153592</v>
      </c>
    </row>
    <row r="20" spans="1:6" ht="12.75">
      <c r="A20" s="83" t="s">
        <v>343</v>
      </c>
      <c r="D20" s="94">
        <f ca="1">+D19+D14</f>
        <v>1142381.40744</v>
      </c>
      <c r="F20" s="94">
        <f ca="1">+F19+F14</f>
        <v>1482496.016997</v>
      </c>
    </row>
    <row r="21" spans="1:4" ht="12.75">
      <c r="A21" s="83"/>
      <c r="D21" s="118"/>
    </row>
    <row r="31" ht="12" customHeight="1"/>
  </sheetData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4">
      <selection activeCell="D8" sqref="D8"/>
    </sheetView>
  </sheetViews>
  <sheetFormatPr defaultColWidth="9.140625" defaultRowHeight="12.75"/>
  <cols>
    <col min="1" max="1" width="27.421875" style="62" bestFit="1" customWidth="1"/>
    <col min="2" max="2" width="13.8515625" style="62" bestFit="1" customWidth="1"/>
    <col min="3" max="3" width="14.8515625" style="62" bestFit="1" customWidth="1"/>
    <col min="4" max="4" width="12.28125" style="62" bestFit="1" customWidth="1"/>
    <col min="5" max="5" width="12.8515625" style="62" bestFit="1" customWidth="1"/>
    <col min="6" max="6" width="12.28125" style="62" bestFit="1" customWidth="1"/>
    <col min="7" max="7" width="9.140625" style="62" customWidth="1"/>
    <col min="8" max="8" width="12.28125" style="62" hidden="1" customWidth="1"/>
    <col min="9" max="9" width="10.7109375" style="62" hidden="1" customWidth="1"/>
    <col min="10" max="16384" width="9.140625" style="62" customWidth="1"/>
  </cols>
  <sheetData>
    <row r="1" spans="1:6" ht="12.75">
      <c r="A1" s="61" t="s">
        <v>0</v>
      </c>
      <c r="B1" s="61"/>
      <c r="C1" s="61"/>
      <c r="D1" s="61"/>
      <c r="E1" s="61"/>
      <c r="F1" s="61"/>
    </row>
    <row r="2" spans="1:6" ht="12.75">
      <c r="A2" s="61" t="s">
        <v>309</v>
      </c>
      <c r="B2" s="61"/>
      <c r="C2" s="61"/>
      <c r="D2" s="61"/>
      <c r="E2" s="61"/>
      <c r="F2" s="61"/>
    </row>
    <row r="3" spans="1:6" ht="12.75">
      <c r="A3" s="61" t="s">
        <v>310</v>
      </c>
      <c r="B3" s="61"/>
      <c r="C3" s="61"/>
      <c r="D3" s="61"/>
      <c r="E3" s="61"/>
      <c r="F3" s="61"/>
    </row>
    <row r="4" spans="1:6" ht="12.75">
      <c r="A4" s="61" t="s">
        <v>1</v>
      </c>
      <c r="B4" s="61"/>
      <c r="C4" s="61"/>
      <c r="D4" s="61"/>
      <c r="E4" s="61"/>
      <c r="F4" s="61"/>
    </row>
    <row r="7" spans="1:9" s="65" customFormat="1" ht="38.25">
      <c r="A7" s="63" t="s">
        <v>4</v>
      </c>
      <c r="B7" s="63" t="s">
        <v>5</v>
      </c>
      <c r="C7" s="64" t="s">
        <v>311</v>
      </c>
      <c r="D7" s="64" t="s">
        <v>312</v>
      </c>
      <c r="E7" s="63" t="s">
        <v>313</v>
      </c>
      <c r="F7" s="63" t="s">
        <v>223</v>
      </c>
      <c r="H7" s="64" t="s">
        <v>344</v>
      </c>
      <c r="I7" s="64" t="s">
        <v>345</v>
      </c>
    </row>
    <row r="8" spans="1:8" s="65" customFormat="1" ht="12.75">
      <c r="A8" s="168" t="s">
        <v>314</v>
      </c>
      <c r="B8" s="169">
        <v>7056.72</v>
      </c>
      <c r="C8" s="187">
        <f ca="1">+'Schedule 003'!I10</f>
        <v>568.8</v>
      </c>
      <c r="D8" s="187">
        <f ca="1">+'Schedule 003'!J10</f>
        <v>590.4</v>
      </c>
      <c r="E8" s="171">
        <f ca="1">+D8-C8</f>
        <v>21.600000000000023</v>
      </c>
      <c r="F8" s="188">
        <f ca="1">+E8/C8</f>
        <v>0.03797468354430384</v>
      </c>
      <c r="H8" s="171">
        <f ca="1">+'Schedule 003'!I16</f>
        <v>21.599999999999998</v>
      </c>
    </row>
    <row r="9" spans="1:8" ht="12.75">
      <c r="A9" s="76" t="s">
        <v>315</v>
      </c>
      <c r="B9" s="169">
        <v>405753.12</v>
      </c>
      <c r="C9" s="171">
        <f ca="1">SUM('Schedule 50'!I12)</f>
        <v>12772</v>
      </c>
      <c r="D9" s="171">
        <f ca="1">SUM('Schedule 50'!J12)</f>
        <v>13319</v>
      </c>
      <c r="E9" s="171">
        <f aca="true" t="shared" si="0" ref="E9:E19">+D9-C9</f>
        <v>547</v>
      </c>
      <c r="F9" s="188">
        <f aca="true" t="shared" si="1" ref="F9:F19">+E9/C9</f>
        <v>0.04282806138427811</v>
      </c>
      <c r="H9" s="171">
        <f ca="1">+'Schedule 50'!I26</f>
        <v>1353.1200000000001</v>
      </c>
    </row>
    <row r="10" spans="1:8" ht="12.75">
      <c r="A10" s="76" t="s">
        <v>316</v>
      </c>
      <c r="B10" s="169"/>
      <c r="C10" s="171">
        <f ca="1">SUM('Schedule 50'!I19)</f>
        <v>26260</v>
      </c>
      <c r="D10" s="171">
        <f ca="1">SUM('Schedule 50'!J19)</f>
        <v>27384</v>
      </c>
      <c r="E10" s="171">
        <f ca="1" t="shared" si="0"/>
        <v>1124</v>
      </c>
      <c r="F10" s="188">
        <f ca="1" t="shared" si="1"/>
        <v>0.042802741812642806</v>
      </c>
      <c r="H10" s="171"/>
    </row>
    <row r="11" spans="1:8" ht="12.75">
      <c r="A11" s="83" t="s">
        <v>317</v>
      </c>
      <c r="B11" s="169"/>
      <c r="C11" s="171">
        <f ca="1">+'Schedule 52 O&amp;M'!E8</f>
        <v>669570.3148896014</v>
      </c>
      <c r="D11" s="171">
        <f ca="1">+'Schedule 52 O&amp;M'!F8</f>
        <v>697469.0780100017</v>
      </c>
      <c r="E11" s="171">
        <f ca="1" t="shared" si="0"/>
        <v>27898.763120400254</v>
      </c>
      <c r="F11" s="188">
        <f ca="1" t="shared" si="1"/>
        <v>0.041666666666666956</v>
      </c>
      <c r="H11" s="171"/>
    </row>
    <row r="12" spans="1:8" ht="12.75">
      <c r="A12" s="76" t="s">
        <v>318</v>
      </c>
      <c r="B12" s="169">
        <v>8884359.386</v>
      </c>
      <c r="C12" s="171">
        <f ca="1">+'Schedule 52'!I25</f>
        <v>846754</v>
      </c>
      <c r="D12" s="171">
        <f ca="1">+'Schedule 52'!J25</f>
        <v>882702</v>
      </c>
      <c r="E12" s="171">
        <f ca="1" t="shared" si="0"/>
        <v>35948</v>
      </c>
      <c r="F12" s="188">
        <f ca="1" t="shared" si="1"/>
        <v>0.04245388861463896</v>
      </c>
      <c r="H12" s="171">
        <f ca="1">+'Schedule 52'!I31</f>
        <v>30460.799999999996</v>
      </c>
    </row>
    <row r="13" spans="1:8" ht="12.75">
      <c r="A13" s="76" t="s">
        <v>319</v>
      </c>
      <c r="B13" s="169">
        <v>47285571.4913</v>
      </c>
      <c r="C13" s="171">
        <f ca="1">SUM('Schedule 53'!I35)</f>
        <v>10851790</v>
      </c>
      <c r="D13" s="171">
        <f ca="1">SUM('Schedule 53'!J35)</f>
        <v>11313409</v>
      </c>
      <c r="E13" s="171">
        <f ca="1" t="shared" si="0"/>
        <v>461619</v>
      </c>
      <c r="F13" s="188">
        <f ca="1" t="shared" si="1"/>
        <v>0.042538512079573966</v>
      </c>
      <c r="H13" s="171">
        <f ca="1">+'Schedule 53'!I42</f>
        <v>175582.44</v>
      </c>
    </row>
    <row r="14" spans="1:8" ht="12.75">
      <c r="A14" s="83" t="s">
        <v>320</v>
      </c>
      <c r="B14" s="169">
        <v>11434793.5232</v>
      </c>
      <c r="C14" s="171">
        <f ca="1">SUM('Schedule 54'!I18)</f>
        <v>1077465</v>
      </c>
      <c r="D14" s="171">
        <f ca="1">SUM('Schedule 54'!J18)</f>
        <v>1123259</v>
      </c>
      <c r="E14" s="171">
        <f ca="1" t="shared" si="0"/>
        <v>45794</v>
      </c>
      <c r="F14" s="188">
        <f ca="1" t="shared" si="1"/>
        <v>0.04250161258138315</v>
      </c>
      <c r="H14" s="171">
        <f ca="1">+'Schedule 54'!I24</f>
        <v>38056.92</v>
      </c>
    </row>
    <row r="15" spans="1:8" ht="12.75">
      <c r="A15" s="83" t="s">
        <v>321</v>
      </c>
      <c r="B15" s="169">
        <v>4217522.1338</v>
      </c>
      <c r="C15" s="171">
        <f ca="1">+'Schedules 55 &amp; 56'!I17</f>
        <v>1059919</v>
      </c>
      <c r="D15" s="171">
        <f ca="1">+'Schedules 55 &amp; 56'!J17</f>
        <v>1105438</v>
      </c>
      <c r="E15" s="171">
        <f ca="1" t="shared" si="0"/>
        <v>45519</v>
      </c>
      <c r="F15" s="188">
        <f ca="1" t="shared" si="1"/>
        <v>0.042945734532544466</v>
      </c>
      <c r="H15" s="171">
        <f ca="1">+'Schedules 55 &amp; 56'!I23</f>
        <v>15139.2</v>
      </c>
    </row>
    <row r="16" spans="1:8" ht="12.75">
      <c r="A16" s="83" t="s">
        <v>322</v>
      </c>
      <c r="B16" s="169">
        <v>5012801.793</v>
      </c>
      <c r="C16" s="171">
        <f ca="1">+'Schedule 57'!G9</f>
        <v>465474.44125000003</v>
      </c>
      <c r="D16" s="171">
        <f ca="1">+'Schedule 57'!H9</f>
        <v>485321.04380000004</v>
      </c>
      <c r="E16" s="171">
        <f ca="1" t="shared" si="0"/>
        <v>19846.60255000001</v>
      </c>
      <c r="F16" s="188">
        <f ca="1" t="shared" si="1"/>
        <v>0.042637362637362654</v>
      </c>
      <c r="H16" s="171">
        <f ca="1">+'Schedule 57'!G15</f>
        <v>16572.936149999998</v>
      </c>
    </row>
    <row r="17" spans="1:8" ht="12.75">
      <c r="A17" s="83" t="s">
        <v>323</v>
      </c>
      <c r="B17" s="169">
        <v>2095409.3516</v>
      </c>
      <c r="C17" s="171">
        <f ca="1">+'Schedules 58 &amp; 59'!J30</f>
        <v>378369</v>
      </c>
      <c r="D17" s="171">
        <f ca="1">+'Schedules 58 &amp; 59'!K30</f>
        <v>394554</v>
      </c>
      <c r="E17" s="171">
        <f ca="1" t="shared" si="0"/>
        <v>16185</v>
      </c>
      <c r="F17" s="188">
        <f ca="1" t="shared" si="1"/>
        <v>0.04277570308349785</v>
      </c>
      <c r="H17" s="171">
        <f ca="1">+'Schedules 58 &amp; 59'!J36</f>
        <v>7433.64</v>
      </c>
    </row>
    <row r="18" spans="1:8" ht="12.75">
      <c r="A18" s="83" t="s">
        <v>324</v>
      </c>
      <c r="B18" s="189"/>
      <c r="C18" s="171">
        <f ca="1">+Poles!E8</f>
        <v>27488</v>
      </c>
      <c r="D18" s="171">
        <f ca="1">+Poles!F8</f>
        <v>28652</v>
      </c>
      <c r="E18" s="171">
        <f ca="1" t="shared" si="0"/>
        <v>1164</v>
      </c>
      <c r="F18" s="188">
        <f ca="1" t="shared" si="1"/>
        <v>0.04234575087310827</v>
      </c>
      <c r="H18" s="171"/>
    </row>
    <row r="19" spans="1:8" ht="12.75">
      <c r="A19" s="62" t="s">
        <v>325</v>
      </c>
      <c r="B19" s="189"/>
      <c r="C19" s="171">
        <f ca="1">+Poles!E13</f>
        <v>33883</v>
      </c>
      <c r="D19" s="171">
        <f ca="1">+Poles!F13</f>
        <v>35332</v>
      </c>
      <c r="E19" s="171">
        <f ca="1" t="shared" si="0"/>
        <v>1449</v>
      </c>
      <c r="F19" s="188">
        <f ca="1" t="shared" si="1"/>
        <v>0.0427648083109524</v>
      </c>
      <c r="H19" s="171"/>
    </row>
    <row r="20" spans="1:8" ht="12.75">
      <c r="A20" s="76"/>
      <c r="B20" s="189"/>
      <c r="C20" s="171"/>
      <c r="D20" s="171"/>
      <c r="E20" s="171"/>
      <c r="F20" s="188"/>
      <c r="H20" s="171"/>
    </row>
    <row r="21" spans="2:9" ht="13.5" thickBot="1">
      <c r="B21" s="190">
        <f>SUM(B8:B19)</f>
        <v>79343267.5189</v>
      </c>
      <c r="C21" s="191">
        <f ca="1">SUM(C8:C20)</f>
        <v>15450313.556139601</v>
      </c>
      <c r="D21" s="191">
        <f ca="1">SUM(D8:D20)</f>
        <v>16107429.521810003</v>
      </c>
      <c r="E21" s="191">
        <f ca="1">SUM(E8:E20)</f>
        <v>657115.9656704003</v>
      </c>
      <c r="F21" s="192">
        <f ca="1">+E21/C21</f>
        <v>0.04253091455281679</v>
      </c>
      <c r="H21" s="191">
        <f ca="1">SUM(H8:H19)</f>
        <v>284620.65615000005</v>
      </c>
      <c r="I21" s="193">
        <f ca="1">+H21/B21</f>
        <v>0.0035872061367046904</v>
      </c>
    </row>
    <row r="22" spans="2:6" ht="13.5" thickTop="1">
      <c r="B22" s="176"/>
      <c r="D22" s="177"/>
      <c r="E22" s="177"/>
      <c r="F22" s="188"/>
    </row>
    <row r="23" spans="1:8" ht="12.75">
      <c r="A23" s="83"/>
      <c r="B23" s="176"/>
      <c r="C23" s="194"/>
      <c r="D23" s="177"/>
      <c r="E23" s="177"/>
      <c r="F23" s="195"/>
      <c r="H23" s="180">
        <f ca="1">+C21-H21</f>
        <v>15165692.899989601</v>
      </c>
    </row>
    <row r="24" spans="1:5" ht="12.75">
      <c r="A24" s="62" t="str">
        <f ca="1">+'Schedule 003'!$A$14</f>
        <v>Proposed Increase</v>
      </c>
      <c r="E24" s="171">
        <f ca="1">+'Rate Spread'!$I$28</f>
        <v>660721.7915082661</v>
      </c>
    </row>
    <row r="25" spans="1:6" ht="12.75">
      <c r="A25" s="76" t="s">
        <v>346</v>
      </c>
      <c r="B25" s="196"/>
      <c r="C25" s="171"/>
      <c r="D25" s="195"/>
      <c r="E25" s="177">
        <f ca="1">+E24-E21</f>
        <v>3605.825837865821</v>
      </c>
      <c r="F25" s="197"/>
    </row>
    <row r="26" ht="12.75">
      <c r="E26" s="188">
        <f ca="1">+E24/C21</f>
        <v>0.04276429660197481</v>
      </c>
    </row>
    <row r="27" spans="2:3" ht="12.75">
      <c r="B27" s="166"/>
      <c r="C27" s="96"/>
    </row>
    <row r="28" ht="12.75">
      <c r="C28" s="131"/>
    </row>
    <row r="29" spans="2:3" ht="12.75">
      <c r="B29" s="131"/>
      <c r="C29" s="131"/>
    </row>
  </sheetData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75" zoomScaleNormal="75" workbookViewId="0" topLeftCell="A1">
      <pane xSplit="2" ySplit="6" topLeftCell="C7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D12" sqref="D12"/>
    </sheetView>
  </sheetViews>
  <sheetFormatPr defaultColWidth="9.140625" defaultRowHeight="12.75"/>
  <cols>
    <col min="1" max="1" width="36.421875" style="62" bestFit="1" customWidth="1"/>
    <col min="2" max="2" width="8.7109375" style="62" bestFit="1" customWidth="1"/>
    <col min="3" max="3" width="17.7109375" style="62" bestFit="1" customWidth="1"/>
    <col min="4" max="4" width="18.7109375" style="62" bestFit="1" customWidth="1"/>
    <col min="5" max="5" width="15.00390625" style="62" bestFit="1" customWidth="1"/>
    <col min="6" max="6" width="13.7109375" style="62" customWidth="1"/>
    <col min="7" max="8" width="14.00390625" style="62" bestFit="1" customWidth="1"/>
    <col min="9" max="9" width="10.28125" style="62" bestFit="1" customWidth="1"/>
    <col min="10" max="10" width="9.140625" style="62" customWidth="1"/>
    <col min="11" max="11" width="16.00390625" style="62" bestFit="1" customWidth="1"/>
    <col min="12" max="16384" width="9.140625" style="62" customWidth="1"/>
  </cols>
  <sheetData>
    <row r="1" spans="1:9" ht="12.7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1" t="s">
        <v>217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61" t="s">
        <v>1</v>
      </c>
      <c r="B3" s="61"/>
      <c r="C3" s="61"/>
      <c r="D3" s="61"/>
      <c r="E3" s="61"/>
      <c r="F3" s="61"/>
      <c r="G3" s="61"/>
      <c r="H3" s="61"/>
      <c r="I3" s="61"/>
    </row>
    <row r="4" spans="1:9" ht="12.75">
      <c r="A4" s="61"/>
      <c r="B4" s="61"/>
      <c r="C4" s="61"/>
      <c r="D4" s="61"/>
      <c r="E4" s="61"/>
      <c r="F4" s="61"/>
      <c r="G4" s="61"/>
      <c r="H4" s="61"/>
      <c r="I4" s="61"/>
    </row>
    <row r="5" spans="1:9" ht="12.75">
      <c r="A5" s="61"/>
      <c r="B5" s="61"/>
      <c r="C5" s="61"/>
      <c r="D5" s="61"/>
      <c r="E5" s="61"/>
      <c r="F5" s="61"/>
      <c r="G5" s="61"/>
      <c r="H5" s="61"/>
      <c r="I5" s="61"/>
    </row>
    <row r="6" spans="1:9" s="65" customFormat="1" ht="38.25">
      <c r="A6" s="63" t="s">
        <v>3</v>
      </c>
      <c r="B6" s="63" t="s">
        <v>4</v>
      </c>
      <c r="C6" s="63" t="s">
        <v>5</v>
      </c>
      <c r="D6" s="64" t="s">
        <v>218</v>
      </c>
      <c r="E6" s="64" t="s">
        <v>219</v>
      </c>
      <c r="F6" s="64" t="s">
        <v>220</v>
      </c>
      <c r="G6" s="64" t="s">
        <v>221</v>
      </c>
      <c r="H6" s="63" t="s">
        <v>222</v>
      </c>
      <c r="I6" s="64" t="s">
        <v>223</v>
      </c>
    </row>
    <row r="7" spans="1:9" s="65" customFormat="1" ht="12.75">
      <c r="A7" s="66" t="s">
        <v>25</v>
      </c>
      <c r="B7" s="67"/>
      <c r="C7" s="67"/>
      <c r="D7" s="68"/>
      <c r="E7" s="69"/>
      <c r="F7" s="68"/>
      <c r="G7" s="68"/>
      <c r="H7" s="68"/>
      <c r="I7" s="68"/>
    </row>
    <row r="8" spans="1:12" ht="12.75">
      <c r="A8" s="70" t="str">
        <f ca="1">+'Residential Sch 7'!A4</f>
        <v>Residential</v>
      </c>
      <c r="B8" s="71">
        <v>7</v>
      </c>
      <c r="C8" s="72">
        <f ca="1">+'Residential Sch 7'!D22</f>
        <v>10688799626.4513</v>
      </c>
      <c r="D8" s="73">
        <f ca="1">+'Residential Sch 7'!F22</f>
        <v>984090382.6754009</v>
      </c>
      <c r="E8" s="73">
        <f ca="1">+'Residential Sch 7'!H22</f>
        <v>1054230080.9229009</v>
      </c>
      <c r="F8" s="73">
        <f ca="1">+E8-D8</f>
        <v>70139698.24750006</v>
      </c>
      <c r="G8" s="73"/>
      <c r="H8" s="73"/>
      <c r="I8" s="74"/>
      <c r="L8" s="75"/>
    </row>
    <row r="9" spans="1:9" ht="12.75">
      <c r="A9" s="76" t="s">
        <v>224</v>
      </c>
      <c r="C9" s="77">
        <f ca="1">SUM(C8:C8)</f>
        <v>10688799626.4513</v>
      </c>
      <c r="D9" s="78">
        <f ca="1">SUM(D8:D8)</f>
        <v>984090382.6754009</v>
      </c>
      <c r="E9" s="78">
        <f ca="1">SUM(E8:E8)</f>
        <v>1054230080.9229009</v>
      </c>
      <c r="F9" s="78">
        <f ca="1">SUM(F8:F8)</f>
        <v>70139698.24750006</v>
      </c>
      <c r="G9" s="78">
        <f ca="1">+'Rate Spread'!I9</f>
        <v>70139888.34646957</v>
      </c>
      <c r="H9" s="78">
        <f ca="1">+G9-F9</f>
        <v>190.09896950423717</v>
      </c>
      <c r="I9" s="79">
        <f ca="1">+F9/D9</f>
        <v>0.07127363449769168</v>
      </c>
    </row>
    <row r="10" spans="3:9" ht="12.75">
      <c r="C10" s="80"/>
      <c r="D10" s="81"/>
      <c r="E10" s="81"/>
      <c r="F10" s="81"/>
      <c r="G10" s="81"/>
      <c r="H10" s="81"/>
      <c r="I10" s="74"/>
    </row>
    <row r="11" spans="1:9" ht="12.75">
      <c r="A11" s="62" t="s">
        <v>26</v>
      </c>
      <c r="C11" s="80"/>
      <c r="D11" s="81"/>
      <c r="E11" s="81"/>
      <c r="F11" s="81"/>
      <c r="G11" s="81"/>
      <c r="H11" s="81"/>
      <c r="I11" s="74"/>
    </row>
    <row r="12" spans="1:12" ht="12.75">
      <c r="A12" s="82" t="s">
        <v>27</v>
      </c>
      <c r="B12" s="71">
        <v>24</v>
      </c>
      <c r="C12" s="80">
        <f ca="1">+'Secondary Sch 24'!D22</f>
        <v>2617272033.8314</v>
      </c>
      <c r="D12" s="81">
        <f ca="1">+'Secondary Sch 24'!F22</f>
        <v>225492779.55570355</v>
      </c>
      <c r="E12" s="81">
        <f ca="1">+'Secondary Sch 24'!H22</f>
        <v>238348436.21033612</v>
      </c>
      <c r="F12" s="73">
        <f ca="1">+E12-D12</f>
        <v>12855656.654632568</v>
      </c>
      <c r="G12" s="73"/>
      <c r="H12" s="73"/>
      <c r="I12" s="74"/>
      <c r="L12" s="75"/>
    </row>
    <row r="13" spans="1:12" ht="12.75">
      <c r="A13" s="82" t="s">
        <v>28</v>
      </c>
      <c r="B13" s="71">
        <v>25</v>
      </c>
      <c r="C13" s="80">
        <f ca="1">+'Secondary Sch 25'!D28</f>
        <v>3059870060.67237</v>
      </c>
      <c r="D13" s="81">
        <f ca="1">+'Secondary Sch 25'!F28</f>
        <v>259771628.2068422</v>
      </c>
      <c r="E13" s="81">
        <f ca="1">+'Secondary Sch 25'!H28</f>
        <v>267148474.4711984</v>
      </c>
      <c r="F13" s="73">
        <f ca="1">+E13-D13</f>
        <v>7376846.264356196</v>
      </c>
      <c r="G13" s="73"/>
      <c r="H13" s="73"/>
      <c r="I13" s="74"/>
      <c r="L13" s="75"/>
    </row>
    <row r="14" spans="1:12" ht="12.75">
      <c r="A14" s="82" t="s">
        <v>30</v>
      </c>
      <c r="B14" s="71">
        <v>26</v>
      </c>
      <c r="C14" s="80">
        <f ca="1">+'Secondary Sch 26'!D24</f>
        <v>2097575464.5002759</v>
      </c>
      <c r="D14" s="81">
        <f ca="1">+'Secondary Sch 26'!F24</f>
        <v>159068092.2753655</v>
      </c>
      <c r="E14" s="81">
        <f ca="1">+'Secondary Sch 26'!H24</f>
        <v>163600749.62804264</v>
      </c>
      <c r="F14" s="73">
        <f ca="1">+E14-D14</f>
        <v>4532657.352677137</v>
      </c>
      <c r="G14" s="73"/>
      <c r="H14" s="73"/>
      <c r="I14" s="74"/>
      <c r="L14" s="75"/>
    </row>
    <row r="15" spans="1:12" ht="12.75">
      <c r="A15" s="70" t="s">
        <v>225</v>
      </c>
      <c r="B15" s="71">
        <v>29</v>
      </c>
      <c r="C15" s="80">
        <f ca="1">+'Secondary Sch 29'!D30</f>
        <v>14944704.5713</v>
      </c>
      <c r="D15" s="81">
        <f ca="1">+'Secondary Sch 29'!F30</f>
        <v>1128845.2452346145</v>
      </c>
      <c r="E15" s="81">
        <f ca="1">+'Secondary Sch 29'!H30</f>
        <v>1188420.0863014993</v>
      </c>
      <c r="F15" s="73">
        <f ca="1">+E15-D15</f>
        <v>59574.84106688481</v>
      </c>
      <c r="G15" s="73"/>
      <c r="H15" s="73"/>
      <c r="I15" s="74"/>
      <c r="L15" s="75"/>
    </row>
    <row r="16" spans="1:12" ht="12.75">
      <c r="A16" s="83" t="s">
        <v>31</v>
      </c>
      <c r="C16" s="77">
        <f ca="1">SUM(C12:C15)</f>
        <v>7789662263.575345</v>
      </c>
      <c r="D16" s="78">
        <f ca="1">SUM(D12:D15)</f>
        <v>645461345.2831459</v>
      </c>
      <c r="E16" s="78">
        <f ca="1">SUM(E12:E15)</f>
        <v>670286080.3958787</v>
      </c>
      <c r="F16" s="78">
        <f ca="1">SUM(F12:F15)</f>
        <v>24824735.112732787</v>
      </c>
      <c r="G16" s="78">
        <f ca="1">+'Rate Spread'!$I$15</f>
        <v>24830493.6808813</v>
      </c>
      <c r="H16" s="78">
        <f ca="1">+G16-F16</f>
        <v>5758.568148512393</v>
      </c>
      <c r="I16" s="79">
        <f ca="1">+F16/D16</f>
        <v>0.038460452038135404</v>
      </c>
      <c r="L16" s="75"/>
    </row>
    <row r="17" spans="3:12" ht="12.75">
      <c r="C17" s="80"/>
      <c r="D17" s="81"/>
      <c r="E17" s="81"/>
      <c r="F17" s="81"/>
      <c r="G17" s="81"/>
      <c r="H17" s="81"/>
      <c r="I17" s="74"/>
      <c r="L17" s="75"/>
    </row>
    <row r="18" spans="1:12" ht="12.75">
      <c r="A18" s="62" t="s">
        <v>32</v>
      </c>
      <c r="C18" s="80"/>
      <c r="D18" s="81"/>
      <c r="E18" s="81"/>
      <c r="F18" s="81"/>
      <c r="G18" s="81"/>
      <c r="H18" s="81"/>
      <c r="I18" s="74"/>
      <c r="L18" s="75"/>
    </row>
    <row r="19" spans="1:12" ht="12.75">
      <c r="A19" s="82" t="s">
        <v>226</v>
      </c>
      <c r="B19" s="71">
        <v>31</v>
      </c>
      <c r="C19" s="80">
        <f ca="1">+'Primary Sch 31'!D24</f>
        <v>1370554020.026316</v>
      </c>
      <c r="D19" s="81">
        <f ca="1">+'Primary Sch 31'!F24</f>
        <v>99227836.15334499</v>
      </c>
      <c r="E19" s="81">
        <f ca="1">+'Primary Sch 31'!H24</f>
        <v>104886166.08212565</v>
      </c>
      <c r="F19" s="73">
        <f ca="1">+E19-D19</f>
        <v>5658329.92878066</v>
      </c>
      <c r="G19" s="73"/>
      <c r="H19" s="73"/>
      <c r="I19" s="74"/>
      <c r="L19" s="75"/>
    </row>
    <row r="20" spans="1:12" ht="12.75">
      <c r="A20" s="70" t="s">
        <v>225</v>
      </c>
      <c r="B20" s="71">
        <v>35</v>
      </c>
      <c r="C20" s="80">
        <f ca="1">+'Primary Sch 35'!B24</f>
        <v>4864218</v>
      </c>
      <c r="D20" s="81">
        <f ca="1">+'Primary Sch 35'!D24</f>
        <v>247424.1259528982</v>
      </c>
      <c r="E20" s="81">
        <f ca="1">+'Primary Sch 35'!F24</f>
        <v>261533.60218200003</v>
      </c>
      <c r="F20" s="73">
        <f ca="1">+E20-D20</f>
        <v>14109.476229101827</v>
      </c>
      <c r="G20" s="73"/>
      <c r="H20" s="73"/>
      <c r="I20" s="74"/>
      <c r="L20" s="75"/>
    </row>
    <row r="21" spans="1:12" ht="12.75">
      <c r="A21" s="70" t="s">
        <v>35</v>
      </c>
      <c r="B21" s="71">
        <v>43</v>
      </c>
      <c r="C21" s="80">
        <f ca="1">+'Primary Sch 43'!D22</f>
        <v>166310246.19</v>
      </c>
      <c r="D21" s="81">
        <f ca="1">+'Primary Sch 43'!F22</f>
        <v>12849515.74653046</v>
      </c>
      <c r="E21" s="81">
        <f ca="1">+'Primary Sch 43'!H22</f>
        <v>13582124.69495161</v>
      </c>
      <c r="F21" s="73">
        <f ca="1">+E21-D21</f>
        <v>732608.9484211504</v>
      </c>
      <c r="G21" s="73"/>
      <c r="H21" s="73"/>
      <c r="I21" s="74"/>
      <c r="L21" s="75"/>
    </row>
    <row r="22" spans="1:12" ht="12.75">
      <c r="A22" s="76" t="s">
        <v>36</v>
      </c>
      <c r="C22" s="77">
        <f ca="1">SUM(C19:C21)</f>
        <v>1541728484.216316</v>
      </c>
      <c r="D22" s="78">
        <f ca="1">SUM(D19:D21)</f>
        <v>112324776.02582835</v>
      </c>
      <c r="E22" s="78">
        <f ca="1">SUM(E19:E21)</f>
        <v>118729824.37925926</v>
      </c>
      <c r="F22" s="78">
        <f ca="1">SUM(F19:F21)</f>
        <v>6405048.353430912</v>
      </c>
      <c r="G22" s="78">
        <f ca="1">+'Rate Spread'!$I$20</f>
        <v>6404653.383625218</v>
      </c>
      <c r="H22" s="78">
        <f ca="1">+G22-F22</f>
        <v>-394.9698056941852</v>
      </c>
      <c r="I22" s="79">
        <f ca="1">+F22/D22</f>
        <v>0.057022578455514686</v>
      </c>
      <c r="L22" s="75"/>
    </row>
    <row r="23" ht="12.75">
      <c r="I23" s="74"/>
    </row>
    <row r="24" spans="1:12" ht="12.75">
      <c r="A24" s="62" t="s">
        <v>37</v>
      </c>
      <c r="B24" s="71">
        <v>40</v>
      </c>
      <c r="C24" s="77">
        <f ca="1">+'Campus Sch 40'!D40</f>
        <v>616521098.9719381</v>
      </c>
      <c r="D24" s="78">
        <f ca="1">+'Campus Sch 40'!F40</f>
        <v>38977060.8036143</v>
      </c>
      <c r="E24" s="78">
        <f ca="1">+'Campus Sch 40'!H40</f>
        <v>40923903.799956486</v>
      </c>
      <c r="F24" s="78">
        <f ca="1">+E24-D24</f>
        <v>1946842.9963421822</v>
      </c>
      <c r="G24" s="84">
        <f ca="1">+'Rate Spread'!$I$22</f>
        <v>1947000</v>
      </c>
      <c r="H24" s="85">
        <f ca="1">+G24-F24</f>
        <v>157.00365781784058</v>
      </c>
      <c r="I24" s="79">
        <f ca="1">+F24/D24</f>
        <v>0.04994843008176885</v>
      </c>
      <c r="L24" s="75"/>
    </row>
    <row r="25" ht="12.75">
      <c r="I25" s="74"/>
    </row>
    <row r="26" spans="1:9" ht="12.75">
      <c r="A26" s="62" t="s">
        <v>227</v>
      </c>
      <c r="C26" s="80"/>
      <c r="D26" s="81"/>
      <c r="E26" s="81"/>
      <c r="F26" s="81"/>
      <c r="G26" s="81"/>
      <c r="H26" s="81"/>
      <c r="I26" s="74"/>
    </row>
    <row r="27" spans="1:12" ht="12.75">
      <c r="A27" s="82" t="s">
        <v>228</v>
      </c>
      <c r="B27" s="71">
        <v>46</v>
      </c>
      <c r="C27" s="80">
        <f ca="1">+'HV Sch 46'!B18</f>
        <v>51364412</v>
      </c>
      <c r="D27" s="81">
        <f ca="1">+'HV Sch 46'!D18</f>
        <v>2850180.1000118987</v>
      </c>
      <c r="E27" s="81">
        <f ca="1">+'HV Sch 46'!F18</f>
        <v>2993945.585633</v>
      </c>
      <c r="F27" s="73">
        <f ca="1">+E27-D27</f>
        <v>143765.48562110122</v>
      </c>
      <c r="G27" s="73"/>
      <c r="H27" s="73"/>
      <c r="I27" s="74"/>
      <c r="L27" s="75"/>
    </row>
    <row r="28" spans="1:12" ht="12.75">
      <c r="A28" s="82" t="s">
        <v>226</v>
      </c>
      <c r="B28" s="71">
        <v>49</v>
      </c>
      <c r="C28" s="80">
        <f ca="1">+'HV Sch 49'!B18</f>
        <v>508093006</v>
      </c>
      <c r="D28" s="81">
        <f ca="1">+'HV Sch 49'!D18</f>
        <v>29045777.865512345</v>
      </c>
      <c r="E28" s="81">
        <f ca="1">+'HV Sch 49'!F18</f>
        <v>30720327.074033</v>
      </c>
      <c r="F28" s="73">
        <f ca="1">+E28-D28</f>
        <v>1674549.2085206546</v>
      </c>
      <c r="G28" s="73"/>
      <c r="H28" s="73"/>
      <c r="I28" s="74"/>
      <c r="L28" s="75"/>
    </row>
    <row r="29" spans="1:9" ht="12.75">
      <c r="A29" s="83" t="s">
        <v>38</v>
      </c>
      <c r="C29" s="77">
        <f ca="1">SUM(C27:C28)</f>
        <v>559457418</v>
      </c>
      <c r="D29" s="78">
        <f ca="1">SUM(D27:D28)</f>
        <v>31895957.965524245</v>
      </c>
      <c r="E29" s="78">
        <f ca="1">SUM(E27:E28)</f>
        <v>33714272.659666</v>
      </c>
      <c r="F29" s="78">
        <f ca="1">SUM(F27:F28)</f>
        <v>1818314.6941417558</v>
      </c>
      <c r="G29" s="78">
        <f ca="1">+'Rate Spread'!$I$24</f>
        <v>1818677.6091223997</v>
      </c>
      <c r="H29" s="78">
        <f ca="1">+G29-F29</f>
        <v>362.9149806438945</v>
      </c>
      <c r="I29" s="79">
        <f ca="1">+F29/D29</f>
        <v>0.057007684049092955</v>
      </c>
    </row>
    <row r="30" ht="12.75">
      <c r="I30" s="74"/>
    </row>
    <row r="31" spans="1:12" ht="12.75">
      <c r="A31" s="62" t="s">
        <v>41</v>
      </c>
      <c r="B31" s="71" t="s">
        <v>42</v>
      </c>
      <c r="C31" s="77">
        <f ca="1">+Lighting!B21</f>
        <v>79343267.5189</v>
      </c>
      <c r="D31" s="78">
        <f ca="1">+Lighting!C21</f>
        <v>15450313.556139601</v>
      </c>
      <c r="E31" s="78">
        <f ca="1">+Lighting!D21</f>
        <v>16107429.521810003</v>
      </c>
      <c r="F31" s="78">
        <f ca="1">+E31-D31</f>
        <v>657115.9656704012</v>
      </c>
      <c r="G31" s="84">
        <f ca="1">+'Rate Spread'!$I$28</f>
        <v>660721.7915082661</v>
      </c>
      <c r="H31" s="84">
        <f ca="1">+G31-F31</f>
        <v>3605.8258378648898</v>
      </c>
      <c r="I31" s="79">
        <f ca="1">+F31/D31</f>
        <v>0.04253091455281685</v>
      </c>
      <c r="L31" s="75"/>
    </row>
    <row r="32" spans="2:9" ht="12.75">
      <c r="B32" s="71"/>
      <c r="I32" s="74"/>
    </row>
    <row r="33" spans="1:9" ht="13.5" thickBot="1">
      <c r="A33" s="83" t="s">
        <v>229</v>
      </c>
      <c r="C33" s="86">
        <f aca="true" t="shared" si="0" ref="C33:H33">SUM(C9,C16,C22,C24,C29,C31)</f>
        <v>21275512158.733803</v>
      </c>
      <c r="D33" s="87">
        <f ca="1" t="shared" si="0"/>
        <v>1828199836.3096533</v>
      </c>
      <c r="E33" s="87">
        <f ca="1" t="shared" si="0"/>
        <v>1933991591.6794715</v>
      </c>
      <c r="F33" s="87">
        <f ca="1" t="shared" si="0"/>
        <v>105791755.3698181</v>
      </c>
      <c r="G33" s="87">
        <f ca="1" t="shared" si="0"/>
        <v>105801434.81160676</v>
      </c>
      <c r="H33" s="87">
        <f ca="1" t="shared" si="0"/>
        <v>9679.44178864907</v>
      </c>
      <c r="I33" s="88">
        <f ca="1">+F33/D33</f>
        <v>0.05786662555629915</v>
      </c>
    </row>
    <row r="34" spans="3:9" ht="13.5" thickTop="1">
      <c r="C34" s="89"/>
      <c r="D34" s="90"/>
      <c r="E34" s="90"/>
      <c r="F34" s="90"/>
      <c r="G34" s="90"/>
      <c r="H34" s="90"/>
      <c r="I34" s="91"/>
    </row>
    <row r="35" spans="1:9" ht="12.75">
      <c r="A35" s="82" t="s">
        <v>230</v>
      </c>
      <c r="B35" s="71" t="s">
        <v>44</v>
      </c>
      <c r="C35" s="80">
        <f ca="1">+'Small Firm Resale'!D10</f>
        <v>7652696</v>
      </c>
      <c r="D35" s="81">
        <f ca="1">SUM('Small Firm Resale'!F18)</f>
        <v>355704.70744</v>
      </c>
      <c r="E35" s="81">
        <f ca="1">SUM('Small Firm Resale'!H18)</f>
        <v>372441.153592</v>
      </c>
      <c r="F35" s="73"/>
      <c r="G35" s="73"/>
      <c r="H35" s="73"/>
      <c r="I35" s="92"/>
    </row>
    <row r="36" spans="1:9" ht="12.75">
      <c r="A36" s="70" t="s">
        <v>231</v>
      </c>
      <c r="B36" s="93" t="s">
        <v>232</v>
      </c>
      <c r="C36" s="80">
        <f ca="1">+'Transportation Special Contract'!B10</f>
        <v>147863815</v>
      </c>
      <c r="D36" s="81">
        <f ca="1">+'Transportation Special Contract'!D14</f>
        <v>786676.7</v>
      </c>
      <c r="E36" s="81">
        <f ca="1">+'Transportation Special Contract'!F14</f>
        <v>1110054.863405</v>
      </c>
      <c r="F36" s="73"/>
      <c r="G36" s="73"/>
      <c r="H36" s="73"/>
      <c r="I36" s="92"/>
    </row>
    <row r="37" spans="1:9" ht="12.75">
      <c r="A37" s="83" t="s">
        <v>233</v>
      </c>
      <c r="C37" s="77">
        <f ca="1">SUM(C35:C36)</f>
        <v>155516511</v>
      </c>
      <c r="D37" s="78">
        <f ca="1">SUM(D35:D36)</f>
        <v>1142381.40744</v>
      </c>
      <c r="E37" s="78">
        <f ca="1">SUM(E35:E36)</f>
        <v>1482496.016997</v>
      </c>
      <c r="F37" s="78">
        <f ca="1">+E37-D37</f>
        <v>340114.609557</v>
      </c>
      <c r="G37" s="78">
        <f ca="1">+'Rate Spread'!$I$30</f>
        <v>340165</v>
      </c>
      <c r="H37" s="78">
        <f ca="1">+G37-F37</f>
        <v>50.390443000011146</v>
      </c>
      <c r="I37" s="79">
        <f ca="1">+F37/D37</f>
        <v>0.297724216572444</v>
      </c>
    </row>
    <row r="38" ht="12.75">
      <c r="I38" s="74"/>
    </row>
    <row r="39" spans="1:9" ht="12.75">
      <c r="A39" s="62" t="s">
        <v>234</v>
      </c>
      <c r="C39" s="80"/>
      <c r="D39" s="81"/>
      <c r="E39" s="81"/>
      <c r="F39" s="81"/>
      <c r="G39" s="81"/>
      <c r="H39" s="81"/>
      <c r="I39" s="74"/>
    </row>
    <row r="40" spans="1:9" ht="12.75">
      <c r="A40" s="82"/>
      <c r="B40" s="71">
        <v>449</v>
      </c>
      <c r="C40" s="80">
        <f ca="1">SUM('Sch 449'!B26)</f>
        <v>1776999365</v>
      </c>
      <c r="D40" s="81">
        <f ca="1">+'Sch 449'!D26</f>
        <v>8099775.0126524</v>
      </c>
      <c r="E40" s="81">
        <f ca="1">+'Sch 449'!F26</f>
        <v>8506891.1274844</v>
      </c>
      <c r="F40" s="73">
        <f ca="1">+E40-D40</f>
        <v>407116.1148319999</v>
      </c>
      <c r="G40" s="73"/>
      <c r="H40" s="73"/>
      <c r="I40" s="74"/>
    </row>
    <row r="41" spans="1:9" ht="12.75">
      <c r="A41" s="82"/>
      <c r="B41" s="71">
        <v>459</v>
      </c>
      <c r="C41" s="80">
        <f ca="1">+'Sch 459'!B20</f>
        <v>337957762</v>
      </c>
      <c r="D41" s="81">
        <f ca="1">+'Sch 459'!D20</f>
        <v>567312.2715056201</v>
      </c>
      <c r="E41" s="81">
        <f ca="1">+'Sch 459'!F20</f>
        <v>654624.7618016199</v>
      </c>
      <c r="F41" s="73">
        <f ca="1">+E41-D41</f>
        <v>87312.4902959998</v>
      </c>
      <c r="G41" s="73"/>
      <c r="H41" s="73"/>
      <c r="I41" s="74"/>
    </row>
    <row r="42" spans="1:9" ht="12.75">
      <c r="A42" s="76" t="s">
        <v>235</v>
      </c>
      <c r="C42" s="77">
        <f ca="1">SUM(C40:C41)</f>
        <v>2114957127</v>
      </c>
      <c r="D42" s="78">
        <f ca="1">SUM(D40:D41)</f>
        <v>8667087.28415802</v>
      </c>
      <c r="E42" s="78">
        <f ca="1">SUM(E40:E41)</f>
        <v>9161515.889286019</v>
      </c>
      <c r="F42" s="78">
        <f ca="1">SUM(F40:F41)</f>
        <v>494428.6051279997</v>
      </c>
      <c r="G42" s="78">
        <f ca="1">+'Rate Spread'!$I$26</f>
        <v>494189.1883932505</v>
      </c>
      <c r="H42" s="78">
        <f ca="1">+G42-F42</f>
        <v>-239.41673474916024</v>
      </c>
      <c r="I42" s="79">
        <f ca="1">+F42/D42</f>
        <v>0.05704668580316852</v>
      </c>
    </row>
    <row r="43" spans="4:9" ht="12.75">
      <c r="D43" s="94"/>
      <c r="I43" s="74"/>
    </row>
    <row r="44" spans="1:9" ht="13.5" thickBot="1">
      <c r="A44" s="83" t="s">
        <v>236</v>
      </c>
      <c r="C44" s="95">
        <f aca="true" t="shared" si="1" ref="C44:H44">SUM(C33,C37,C42)</f>
        <v>23545985796.733803</v>
      </c>
      <c r="D44" s="87">
        <f ca="1" t="shared" si="1"/>
        <v>1838009305.0012512</v>
      </c>
      <c r="E44" s="87">
        <f ca="1" t="shared" si="1"/>
        <v>1944635603.5857546</v>
      </c>
      <c r="F44" s="87">
        <f ca="1" t="shared" si="1"/>
        <v>106626298.58450311</v>
      </c>
      <c r="G44" s="87">
        <f ca="1" t="shared" si="1"/>
        <v>106635789.00000001</v>
      </c>
      <c r="H44" s="87">
        <f ca="1" t="shared" si="1"/>
        <v>9490.415496899921</v>
      </c>
      <c r="I44" s="88">
        <f ca="1">+F44/D44</f>
        <v>0.058011838293947335</v>
      </c>
    </row>
    <row r="45" spans="4:8" ht="13.5" thickTop="1">
      <c r="D45" s="96"/>
      <c r="E45" s="94"/>
      <c r="F45" s="94"/>
      <c r="G45" s="94"/>
      <c r="H45" s="94"/>
    </row>
  </sheetData>
  <printOptions horizontalCentered="1"/>
  <pageMargins left="0.25" right="0.25" top="1" bottom="1" header="0.5" footer="0.5"/>
  <pageSetup fitToHeight="1" fitToWidth="1" horizontalDpi="600" verticalDpi="600" orientation="landscape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B1">
      <selection activeCell="H8" sqref="H8"/>
    </sheetView>
  </sheetViews>
  <sheetFormatPr defaultColWidth="9.140625" defaultRowHeight="12.75"/>
  <cols>
    <col min="1" max="1" width="18.00390625" style="62" bestFit="1" customWidth="1"/>
    <col min="2" max="2" width="9.8515625" style="62" bestFit="1" customWidth="1"/>
    <col min="3" max="3" width="19.8515625" style="62" bestFit="1" customWidth="1"/>
    <col min="4" max="4" width="8.28125" style="62" bestFit="1" customWidth="1"/>
    <col min="5" max="5" width="10.00390625" style="62" bestFit="1" customWidth="1"/>
    <col min="6" max="6" width="10.7109375" style="62" bestFit="1" customWidth="1"/>
    <col min="7" max="7" width="8.421875" style="62" bestFit="1" customWidth="1"/>
    <col min="8" max="8" width="8.8515625" style="62" bestFit="1" customWidth="1"/>
    <col min="9" max="9" width="8.421875" style="62" bestFit="1" customWidth="1"/>
    <col min="10" max="10" width="8.8515625" style="62" bestFit="1" customWidth="1"/>
    <col min="11" max="11" width="8.00390625" style="62" bestFit="1" customWidth="1"/>
    <col min="12" max="12" width="7.28125" style="62" bestFit="1" customWidth="1"/>
    <col min="13" max="16384" width="9.140625" style="62" customWidth="1"/>
  </cols>
  <sheetData>
    <row r="1" spans="1:12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75">
      <c r="A2" s="61" t="s">
        <v>347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.75">
      <c r="A3" s="61" t="str">
        <f ca="1">+'Lighting Summary'!A4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.75">
      <c r="A4" s="61" t="s">
        <v>348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2.75">
      <c r="A5" s="61" t="s">
        <v>349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s="65" customFormat="1" ht="51">
      <c r="A7" s="63" t="s">
        <v>4</v>
      </c>
      <c r="B7" s="64" t="s">
        <v>350</v>
      </c>
      <c r="C7" s="63" t="s">
        <v>351</v>
      </c>
      <c r="D7" s="64" t="s">
        <v>352</v>
      </c>
      <c r="E7" s="64" t="s">
        <v>353</v>
      </c>
      <c r="F7" s="64" t="s">
        <v>252</v>
      </c>
      <c r="G7" s="64" t="s">
        <v>354</v>
      </c>
      <c r="H7" s="64" t="s">
        <v>355</v>
      </c>
      <c r="I7" s="64" t="s">
        <v>356</v>
      </c>
      <c r="J7" s="64" t="s">
        <v>312</v>
      </c>
      <c r="K7" s="63" t="s">
        <v>313</v>
      </c>
      <c r="L7" s="63" t="s">
        <v>223</v>
      </c>
    </row>
    <row r="8" spans="1:12" ht="12.75">
      <c r="A8" s="76" t="s">
        <v>314</v>
      </c>
      <c r="B8" s="118">
        <v>22</v>
      </c>
      <c r="C8" s="118" t="s">
        <v>357</v>
      </c>
      <c r="D8" s="21">
        <v>60</v>
      </c>
      <c r="E8" s="118"/>
      <c r="F8" s="114">
        <v>0.03</v>
      </c>
      <c r="G8" s="115">
        <v>0.76</v>
      </c>
      <c r="H8" s="115">
        <f ca="1">ROUND(+(G8+F8)*(1+H14),2)</f>
        <v>0.82</v>
      </c>
      <c r="I8" s="96">
        <f>ROUND(+G8*$D8*12+F8*D8*12,2)</f>
        <v>568.8</v>
      </c>
      <c r="J8" s="96">
        <f ca="1">ROUND(+H8*$D8*12,2)</f>
        <v>590.4</v>
      </c>
      <c r="K8" s="96">
        <f ca="1">+J8-I8</f>
        <v>21.600000000000023</v>
      </c>
      <c r="L8" s="116">
        <f ca="1">+K8/I8</f>
        <v>0.03797468354430384</v>
      </c>
    </row>
    <row r="9" spans="2:12" ht="12.75">
      <c r="B9" s="118"/>
      <c r="C9" s="118"/>
      <c r="D9" s="118"/>
      <c r="E9" s="118"/>
      <c r="F9" s="118"/>
      <c r="G9" s="114"/>
      <c r="H9" s="114"/>
      <c r="I9" s="96"/>
      <c r="J9" s="96"/>
      <c r="K9" s="96"/>
      <c r="L9" s="116"/>
    </row>
    <row r="10" spans="2:12" ht="13.5" thickBot="1">
      <c r="B10" s="118"/>
      <c r="C10" s="118"/>
      <c r="D10" s="95">
        <f>SUM(D8:D9)</f>
        <v>60</v>
      </c>
      <c r="E10" s="39">
        <f ca="1">+'Lighting Summary'!B8</f>
        <v>7056.72</v>
      </c>
      <c r="F10" s="118"/>
      <c r="G10" s="114"/>
      <c r="H10" s="114"/>
      <c r="I10" s="87">
        <f>SUM(I8:I9)</f>
        <v>568.8</v>
      </c>
      <c r="J10" s="87">
        <f ca="1">SUM(J8:J9)</f>
        <v>590.4</v>
      </c>
      <c r="K10" s="87">
        <f ca="1">SUM(K8:K9)</f>
        <v>21.600000000000023</v>
      </c>
      <c r="L10" s="123">
        <f ca="1">+K10/I10</f>
        <v>0.03797468354430384</v>
      </c>
    </row>
    <row r="11" spans="2:12" ht="13.5" thickTop="1">
      <c r="B11" s="118"/>
      <c r="C11" s="118"/>
      <c r="D11" s="118"/>
      <c r="E11" s="118"/>
      <c r="F11" s="118"/>
      <c r="G11" s="114"/>
      <c r="H11" s="114"/>
      <c r="L11" s="116"/>
    </row>
    <row r="14" spans="1:8" ht="12.75">
      <c r="A14" s="62" t="s">
        <v>7</v>
      </c>
      <c r="H14" s="198">
        <f ca="1">+'Lighting Summary'!E26</f>
        <v>0.04276429660197481</v>
      </c>
    </row>
    <row r="16" spans="1:9" ht="12.75">
      <c r="A16" s="83" t="s">
        <v>358</v>
      </c>
      <c r="I16" s="96">
        <f>+F8*D8*12</f>
        <v>21.599999999999998</v>
      </c>
    </row>
    <row r="23" ht="12.75">
      <c r="F23" s="198"/>
    </row>
  </sheetData>
  <printOptions horizontalCentered="1"/>
  <pageMargins left="0.75" right="0.75" top="1" bottom="1" header="0.5" footer="0.5"/>
  <pageSetup horizontalDpi="600" verticalDpi="600" orientation="landscape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B13">
      <selection activeCell="H24" sqref="H24"/>
    </sheetView>
  </sheetViews>
  <sheetFormatPr defaultColWidth="9.140625" defaultRowHeight="12.75"/>
  <cols>
    <col min="1" max="1" width="22.57421875" style="62" bestFit="1" customWidth="1"/>
    <col min="2" max="2" width="9.8515625" style="62" bestFit="1" customWidth="1"/>
    <col min="3" max="3" width="14.28125" style="62" customWidth="1"/>
    <col min="4" max="4" width="8.28125" style="62" bestFit="1" customWidth="1"/>
    <col min="5" max="5" width="10.00390625" style="62" bestFit="1" customWidth="1"/>
    <col min="6" max="6" width="10.7109375" style="62" bestFit="1" customWidth="1"/>
    <col min="7" max="7" width="8.421875" style="62" bestFit="1" customWidth="1"/>
    <col min="8" max="8" width="8.8515625" style="62" bestFit="1" customWidth="1"/>
    <col min="9" max="9" width="10.28125" style="62" bestFit="1" customWidth="1"/>
    <col min="10" max="10" width="8.8515625" style="62" bestFit="1" customWidth="1"/>
    <col min="11" max="11" width="9.28125" style="62" bestFit="1" customWidth="1"/>
    <col min="12" max="12" width="7.28125" style="62" bestFit="1" customWidth="1"/>
    <col min="13" max="16384" width="9.140625" style="62" customWidth="1"/>
  </cols>
  <sheetData>
    <row r="1" spans="1:12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75">
      <c r="A2" s="61" t="s">
        <v>347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.75">
      <c r="A3" s="61" t="str">
        <f ca="1">+'Lighting Summary'!A4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.75">
      <c r="A4" s="61" t="s">
        <v>359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2.75">
      <c r="A5" s="61" t="s">
        <v>360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s="65" customFormat="1" ht="51">
      <c r="A7" s="63" t="s">
        <v>4</v>
      </c>
      <c r="B7" s="64" t="s">
        <v>350</v>
      </c>
      <c r="C7" s="63" t="s">
        <v>351</v>
      </c>
      <c r="D7" s="63" t="str">
        <f ca="1">+'Schedule 003'!D7</f>
        <v>Inventory
@
9-1-07</v>
      </c>
      <c r="E7" s="64" t="str">
        <f ca="1">+'Schedule 003'!E7</f>
        <v>Billed kWh
12 Months
ended
9-30-07</v>
      </c>
      <c r="F7" s="64" t="str">
        <f ca="1">+'Schedule 003'!F7</f>
        <v>Schedule 95</v>
      </c>
      <c r="G7" s="64" t="str">
        <f ca="1">+'Schedule 003'!G7</f>
        <v>Proforma Base Lamp Charge</v>
      </c>
      <c r="H7" s="64" t="str">
        <f ca="1">+'Schedule 003'!H7</f>
        <v>Proposed Lamp Charge</v>
      </c>
      <c r="I7" s="64" t="s">
        <v>356</v>
      </c>
      <c r="J7" s="64" t="s">
        <v>312</v>
      </c>
      <c r="K7" s="63" t="s">
        <v>313</v>
      </c>
      <c r="L7" s="63" t="s">
        <v>223</v>
      </c>
    </row>
    <row r="8" spans="1:12" ht="12.75">
      <c r="A8" s="76" t="s">
        <v>315</v>
      </c>
      <c r="B8" s="118">
        <v>327</v>
      </c>
      <c r="C8" s="118" t="s">
        <v>361</v>
      </c>
      <c r="D8" s="21">
        <v>0</v>
      </c>
      <c r="E8" s="118"/>
      <c r="F8" s="114">
        <v>0.38</v>
      </c>
      <c r="G8" s="115">
        <v>10.47</v>
      </c>
      <c r="H8" s="115">
        <f ca="1">ROUND(+(G8+F8)*(1+$H$24),2)</f>
        <v>11.31</v>
      </c>
      <c r="I8" s="96">
        <f>ROUND(+G8*$D8*12+F8*D8*12,0)</f>
        <v>0</v>
      </c>
      <c r="J8" s="96">
        <f ca="1">ROUND(+H8*$D8*12,0)</f>
        <v>0</v>
      </c>
      <c r="K8" s="96">
        <f aca="true" t="shared" si="0" ref="K8:K18">+J8-I8</f>
        <v>0</v>
      </c>
      <c r="L8" s="116" t="e">
        <f aca="true" t="shared" si="1" ref="L8:L19">+K8/I8</f>
        <v>#DIV/0!</v>
      </c>
    </row>
    <row r="9" spans="1:12" ht="12.75">
      <c r="A9" s="76" t="str">
        <f>+A8</f>
        <v>50E-A</v>
      </c>
      <c r="B9" s="118">
        <v>100</v>
      </c>
      <c r="C9" s="118" t="s">
        <v>362</v>
      </c>
      <c r="D9" s="21">
        <v>13</v>
      </c>
      <c r="E9" s="118"/>
      <c r="F9" s="114">
        <v>0.13</v>
      </c>
      <c r="G9" s="115">
        <v>5.28</v>
      </c>
      <c r="H9" s="115">
        <f ca="1">ROUND(+(G9+F9)*(1+$H$24),2)</f>
        <v>5.64</v>
      </c>
      <c r="I9" s="96">
        <f>ROUND(+G9*$D9*12+F9*D9*12,0)</f>
        <v>844</v>
      </c>
      <c r="J9" s="96">
        <f ca="1">ROUND(+H9*$D9*12,0)</f>
        <v>880</v>
      </c>
      <c r="K9" s="96">
        <f ca="1" t="shared" si="0"/>
        <v>36</v>
      </c>
      <c r="L9" s="116">
        <f ca="1" t="shared" si="1"/>
        <v>0.04265402843601896</v>
      </c>
    </row>
    <row r="10" spans="1:12" ht="12.75">
      <c r="A10" s="76" t="str">
        <f>+A9</f>
        <v>50E-A</v>
      </c>
      <c r="B10" s="118">
        <v>175</v>
      </c>
      <c r="C10" s="118" t="str">
        <f>+C9</f>
        <v>Mercury Vapor</v>
      </c>
      <c r="D10" s="21">
        <v>19</v>
      </c>
      <c r="E10" s="118"/>
      <c r="F10" s="114">
        <v>0.23</v>
      </c>
      <c r="G10" s="115">
        <v>7.72</v>
      </c>
      <c r="H10" s="115">
        <f ca="1">ROUND(+(G10+F10)*(1+$H$24),2)</f>
        <v>8.29</v>
      </c>
      <c r="I10" s="96">
        <f>ROUND(+G10*$D10*12+F10*D10*12,0)</f>
        <v>1813</v>
      </c>
      <c r="J10" s="96">
        <f ca="1">ROUND(+H10*$D10*12,0)</f>
        <v>1890</v>
      </c>
      <c r="K10" s="96">
        <f ca="1" t="shared" si="0"/>
        <v>77</v>
      </c>
      <c r="L10" s="116">
        <f ca="1" t="shared" si="1"/>
        <v>0.04247104247104247</v>
      </c>
    </row>
    <row r="11" spans="1:12" ht="12.75">
      <c r="A11" s="76" t="str">
        <f>+A10</f>
        <v>50E-A</v>
      </c>
      <c r="B11" s="118">
        <v>400</v>
      </c>
      <c r="C11" s="118" t="str">
        <f>+C10</f>
        <v>Mercury Vapor</v>
      </c>
      <c r="D11" s="21">
        <v>54</v>
      </c>
      <c r="E11" s="118"/>
      <c r="F11" s="114">
        <v>0.5</v>
      </c>
      <c r="G11" s="115">
        <v>15.11</v>
      </c>
      <c r="H11" s="115">
        <f ca="1">ROUND(+(G11+F11)*(1+$H$24),2)</f>
        <v>16.28</v>
      </c>
      <c r="I11" s="96">
        <f>ROUND(+G11*$D11*12+F11*D11*12,0)</f>
        <v>10115</v>
      </c>
      <c r="J11" s="96">
        <f ca="1">ROUND(+H11*$D11*12,0)</f>
        <v>10549</v>
      </c>
      <c r="K11" s="96">
        <f ca="1" t="shared" si="0"/>
        <v>434</v>
      </c>
      <c r="L11" s="116">
        <f ca="1" t="shared" si="1"/>
        <v>0.042906574394463666</v>
      </c>
    </row>
    <row r="12" spans="1:12" ht="12.75">
      <c r="A12" s="76"/>
      <c r="B12" s="118"/>
      <c r="C12" s="118"/>
      <c r="D12" s="15">
        <f>SUM(D8:D11)</f>
        <v>86</v>
      </c>
      <c r="E12" s="15">
        <f ca="1">+'Lighting Summary'!B9</f>
        <v>405753.12</v>
      </c>
      <c r="F12" s="23"/>
      <c r="G12" s="114"/>
      <c r="H12" s="114"/>
      <c r="I12" s="78">
        <f>SUM(I8:I11)</f>
        <v>12772</v>
      </c>
      <c r="J12" s="78">
        <f ca="1">SUM(J8:J11)</f>
        <v>13319</v>
      </c>
      <c r="K12" s="78">
        <f ca="1">SUM(K8:K11)</f>
        <v>547</v>
      </c>
      <c r="L12" s="117">
        <f ca="1" t="shared" si="1"/>
        <v>0.04282806138427811</v>
      </c>
    </row>
    <row r="13" spans="1:12" ht="12.75">
      <c r="A13" s="76"/>
      <c r="B13" s="118"/>
      <c r="C13" s="118"/>
      <c r="D13" s="21"/>
      <c r="E13" s="118"/>
      <c r="F13" s="118"/>
      <c r="G13" s="114"/>
      <c r="H13" s="114"/>
      <c r="I13" s="96"/>
      <c r="J13" s="96"/>
      <c r="K13" s="96"/>
      <c r="L13" s="116"/>
    </row>
    <row r="14" spans="1:12" ht="12.75">
      <c r="A14" s="76" t="s">
        <v>316</v>
      </c>
      <c r="B14" s="118">
        <v>100</v>
      </c>
      <c r="C14" s="118" t="str">
        <f>+C11</f>
        <v>Mercury Vapor</v>
      </c>
      <c r="D14" s="21">
        <v>9</v>
      </c>
      <c r="E14" s="118"/>
      <c r="F14" s="114">
        <f>+F9</f>
        <v>0.13</v>
      </c>
      <c r="G14" s="115">
        <v>3.57</v>
      </c>
      <c r="H14" s="115">
        <f ca="1">+(G14+F14)*(1+$H$24)</f>
        <v>3.8582278974273065</v>
      </c>
      <c r="I14" s="96">
        <f>ROUND(+G14*$D14*12+F14*D14*12,0)</f>
        <v>400</v>
      </c>
      <c r="J14" s="96">
        <f ca="1">ROUND(+H14*$D14*12,0)</f>
        <v>417</v>
      </c>
      <c r="K14" s="96">
        <f ca="1" t="shared" si="0"/>
        <v>17</v>
      </c>
      <c r="L14" s="116">
        <f ca="1" t="shared" si="1"/>
        <v>0.0425</v>
      </c>
    </row>
    <row r="15" spans="1:12" ht="12.75">
      <c r="A15" s="76" t="str">
        <f>+A14</f>
        <v>50E-B</v>
      </c>
      <c r="B15" s="118">
        <v>175</v>
      </c>
      <c r="C15" s="118" t="str">
        <f>+C14</f>
        <v>Mercury Vapor</v>
      </c>
      <c r="D15" s="21">
        <v>115</v>
      </c>
      <c r="E15" s="118"/>
      <c r="F15" s="114">
        <f>+F10</f>
        <v>0.23</v>
      </c>
      <c r="G15" s="115">
        <v>6</v>
      </c>
      <c r="H15" s="115">
        <f ca="1">+(G15+F15)*(1+$H$24)</f>
        <v>6.4964215678303034</v>
      </c>
      <c r="I15" s="96">
        <f>ROUND(+G15*$D15*12+F15*D15*12,0)</f>
        <v>8597</v>
      </c>
      <c r="J15" s="96">
        <f ca="1">ROUND(+H15*$D15*12,0)</f>
        <v>8965</v>
      </c>
      <c r="K15" s="96">
        <f ca="1" t="shared" si="0"/>
        <v>368</v>
      </c>
      <c r="L15" s="116">
        <f ca="1" t="shared" si="1"/>
        <v>0.042805629870885195</v>
      </c>
    </row>
    <row r="16" spans="1:12" ht="12.75">
      <c r="A16" s="76" t="str">
        <f>+A15</f>
        <v>50E-B</v>
      </c>
      <c r="B16" s="118">
        <v>400</v>
      </c>
      <c r="C16" s="118" t="str">
        <f>+C15</f>
        <v>Mercury Vapor</v>
      </c>
      <c r="D16" s="21">
        <v>98</v>
      </c>
      <c r="E16" s="118"/>
      <c r="F16" s="114">
        <f>+F11</f>
        <v>0.5</v>
      </c>
      <c r="G16" s="115">
        <v>13.29</v>
      </c>
      <c r="H16" s="115">
        <f ca="1">+(G16+F16)*(1+$H$24)</f>
        <v>14.379719650141231</v>
      </c>
      <c r="I16" s="96">
        <f>ROUND(+G16*$D16*12+F16*D16*12,0)</f>
        <v>16217</v>
      </c>
      <c r="J16" s="96">
        <f ca="1">ROUND(+H16*$D16*12,0)</f>
        <v>16911</v>
      </c>
      <c r="K16" s="96">
        <f ca="1" t="shared" si="0"/>
        <v>694</v>
      </c>
      <c r="L16" s="116">
        <f ca="1" t="shared" si="1"/>
        <v>0.042794598261084046</v>
      </c>
    </row>
    <row r="17" spans="1:12" ht="12.75">
      <c r="A17" s="76" t="str">
        <f>+A16</f>
        <v>50E-B</v>
      </c>
      <c r="B17" s="118">
        <v>700</v>
      </c>
      <c r="C17" s="118" t="str">
        <f>+C16</f>
        <v>Mercury Vapor</v>
      </c>
      <c r="D17" s="21">
        <v>2</v>
      </c>
      <c r="E17" s="118"/>
      <c r="F17" s="114">
        <v>0.9</v>
      </c>
      <c r="G17" s="115">
        <v>25.12</v>
      </c>
      <c r="H17" s="115">
        <f ca="1">+(G17+F17)*(1+$H$24)</f>
        <v>27.132726997583383</v>
      </c>
      <c r="I17" s="96">
        <f>ROUND(+G17*$D17*12+F17*D17*12,0)</f>
        <v>624</v>
      </c>
      <c r="J17" s="96">
        <f ca="1">ROUND(+H17*$D17*12,0)</f>
        <v>651</v>
      </c>
      <c r="K17" s="96">
        <f ca="1" t="shared" si="0"/>
        <v>27</v>
      </c>
      <c r="L17" s="116">
        <f ca="1" t="shared" si="1"/>
        <v>0.04326923076923077</v>
      </c>
    </row>
    <row r="18" spans="1:12" ht="12.75">
      <c r="A18" s="76" t="str">
        <f>+A17</f>
        <v>50E-B</v>
      </c>
      <c r="B18" s="118">
        <v>1000</v>
      </c>
      <c r="C18" s="118" t="str">
        <f>+C17</f>
        <v>Mercury Vapor</v>
      </c>
      <c r="D18" s="21">
        <v>1</v>
      </c>
      <c r="E18" s="118"/>
      <c r="F18" s="114">
        <v>1.28</v>
      </c>
      <c r="G18" s="115">
        <v>33.91</v>
      </c>
      <c r="H18" s="115">
        <f ca="1">+(G18+F18)*(1+$H$24)</f>
        <v>36.69487559742349</v>
      </c>
      <c r="I18" s="96">
        <f>ROUND(+G18*$D18*12+F18*D18*12,0)</f>
        <v>422</v>
      </c>
      <c r="J18" s="96">
        <f ca="1">ROUND(+H18*$D18*12,0)</f>
        <v>440</v>
      </c>
      <c r="K18" s="96">
        <f ca="1" t="shared" si="0"/>
        <v>18</v>
      </c>
      <c r="L18" s="116">
        <f ca="1" t="shared" si="1"/>
        <v>0.04265402843601896</v>
      </c>
    </row>
    <row r="19" spans="1:12" ht="12.75">
      <c r="A19" s="76"/>
      <c r="B19" s="118"/>
      <c r="C19" s="118"/>
      <c r="D19" s="15">
        <f>SUM(D14:D18)</f>
        <v>225</v>
      </c>
      <c r="E19" s="15">
        <f ca="1">+'Lighting Summary'!B10</f>
        <v>0</v>
      </c>
      <c r="G19" s="114"/>
      <c r="H19" s="114"/>
      <c r="I19" s="78">
        <f>SUM(I14:I18)</f>
        <v>26260</v>
      </c>
      <c r="J19" s="78">
        <f ca="1">SUM(J14:J18)</f>
        <v>27384</v>
      </c>
      <c r="K19" s="78">
        <f ca="1">SUM(K14:K18)</f>
        <v>1124</v>
      </c>
      <c r="L19" s="117">
        <f ca="1" t="shared" si="1"/>
        <v>0.042802741812642806</v>
      </c>
    </row>
    <row r="20" spans="2:12" ht="12.75">
      <c r="B20" s="118"/>
      <c r="C20" s="118"/>
      <c r="D20" s="21"/>
      <c r="E20" s="118"/>
      <c r="F20" s="97"/>
      <c r="G20" s="114"/>
      <c r="H20" s="114"/>
      <c r="I20" s="96"/>
      <c r="J20" s="96"/>
      <c r="K20" s="96"/>
      <c r="L20" s="116"/>
    </row>
    <row r="21" spans="2:12" ht="13.5" thickBot="1">
      <c r="B21" s="118"/>
      <c r="C21" s="118"/>
      <c r="D21" s="95">
        <f>SUM(D19,D12)</f>
        <v>311</v>
      </c>
      <c r="E21" s="95">
        <f ca="1">SUM(E19,E12)</f>
        <v>405753.12</v>
      </c>
      <c r="F21" s="97"/>
      <c r="G21" s="114"/>
      <c r="H21" s="114"/>
      <c r="I21" s="87">
        <f>SUM(I19,I12)+F21</f>
        <v>39032</v>
      </c>
      <c r="J21" s="87">
        <f ca="1">SUM(J19,J12)</f>
        <v>40703</v>
      </c>
      <c r="K21" s="87">
        <f ca="1">SUM(K19,K12)</f>
        <v>1671</v>
      </c>
      <c r="L21" s="123">
        <f ca="1">+K21/I21</f>
        <v>0.042811026849764296</v>
      </c>
    </row>
    <row r="22" spans="2:12" ht="13.5" thickTop="1">
      <c r="B22" s="118"/>
      <c r="C22" s="118"/>
      <c r="D22" s="118"/>
      <c r="E22" s="118"/>
      <c r="F22" s="118"/>
      <c r="G22" s="114"/>
      <c r="H22" s="114"/>
      <c r="L22" s="116"/>
    </row>
    <row r="23" ht="12.75">
      <c r="F23" s="198"/>
    </row>
    <row r="24" spans="1:8" ht="12.75">
      <c r="A24" s="62" t="str">
        <f ca="1">+'Schedule 003'!$A$14</f>
        <v>Proposed Increase</v>
      </c>
      <c r="H24" s="198">
        <f ca="1">+'Lighting Summary'!$E$26</f>
        <v>0.04276429660197481</v>
      </c>
    </row>
    <row r="26" spans="1:9" ht="12.75">
      <c r="A26" s="83" t="str">
        <f ca="1">+'Schedule 003'!$A$16</f>
        <v>Annual Schedule 95</v>
      </c>
      <c r="I26" s="96">
        <f>(SUMPRODUCT(D8:D11,F8:F11)+SUMPRODUCT(D14:D18,F14:F18))*12</f>
        <v>1353.1200000000001</v>
      </c>
    </row>
  </sheetData>
  <printOptions horizontalCentered="1"/>
  <pageMargins left="0.75" right="0.75" top="1" bottom="1" header="0.5" footer="0.5"/>
  <pageSetup horizontalDpi="600" verticalDpi="600" orientation="landscape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7">
      <selection activeCell="C38" sqref="C38"/>
    </sheetView>
  </sheetViews>
  <sheetFormatPr defaultColWidth="9.140625" defaultRowHeight="12.75"/>
  <cols>
    <col min="1" max="1" width="18.00390625" style="62" bestFit="1" customWidth="1"/>
    <col min="2" max="2" width="9.8515625" style="62" bestFit="1" customWidth="1"/>
    <col min="3" max="3" width="13.8515625" style="62" bestFit="1" customWidth="1"/>
    <col min="4" max="4" width="8.28125" style="62" bestFit="1" customWidth="1"/>
    <col min="5" max="5" width="10.28125" style="62" bestFit="1" customWidth="1"/>
    <col min="6" max="6" width="10.7109375" style="62" bestFit="1" customWidth="1"/>
    <col min="7" max="7" width="8.421875" style="62" bestFit="1" customWidth="1"/>
    <col min="8" max="8" width="8.8515625" style="62" bestFit="1" customWidth="1"/>
    <col min="9" max="10" width="9.7109375" style="62" bestFit="1" customWidth="1"/>
    <col min="11" max="11" width="9.28125" style="62" bestFit="1" customWidth="1"/>
    <col min="12" max="12" width="8.57421875" style="62" bestFit="1" customWidth="1"/>
    <col min="13" max="16384" width="9.140625" style="62" customWidth="1"/>
  </cols>
  <sheetData>
    <row r="1" spans="1:12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75">
      <c r="A2" s="61" t="s">
        <v>347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.75">
      <c r="A3" s="61" t="str">
        <f ca="1">+'Lighting Summary'!A4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.75">
      <c r="A4" s="61" t="s">
        <v>363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2.75">
      <c r="A5" s="61" t="s">
        <v>364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s="65" customFormat="1" ht="51">
      <c r="A7" s="63" t="s">
        <v>4</v>
      </c>
      <c r="B7" s="64" t="s">
        <v>350</v>
      </c>
      <c r="C7" s="63" t="s">
        <v>351</v>
      </c>
      <c r="D7" s="63" t="str">
        <f ca="1">+'Schedule 003'!D7</f>
        <v>Inventory
@
9-1-07</v>
      </c>
      <c r="E7" s="64" t="str">
        <f ca="1">+'Schedule 003'!E7</f>
        <v>Billed kWh
12 Months
ended
9-30-07</v>
      </c>
      <c r="F7" s="64" t="str">
        <f ca="1">+'Schedule 003'!F7</f>
        <v>Schedule 95</v>
      </c>
      <c r="G7" s="64" t="str">
        <f ca="1">+'Schedule 003'!G7</f>
        <v>Proforma Base Lamp Charge</v>
      </c>
      <c r="H7" s="64" t="str">
        <f ca="1">+'Schedule 003'!H7</f>
        <v>Proposed Lamp Charge</v>
      </c>
      <c r="I7" s="64" t="s">
        <v>356</v>
      </c>
      <c r="J7" s="64" t="s">
        <v>312</v>
      </c>
      <c r="K7" s="63" t="s">
        <v>313</v>
      </c>
      <c r="L7" s="63" t="s">
        <v>223</v>
      </c>
    </row>
    <row r="8" spans="1:12" ht="12.75">
      <c r="A8" s="83" t="s">
        <v>365</v>
      </c>
      <c r="B8" s="118">
        <v>50</v>
      </c>
      <c r="C8" s="118" t="s">
        <v>366</v>
      </c>
      <c r="D8" s="21">
        <v>0</v>
      </c>
      <c r="E8" s="118"/>
      <c r="F8" s="114">
        <v>0.07</v>
      </c>
      <c r="G8" s="115">
        <v>1.77</v>
      </c>
      <c r="H8" s="115">
        <f ca="1">ROUND((+G8+F8)*(1+$H$28),2)</f>
        <v>1.92</v>
      </c>
      <c r="I8" s="96">
        <f>ROUND(+G8*$D8*12+F8*D8*12,0)</f>
        <v>0</v>
      </c>
      <c r="J8" s="96">
        <f aca="true" t="shared" si="0" ref="J8:J15">ROUND(+H8*$D8*12,0)</f>
        <v>0</v>
      </c>
      <c r="K8" s="96">
        <f aca="true" t="shared" si="1" ref="K8:K15">+J8-I8</f>
        <v>0</v>
      </c>
      <c r="L8" s="188" t="str">
        <f ca="1">IF(+K8=0,"na",K8/I8)</f>
        <v>na</v>
      </c>
    </row>
    <row r="9" spans="1:14" ht="12.75">
      <c r="A9" s="76" t="str">
        <f aca="true" t="shared" si="2" ref="A9:A15">+A8</f>
        <v xml:space="preserve">52E </v>
      </c>
      <c r="B9" s="118">
        <v>70</v>
      </c>
      <c r="C9" s="118" t="s">
        <v>366</v>
      </c>
      <c r="D9" s="21">
        <v>393</v>
      </c>
      <c r="E9" s="118"/>
      <c r="F9" s="114">
        <v>0.1</v>
      </c>
      <c r="G9" s="115">
        <v>2.58</v>
      </c>
      <c r="H9" s="115">
        <f aca="true" t="shared" si="3" ref="H9:H23">ROUND((+G9+F9)*(1+$H$28),2)</f>
        <v>2.79</v>
      </c>
      <c r="I9" s="96">
        <f aca="true" t="shared" si="4" ref="I9:I23">ROUND(+G9*$D9*12+F9*D9*12,0)</f>
        <v>12639</v>
      </c>
      <c r="J9" s="96">
        <f ca="1" t="shared" si="0"/>
        <v>13158</v>
      </c>
      <c r="K9" s="96">
        <f ca="1" t="shared" si="1"/>
        <v>519</v>
      </c>
      <c r="L9" s="188">
        <f aca="true" t="shared" si="5" ref="L9:L23">IF(+K9=0,"na",K9/I9)</f>
        <v>0.04106337526703062</v>
      </c>
      <c r="N9" s="94"/>
    </row>
    <row r="10" spans="1:14" ht="12.75">
      <c r="A10" s="76" t="str">
        <f t="shared" si="2"/>
        <v xml:space="preserve">52E </v>
      </c>
      <c r="B10" s="118">
        <v>100</v>
      </c>
      <c r="C10" s="118" t="s">
        <v>366</v>
      </c>
      <c r="D10" s="21">
        <v>8244</v>
      </c>
      <c r="E10" s="118"/>
      <c r="F10" s="114">
        <v>0.14</v>
      </c>
      <c r="G10" s="115">
        <v>3.63</v>
      </c>
      <c r="H10" s="115">
        <f ca="1" t="shared" si="3"/>
        <v>3.93</v>
      </c>
      <c r="I10" s="96">
        <f t="shared" si="4"/>
        <v>372959</v>
      </c>
      <c r="J10" s="96">
        <f ca="1" t="shared" si="0"/>
        <v>388787</v>
      </c>
      <c r="K10" s="96">
        <f ca="1" t="shared" si="1"/>
        <v>15828</v>
      </c>
      <c r="L10" s="188">
        <f ca="1" t="shared" si="5"/>
        <v>0.04243898122849965</v>
      </c>
      <c r="N10" s="94"/>
    </row>
    <row r="11" spans="1:14" ht="12.75">
      <c r="A11" s="76" t="str">
        <f t="shared" si="2"/>
        <v xml:space="preserve">52E </v>
      </c>
      <c r="B11" s="118">
        <v>150</v>
      </c>
      <c r="C11" s="118" t="s">
        <v>366</v>
      </c>
      <c r="D11" s="21">
        <v>2997</v>
      </c>
      <c r="E11" s="118"/>
      <c r="F11" s="114">
        <v>0.19</v>
      </c>
      <c r="G11" s="115">
        <v>5.29</v>
      </c>
      <c r="H11" s="115">
        <f ca="1" t="shared" si="3"/>
        <v>5.71</v>
      </c>
      <c r="I11" s="96">
        <f t="shared" si="4"/>
        <v>197083</v>
      </c>
      <c r="J11" s="96">
        <f ca="1" t="shared" si="0"/>
        <v>205354</v>
      </c>
      <c r="K11" s="96">
        <f ca="1" t="shared" si="1"/>
        <v>8271</v>
      </c>
      <c r="L11" s="188">
        <f ca="1" t="shared" si="5"/>
        <v>0.041967090007763226</v>
      </c>
      <c r="N11" s="94"/>
    </row>
    <row r="12" spans="1:14" ht="12.75">
      <c r="A12" s="76" t="str">
        <f t="shared" si="2"/>
        <v xml:space="preserve">52E </v>
      </c>
      <c r="B12" s="118">
        <v>200</v>
      </c>
      <c r="C12" s="118" t="s">
        <v>366</v>
      </c>
      <c r="D12" s="21">
        <v>649</v>
      </c>
      <c r="E12" s="118"/>
      <c r="F12" s="114">
        <v>0.25</v>
      </c>
      <c r="G12" s="115">
        <v>7.01</v>
      </c>
      <c r="H12" s="115">
        <f ca="1" t="shared" si="3"/>
        <v>7.57</v>
      </c>
      <c r="I12" s="96">
        <f t="shared" si="4"/>
        <v>56541</v>
      </c>
      <c r="J12" s="96">
        <f ca="1" t="shared" si="0"/>
        <v>58955</v>
      </c>
      <c r="K12" s="96">
        <f ca="1" t="shared" si="1"/>
        <v>2414</v>
      </c>
      <c r="L12" s="188">
        <f ca="1" t="shared" si="5"/>
        <v>0.04269468173537787</v>
      </c>
      <c r="N12" s="94"/>
    </row>
    <row r="13" spans="1:14" ht="12.75">
      <c r="A13" s="76" t="str">
        <f t="shared" si="2"/>
        <v xml:space="preserve">52E </v>
      </c>
      <c r="B13" s="118">
        <v>250</v>
      </c>
      <c r="C13" s="118" t="s">
        <v>366</v>
      </c>
      <c r="D13" s="21">
        <v>786</v>
      </c>
      <c r="E13" s="118"/>
      <c r="F13" s="114">
        <v>0.31</v>
      </c>
      <c r="G13" s="115">
        <v>8.71</v>
      </c>
      <c r="H13" s="115">
        <f ca="1" t="shared" si="3"/>
        <v>9.41</v>
      </c>
      <c r="I13" s="96">
        <f t="shared" si="4"/>
        <v>85077</v>
      </c>
      <c r="J13" s="96">
        <f ca="1" t="shared" si="0"/>
        <v>88755</v>
      </c>
      <c r="K13" s="96">
        <f ca="1" t="shared" si="1"/>
        <v>3678</v>
      </c>
      <c r="L13" s="188">
        <f ca="1" t="shared" si="5"/>
        <v>0.043231425649705564</v>
      </c>
      <c r="N13" s="94"/>
    </row>
    <row r="14" spans="1:14" ht="12.75">
      <c r="A14" s="76" t="str">
        <f t="shared" si="2"/>
        <v xml:space="preserve">52E </v>
      </c>
      <c r="B14" s="118">
        <v>310</v>
      </c>
      <c r="C14" s="118" t="s">
        <v>366</v>
      </c>
      <c r="D14" s="21">
        <v>155</v>
      </c>
      <c r="E14" s="118"/>
      <c r="F14" s="114">
        <v>0.44</v>
      </c>
      <c r="G14" s="115">
        <v>11.86</v>
      </c>
      <c r="H14" s="115">
        <f ca="1" t="shared" si="3"/>
        <v>12.83</v>
      </c>
      <c r="I14" s="96">
        <f t="shared" si="4"/>
        <v>22878</v>
      </c>
      <c r="J14" s="96">
        <f ca="1" t="shared" si="0"/>
        <v>23864</v>
      </c>
      <c r="K14" s="96">
        <f ca="1" t="shared" si="1"/>
        <v>986</v>
      </c>
      <c r="L14" s="188">
        <f ca="1" t="shared" si="5"/>
        <v>0.043098172917213046</v>
      </c>
      <c r="N14" s="94"/>
    </row>
    <row r="15" spans="1:14" ht="12.75">
      <c r="A15" s="76" t="str">
        <f t="shared" si="2"/>
        <v xml:space="preserve">52E </v>
      </c>
      <c r="B15" s="118">
        <v>400</v>
      </c>
      <c r="C15" s="118" t="s">
        <v>366</v>
      </c>
      <c r="D15" s="21">
        <v>421</v>
      </c>
      <c r="E15" s="118"/>
      <c r="F15" s="114">
        <v>0.5</v>
      </c>
      <c r="G15" s="115">
        <v>13.57</v>
      </c>
      <c r="H15" s="115">
        <f ca="1" t="shared" si="3"/>
        <v>14.67</v>
      </c>
      <c r="I15" s="96">
        <f t="shared" si="4"/>
        <v>71082</v>
      </c>
      <c r="J15" s="96">
        <f ca="1" t="shared" si="0"/>
        <v>74113</v>
      </c>
      <c r="K15" s="96">
        <f ca="1" t="shared" si="1"/>
        <v>3031</v>
      </c>
      <c r="L15" s="188">
        <f ca="1" t="shared" si="5"/>
        <v>0.04264089361582398</v>
      </c>
      <c r="N15" s="94"/>
    </row>
    <row r="16" spans="1:14" ht="12.75">
      <c r="A16" s="76"/>
      <c r="B16" s="118"/>
      <c r="C16" s="118"/>
      <c r="D16" s="21"/>
      <c r="E16" s="118"/>
      <c r="F16" s="118"/>
      <c r="G16" s="114"/>
      <c r="H16" s="114"/>
      <c r="I16" s="96"/>
      <c r="J16" s="96"/>
      <c r="K16" s="96"/>
      <c r="L16" s="116"/>
      <c r="N16" s="94"/>
    </row>
    <row r="17" spans="1:14" ht="12.75">
      <c r="A17" s="83" t="str">
        <f>+A12</f>
        <v xml:space="preserve">52E </v>
      </c>
      <c r="B17" s="118">
        <v>70</v>
      </c>
      <c r="C17" s="118" t="s">
        <v>367</v>
      </c>
      <c r="D17" s="21">
        <v>0</v>
      </c>
      <c r="E17" s="118"/>
      <c r="F17" s="114">
        <v>0.11</v>
      </c>
      <c r="G17" s="115">
        <v>2.8</v>
      </c>
      <c r="H17" s="115">
        <f ca="1" t="shared" si="3"/>
        <v>3.03</v>
      </c>
      <c r="I17" s="96">
        <f>ROUND(+G17*$D17*12+F17*D17*12,0)</f>
        <v>0</v>
      </c>
      <c r="J17" s="96">
        <f aca="true" t="shared" si="6" ref="J17:J23">ROUND(+H17*$D17*12,0)</f>
        <v>0</v>
      </c>
      <c r="K17" s="96">
        <f aca="true" t="shared" si="7" ref="K17:K23">+J17-I17</f>
        <v>0</v>
      </c>
      <c r="L17" s="188" t="str">
        <f ca="1">IF(+K17=0,"na",K17/I17)</f>
        <v>na</v>
      </c>
      <c r="N17" s="94"/>
    </row>
    <row r="18" spans="1:14" ht="12.75">
      <c r="A18" s="83" t="str">
        <f>+A13</f>
        <v xml:space="preserve">52E </v>
      </c>
      <c r="B18" s="118">
        <v>100</v>
      </c>
      <c r="C18" s="118" t="s">
        <v>367</v>
      </c>
      <c r="D18" s="21">
        <v>0</v>
      </c>
      <c r="E18" s="118"/>
      <c r="F18" s="114">
        <v>0.15</v>
      </c>
      <c r="G18" s="115">
        <v>3.56</v>
      </c>
      <c r="H18" s="115">
        <f ca="1" t="shared" si="3"/>
        <v>3.87</v>
      </c>
      <c r="I18" s="96">
        <f>ROUND(+G18*$D18*12+F18*D18*12,0)</f>
        <v>0</v>
      </c>
      <c r="J18" s="96">
        <f ca="1" t="shared" si="6"/>
        <v>0</v>
      </c>
      <c r="K18" s="96">
        <f ca="1" t="shared" si="7"/>
        <v>0</v>
      </c>
      <c r="L18" s="188" t="str">
        <f ca="1">IF(+K18=0,"na",K18/I18)</f>
        <v>na</v>
      </c>
      <c r="N18" s="94"/>
    </row>
    <row r="19" spans="1:14" ht="12.75">
      <c r="A19" s="83" t="str">
        <f>+A14</f>
        <v xml:space="preserve">52E </v>
      </c>
      <c r="B19" s="118">
        <v>150</v>
      </c>
      <c r="C19" s="118" t="s">
        <v>367</v>
      </c>
      <c r="D19" s="21">
        <v>0</v>
      </c>
      <c r="E19" s="118"/>
      <c r="F19" s="114">
        <v>0.21</v>
      </c>
      <c r="G19" s="115">
        <v>5.12</v>
      </c>
      <c r="H19" s="115">
        <f ca="1" t="shared" si="3"/>
        <v>5.56</v>
      </c>
      <c r="I19" s="96">
        <f>ROUND(+G19*$D19*12+F19*D19*12,0)</f>
        <v>0</v>
      </c>
      <c r="J19" s="96">
        <f ca="1" t="shared" si="6"/>
        <v>0</v>
      </c>
      <c r="K19" s="96">
        <f ca="1" t="shared" si="7"/>
        <v>0</v>
      </c>
      <c r="L19" s="188" t="str">
        <f ca="1">IF(+K19=0,"na",K19/I19)</f>
        <v>na</v>
      </c>
      <c r="N19" s="94"/>
    </row>
    <row r="20" spans="1:14" ht="12.75">
      <c r="A20" s="83" t="str">
        <f>+A15</f>
        <v xml:space="preserve">52E </v>
      </c>
      <c r="B20" s="118">
        <v>175</v>
      </c>
      <c r="C20" s="118" t="s">
        <v>367</v>
      </c>
      <c r="D20" s="21">
        <v>285</v>
      </c>
      <c r="E20" s="118"/>
      <c r="F20" s="114">
        <v>0.24</v>
      </c>
      <c r="G20" s="115">
        <v>6.06</v>
      </c>
      <c r="H20" s="115">
        <f ca="1" t="shared" si="3"/>
        <v>6.57</v>
      </c>
      <c r="I20" s="96">
        <f t="shared" si="4"/>
        <v>21546</v>
      </c>
      <c r="J20" s="96">
        <f ca="1" t="shared" si="6"/>
        <v>22469</v>
      </c>
      <c r="K20" s="96">
        <f ca="1" t="shared" si="7"/>
        <v>923</v>
      </c>
      <c r="L20" s="188">
        <f ca="1" t="shared" si="5"/>
        <v>0.04283857792629722</v>
      </c>
      <c r="N20" s="94"/>
    </row>
    <row r="21" spans="1:14" ht="12.75">
      <c r="A21" s="76" t="str">
        <f>+A20</f>
        <v xml:space="preserve">52E </v>
      </c>
      <c r="B21" s="118">
        <v>250</v>
      </c>
      <c r="C21" s="118" t="str">
        <f>+C20</f>
        <v>Metal Halide</v>
      </c>
      <c r="D21" s="21">
        <v>0</v>
      </c>
      <c r="E21" s="118"/>
      <c r="F21" s="114">
        <v>0.33</v>
      </c>
      <c r="G21" s="115">
        <v>8.24</v>
      </c>
      <c r="H21" s="115">
        <f ca="1" t="shared" si="3"/>
        <v>8.94</v>
      </c>
      <c r="I21" s="96">
        <f t="shared" si="4"/>
        <v>0</v>
      </c>
      <c r="J21" s="96">
        <f ca="1" t="shared" si="6"/>
        <v>0</v>
      </c>
      <c r="K21" s="96">
        <f ca="1" t="shared" si="7"/>
        <v>0</v>
      </c>
      <c r="L21" s="188" t="str">
        <f ca="1" t="shared" si="5"/>
        <v>na</v>
      </c>
      <c r="N21" s="94"/>
    </row>
    <row r="22" spans="1:14" ht="12.75">
      <c r="A22" s="76" t="str">
        <f>+A21</f>
        <v xml:space="preserve">52E </v>
      </c>
      <c r="B22" s="118">
        <v>400</v>
      </c>
      <c r="C22" s="118" t="str">
        <f>+C21</f>
        <v>Metal Halide</v>
      </c>
      <c r="D22" s="21">
        <v>0</v>
      </c>
      <c r="E22" s="118"/>
      <c r="F22" s="114">
        <v>0.52</v>
      </c>
      <c r="G22" s="115">
        <v>12.92</v>
      </c>
      <c r="H22" s="115">
        <f ca="1" t="shared" si="3"/>
        <v>14.01</v>
      </c>
      <c r="I22" s="96">
        <f t="shared" si="4"/>
        <v>0</v>
      </c>
      <c r="J22" s="96">
        <f ca="1" t="shared" si="6"/>
        <v>0</v>
      </c>
      <c r="K22" s="96">
        <f ca="1" t="shared" si="7"/>
        <v>0</v>
      </c>
      <c r="L22" s="188" t="str">
        <f ca="1" t="shared" si="5"/>
        <v>na</v>
      </c>
      <c r="N22" s="94"/>
    </row>
    <row r="23" spans="1:14" ht="12.75">
      <c r="A23" s="76" t="str">
        <f>+A22</f>
        <v xml:space="preserve">52E </v>
      </c>
      <c r="B23" s="118">
        <v>1000</v>
      </c>
      <c r="C23" s="118" t="str">
        <f>+C22</f>
        <v>Metal Halide</v>
      </c>
      <c r="D23" s="21">
        <v>18</v>
      </c>
      <c r="E23" s="118"/>
      <c r="F23" s="114">
        <v>1.25</v>
      </c>
      <c r="G23" s="115">
        <v>30.92</v>
      </c>
      <c r="H23" s="115">
        <f ca="1" t="shared" si="3"/>
        <v>33.55</v>
      </c>
      <c r="I23" s="96">
        <f t="shared" si="4"/>
        <v>6949</v>
      </c>
      <c r="J23" s="96">
        <f ca="1" t="shared" si="6"/>
        <v>7247</v>
      </c>
      <c r="K23" s="96">
        <f ca="1" t="shared" si="7"/>
        <v>298</v>
      </c>
      <c r="L23" s="188">
        <f ca="1" t="shared" si="5"/>
        <v>0.0428838681824723</v>
      </c>
      <c r="N23" s="94"/>
    </row>
    <row r="24" spans="1:12" ht="12.75">
      <c r="A24" s="76"/>
      <c r="B24" s="118"/>
      <c r="C24" s="118"/>
      <c r="D24" s="118"/>
      <c r="E24" s="118"/>
      <c r="F24" s="118"/>
      <c r="G24" s="114"/>
      <c r="H24" s="114"/>
      <c r="I24" s="96"/>
      <c r="J24" s="96"/>
      <c r="K24" s="96"/>
      <c r="L24" s="116"/>
    </row>
    <row r="25" spans="2:12" ht="13.5" thickBot="1">
      <c r="B25" s="118"/>
      <c r="C25" s="118"/>
      <c r="D25" s="95">
        <f>SUM(D8:D23)</f>
        <v>13948</v>
      </c>
      <c r="E25" s="39">
        <f ca="1">+'Lighting Summary'!B12</f>
        <v>8884359.386</v>
      </c>
      <c r="F25" s="118"/>
      <c r="G25" s="114"/>
      <c r="H25" s="114"/>
      <c r="I25" s="87">
        <f>SUM(I8:I23)+F25</f>
        <v>846754</v>
      </c>
      <c r="J25" s="87">
        <f ca="1">SUM(J8:J23)</f>
        <v>882702</v>
      </c>
      <c r="K25" s="87">
        <f ca="1">SUM(K8:K23)</f>
        <v>35948</v>
      </c>
      <c r="L25" s="123">
        <f ca="1">+K25/I25</f>
        <v>0.04245388861463896</v>
      </c>
    </row>
    <row r="26" spans="2:12" ht="13.5" thickTop="1">
      <c r="B26" s="118"/>
      <c r="C26" s="118"/>
      <c r="D26" s="118"/>
      <c r="E26" s="118"/>
      <c r="F26" s="118"/>
      <c r="G26" s="114"/>
      <c r="H26" s="114"/>
      <c r="L26" s="116"/>
    </row>
    <row r="28" spans="1:8" ht="12.75" hidden="1">
      <c r="A28" s="62" t="str">
        <f ca="1">+'Schedule 003'!$A$14</f>
        <v>Proposed Increase</v>
      </c>
      <c r="H28" s="198">
        <f ca="1">+'Lighting Summary'!$E$26</f>
        <v>0.04276429660197481</v>
      </c>
    </row>
    <row r="29" ht="12.75" hidden="1"/>
    <row r="30" ht="12.75" hidden="1"/>
    <row r="31" spans="1:9" ht="12.75" hidden="1">
      <c r="A31" s="83" t="str">
        <f ca="1">+'Schedule 003'!$A$16</f>
        <v>Annual Schedule 95</v>
      </c>
      <c r="I31" s="96">
        <f>(SUMPRODUCT(D8:D15,F8:F15)+SUMPRODUCT(D17:D23,F17:F23))*12</f>
        <v>30460.799999999996</v>
      </c>
    </row>
  </sheetData>
  <printOptions horizontalCentered="1"/>
  <pageMargins left="0.75" right="0.75" top="1" bottom="1" header="0.5" footer="0.5"/>
  <pageSetup horizontalDpi="600" verticalDpi="600" orientation="landscape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IV65536"/>
    </sheetView>
  </sheetViews>
  <sheetFormatPr defaultColWidth="9.140625" defaultRowHeight="12.75"/>
  <cols>
    <col min="1" max="1" width="29.8515625" style="62" bestFit="1" customWidth="1"/>
    <col min="2" max="2" width="12.28125" style="62" bestFit="1" customWidth="1"/>
    <col min="3" max="3" width="8.421875" style="62" bestFit="1" customWidth="1"/>
    <col min="4" max="4" width="8.8515625" style="62" bestFit="1" customWidth="1"/>
    <col min="5" max="5" width="12.28125" style="62" bestFit="1" customWidth="1"/>
    <col min="6" max="6" width="9.7109375" style="62" bestFit="1" customWidth="1"/>
    <col min="7" max="7" width="10.28125" style="62" bestFit="1" customWidth="1"/>
    <col min="8" max="8" width="7.28125" style="62" bestFit="1" customWidth="1"/>
    <col min="9" max="16384" width="9.140625" style="62" customWidth="1"/>
  </cols>
  <sheetData>
    <row r="1" spans="1:8" ht="12.75">
      <c r="A1" s="61" t="s">
        <v>0</v>
      </c>
      <c r="B1" s="61"/>
      <c r="C1" s="61"/>
      <c r="D1" s="61"/>
      <c r="E1" s="61"/>
      <c r="F1" s="61"/>
      <c r="G1" s="61"/>
      <c r="H1" s="61"/>
    </row>
    <row r="2" spans="1:8" ht="12.75">
      <c r="A2" s="61" t="s">
        <v>347</v>
      </c>
      <c r="B2" s="61"/>
      <c r="C2" s="61"/>
      <c r="D2" s="61"/>
      <c r="E2" s="61"/>
      <c r="F2" s="61"/>
      <c r="G2" s="61"/>
      <c r="H2" s="61"/>
    </row>
    <row r="3" spans="1:8" ht="12.75">
      <c r="A3" s="61" t="str">
        <f ca="1">+'Lighting Summary'!A4</f>
        <v>Twelve Months ended September 30, 2007</v>
      </c>
      <c r="B3" s="61"/>
      <c r="C3" s="61"/>
      <c r="D3" s="61"/>
      <c r="E3" s="61"/>
      <c r="F3" s="61"/>
      <c r="G3" s="61"/>
      <c r="H3" s="61"/>
    </row>
    <row r="4" spans="1:8" ht="12.75">
      <c r="A4" s="61" t="s">
        <v>368</v>
      </c>
      <c r="B4" s="61"/>
      <c r="C4" s="61"/>
      <c r="D4" s="61"/>
      <c r="E4" s="61"/>
      <c r="F4" s="61"/>
      <c r="G4" s="61"/>
      <c r="H4" s="61"/>
    </row>
    <row r="5" spans="1:8" ht="12.75">
      <c r="A5" s="61" t="s">
        <v>364</v>
      </c>
      <c r="B5" s="61"/>
      <c r="C5" s="61"/>
      <c r="D5" s="61"/>
      <c r="E5" s="61"/>
      <c r="F5" s="61"/>
      <c r="G5" s="61"/>
      <c r="H5" s="61"/>
    </row>
    <row r="7" spans="1:8" s="65" customFormat="1" ht="38.25">
      <c r="A7" s="63" t="s">
        <v>4</v>
      </c>
      <c r="B7" s="64" t="s">
        <v>369</v>
      </c>
      <c r="C7" s="64" t="s">
        <v>370</v>
      </c>
      <c r="D7" s="64" t="s">
        <v>371</v>
      </c>
      <c r="E7" s="64" t="s">
        <v>356</v>
      </c>
      <c r="F7" s="64" t="s">
        <v>312</v>
      </c>
      <c r="G7" s="63" t="s">
        <v>313</v>
      </c>
      <c r="H7" s="63" t="s">
        <v>223</v>
      </c>
    </row>
    <row r="8" spans="1:8" ht="12.75">
      <c r="A8" s="83" t="s">
        <v>372</v>
      </c>
      <c r="B8" s="33">
        <v>23248969.267000053</v>
      </c>
      <c r="C8" s="199">
        <v>0.0024</v>
      </c>
      <c r="D8" s="200">
        <f ca="1">ROUND((+C8*(1+D11)),5)</f>
        <v>0.0025</v>
      </c>
      <c r="E8" s="96">
        <f>+C8*B8*12</f>
        <v>669570.3148896014</v>
      </c>
      <c r="F8" s="96">
        <f ca="1">+B8*D8*12</f>
        <v>697469.0780100017</v>
      </c>
      <c r="G8" s="96">
        <f ca="1">+F8-E8</f>
        <v>27898.763120400254</v>
      </c>
      <c r="H8" s="116">
        <f ca="1">+G8/E8</f>
        <v>0.041666666666666956</v>
      </c>
    </row>
    <row r="9" spans="1:8" ht="12.75">
      <c r="A9" s="76"/>
      <c r="B9" s="118"/>
      <c r="C9" s="114"/>
      <c r="D9" s="114"/>
      <c r="E9" s="96"/>
      <c r="F9" s="96"/>
      <c r="G9" s="96"/>
      <c r="H9" s="116"/>
    </row>
    <row r="11" spans="1:4" ht="12.75">
      <c r="A11" s="62" t="str">
        <f ca="1">+'Schedule 003'!$A$14</f>
        <v>Proposed Increase</v>
      </c>
      <c r="D11" s="198">
        <f ca="1">+'Lighting Summary'!$E$26</f>
        <v>0.04276429660197481</v>
      </c>
    </row>
    <row r="23" ht="12.75">
      <c r="F23" s="198"/>
    </row>
  </sheetData>
  <printOptions horizontalCentered="1"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workbookViewId="0" topLeftCell="A19">
      <selection activeCell="I45" sqref="I45"/>
    </sheetView>
  </sheetViews>
  <sheetFormatPr defaultColWidth="9.140625" defaultRowHeight="12.75"/>
  <cols>
    <col min="1" max="1" width="20.28125" style="62" bestFit="1" customWidth="1"/>
    <col min="2" max="2" width="10.00390625" style="62" bestFit="1" customWidth="1"/>
    <col min="3" max="3" width="13.8515625" style="62" bestFit="1" customWidth="1"/>
    <col min="4" max="4" width="8.7109375" style="62" bestFit="1" customWidth="1"/>
    <col min="5" max="5" width="12.00390625" style="62" bestFit="1" customWidth="1"/>
    <col min="6" max="6" width="11.28125" style="62" customWidth="1"/>
    <col min="7" max="8" width="9.00390625" style="62" bestFit="1" customWidth="1"/>
    <col min="9" max="10" width="13.00390625" style="62" bestFit="1" customWidth="1"/>
    <col min="11" max="11" width="11.421875" style="62" bestFit="1" customWidth="1"/>
    <col min="12" max="12" width="7.421875" style="62" bestFit="1" customWidth="1"/>
    <col min="13" max="16384" width="9.140625" style="62" customWidth="1"/>
  </cols>
  <sheetData>
    <row r="1" spans="1:12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75">
      <c r="A2" s="61" t="s">
        <v>347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.75">
      <c r="A3" s="61" t="str">
        <f ca="1">+'Lighting Summary'!A4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.75">
      <c r="A4" s="61" t="s">
        <v>373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2.75">
      <c r="A5" s="61" t="s">
        <v>374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s="65" customFormat="1" ht="51">
      <c r="A7" s="63" t="s">
        <v>4</v>
      </c>
      <c r="B7" s="64" t="s">
        <v>350</v>
      </c>
      <c r="C7" s="63" t="s">
        <v>351</v>
      </c>
      <c r="D7" s="63" t="str">
        <f ca="1">+'Schedule 003'!D7</f>
        <v>Inventory
@
9-1-07</v>
      </c>
      <c r="E7" s="64" t="str">
        <f ca="1">+'Schedule 003'!E7</f>
        <v>Billed kWh
12 Months
ended
9-30-07</v>
      </c>
      <c r="F7" s="64" t="str">
        <f ca="1">+'Schedule 003'!F7</f>
        <v>Schedule 95</v>
      </c>
      <c r="G7" s="64" t="str">
        <f ca="1">+'Schedule 003'!G7</f>
        <v>Proforma Base Lamp Charge</v>
      </c>
      <c r="H7" s="64" t="str">
        <f ca="1">+'Schedule 003'!H7</f>
        <v>Proposed Lamp Charge</v>
      </c>
      <c r="I7" s="64" t="s">
        <v>356</v>
      </c>
      <c r="J7" s="64" t="s">
        <v>312</v>
      </c>
      <c r="K7" s="63" t="s">
        <v>313</v>
      </c>
      <c r="L7" s="63" t="s">
        <v>223</v>
      </c>
    </row>
    <row r="8" spans="1:12" ht="12.75">
      <c r="A8" s="83" t="s">
        <v>375</v>
      </c>
      <c r="B8" s="118">
        <v>50</v>
      </c>
      <c r="C8" s="118" t="s">
        <v>366</v>
      </c>
      <c r="D8" s="21">
        <v>23</v>
      </c>
      <c r="E8" s="118"/>
      <c r="F8" s="114">
        <v>0.07</v>
      </c>
      <c r="G8" s="115">
        <v>8.16</v>
      </c>
      <c r="H8" s="115">
        <f ca="1">ROUND((+(G8+F8)*(1+$H$39)),2)</f>
        <v>8.58</v>
      </c>
      <c r="I8" s="96">
        <f>ROUND(+G8*$D8*12+F8*D8*12,0)</f>
        <v>2271</v>
      </c>
      <c r="J8" s="96">
        <f ca="1">ROUND(+H8*$D8*12,0)</f>
        <v>2368</v>
      </c>
      <c r="K8" s="96">
        <f ca="1">+J8-I8</f>
        <v>97</v>
      </c>
      <c r="L8" s="188">
        <f ca="1">IF(K8=0,"na",+K8/I8)</f>
        <v>0.04271246147071774</v>
      </c>
    </row>
    <row r="9" spans="1:12" ht="12.75">
      <c r="A9" s="76" t="str">
        <f aca="true" t="shared" si="0" ref="A9:A16">+A8</f>
        <v>53E - Company Owned</v>
      </c>
      <c r="B9" s="118">
        <v>70</v>
      </c>
      <c r="C9" s="118" t="s">
        <v>366</v>
      </c>
      <c r="D9" s="21">
        <v>6346</v>
      </c>
      <c r="E9" s="118"/>
      <c r="F9" s="114">
        <v>0.1</v>
      </c>
      <c r="G9" s="115">
        <v>9.32</v>
      </c>
      <c r="H9" s="115">
        <f ca="1">ROUND((+(G9+F9)*(1+$H$39)),2)</f>
        <v>9.82</v>
      </c>
      <c r="I9" s="96">
        <f aca="true" t="shared" si="1" ref="I9:I26">ROUND(+G9*$D9*12+F9*D9*12,0)</f>
        <v>717352</v>
      </c>
      <c r="J9" s="96">
        <f ca="1">ROUND(+H9*$D9*12,0)</f>
        <v>747813</v>
      </c>
      <c r="K9" s="96">
        <f ca="1">+J9-I9</f>
        <v>30461</v>
      </c>
      <c r="L9" s="188">
        <f aca="true" t="shared" si="2" ref="L9:L26">IF(K9=0,"na",+K9/I9)</f>
        <v>0.04246311434274944</v>
      </c>
    </row>
    <row r="10" spans="1:12" ht="12.75">
      <c r="A10" s="76" t="str">
        <f t="shared" si="0"/>
        <v>53E - Company Owned</v>
      </c>
      <c r="B10" s="118">
        <v>100</v>
      </c>
      <c r="C10" s="118" t="s">
        <v>366</v>
      </c>
      <c r="D10" s="21">
        <v>46109</v>
      </c>
      <c r="E10" s="118"/>
      <c r="F10" s="114">
        <v>0.14</v>
      </c>
      <c r="G10" s="115">
        <v>10.47</v>
      </c>
      <c r="H10" s="115">
        <f ca="1">ROUND((+(G10+F10)*(1+$H$39)),2)</f>
        <v>11.06</v>
      </c>
      <c r="I10" s="96">
        <f t="shared" si="1"/>
        <v>5870598</v>
      </c>
      <c r="J10" s="96">
        <f ca="1">ROUND(+H10*$D10*12,0)</f>
        <v>6119586</v>
      </c>
      <c r="K10" s="96">
        <f ca="1">+J10-I10</f>
        <v>248988</v>
      </c>
      <c r="L10" s="188">
        <f ca="1" t="shared" si="2"/>
        <v>0.04241271502494295</v>
      </c>
    </row>
    <row r="11" spans="1:12" ht="12.75">
      <c r="A11" s="76" t="str">
        <f t="shared" si="0"/>
        <v>53E - Company Owned</v>
      </c>
      <c r="B11" s="118">
        <v>150</v>
      </c>
      <c r="C11" s="118" t="s">
        <v>366</v>
      </c>
      <c r="D11" s="21">
        <v>5057</v>
      </c>
      <c r="E11" s="118"/>
      <c r="F11" s="114">
        <v>0.19</v>
      </c>
      <c r="G11" s="115">
        <v>12.43</v>
      </c>
      <c r="H11" s="115">
        <f ca="1">ROUND((+(G11+F11)*(1+$H$39)),2)-0.01</f>
        <v>13.15</v>
      </c>
      <c r="I11" s="96">
        <f t="shared" si="1"/>
        <v>765832</v>
      </c>
      <c r="J11" s="96">
        <f ca="1">ROUND(+H11*$D11*12,0)</f>
        <v>797995</v>
      </c>
      <c r="K11" s="96">
        <f ca="1">+J11-I11</f>
        <v>32163</v>
      </c>
      <c r="L11" s="188">
        <f ca="1" t="shared" si="2"/>
        <v>0.041997461584263915</v>
      </c>
    </row>
    <row r="12" spans="1:12" ht="12.75">
      <c r="A12" s="76" t="str">
        <f t="shared" si="0"/>
        <v>53E - Company Owned</v>
      </c>
      <c r="B12" s="118">
        <v>200</v>
      </c>
      <c r="C12" s="118" t="s">
        <v>366</v>
      </c>
      <c r="D12" s="21">
        <v>0</v>
      </c>
      <c r="E12" s="118"/>
      <c r="F12" s="114">
        <v>0.25</v>
      </c>
      <c r="G12" s="115">
        <v>14.84</v>
      </c>
      <c r="H12" s="115">
        <f aca="true" t="shared" si="3" ref="H12:H26">ROUND((+(G12+F12)*(1+$H$39)),2)</f>
        <v>15.74</v>
      </c>
      <c r="I12" s="96">
        <f t="shared" si="1"/>
        <v>0</v>
      </c>
      <c r="J12" s="96">
        <f aca="true" t="shared" si="4" ref="J12:J18">ROUND(+H12*$D12*12,0)</f>
        <v>0</v>
      </c>
      <c r="K12" s="96">
        <f aca="true" t="shared" si="5" ref="K12:K18">+J12-I12</f>
        <v>0</v>
      </c>
      <c r="L12" s="188" t="str">
        <f ca="1" t="shared" si="2"/>
        <v>na</v>
      </c>
    </row>
    <row r="13" spans="1:12" ht="12.75">
      <c r="A13" s="76" t="str">
        <f t="shared" si="0"/>
        <v>53E - Company Owned</v>
      </c>
      <c r="B13" s="118">
        <v>250</v>
      </c>
      <c r="C13" s="118" t="s">
        <v>366</v>
      </c>
      <c r="D13" s="21">
        <v>7259</v>
      </c>
      <c r="E13" s="118"/>
      <c r="F13" s="114">
        <v>0.31</v>
      </c>
      <c r="G13" s="115">
        <v>16.68</v>
      </c>
      <c r="H13" s="115">
        <f ca="1" t="shared" si="3"/>
        <v>17.72</v>
      </c>
      <c r="I13" s="96">
        <f t="shared" si="1"/>
        <v>1479965</v>
      </c>
      <c r="J13" s="96">
        <f ca="1" t="shared" si="4"/>
        <v>1543554</v>
      </c>
      <c r="K13" s="96">
        <f ca="1" t="shared" si="5"/>
        <v>63589</v>
      </c>
      <c r="L13" s="188">
        <f ca="1" t="shared" si="2"/>
        <v>0.0429665566415422</v>
      </c>
    </row>
    <row r="14" spans="1:12" ht="12.75">
      <c r="A14" s="76" t="str">
        <f t="shared" si="0"/>
        <v>53E - Company Owned</v>
      </c>
      <c r="B14" s="118">
        <v>310</v>
      </c>
      <c r="C14" s="118" t="s">
        <v>366</v>
      </c>
      <c r="D14" s="21">
        <v>2132</v>
      </c>
      <c r="E14" s="118"/>
      <c r="F14" s="114">
        <v>0.44</v>
      </c>
      <c r="G14" s="115">
        <v>19.19</v>
      </c>
      <c r="H14" s="115">
        <f ca="1" t="shared" si="3"/>
        <v>20.47</v>
      </c>
      <c r="I14" s="96">
        <f t="shared" si="1"/>
        <v>502214</v>
      </c>
      <c r="J14" s="96">
        <f ca="1" t="shared" si="4"/>
        <v>523704</v>
      </c>
      <c r="K14" s="96">
        <f ca="1" t="shared" si="5"/>
        <v>21490</v>
      </c>
      <c r="L14" s="188">
        <f ca="1" t="shared" si="2"/>
        <v>0.04279052356166893</v>
      </c>
    </row>
    <row r="15" spans="1:12" ht="12.75">
      <c r="A15" s="76" t="str">
        <f t="shared" si="0"/>
        <v>53E - Company Owned</v>
      </c>
      <c r="B15" s="118">
        <v>400</v>
      </c>
      <c r="C15" s="118" t="s">
        <v>366</v>
      </c>
      <c r="D15" s="21">
        <v>27</v>
      </c>
      <c r="E15" s="118"/>
      <c r="F15" s="114">
        <v>0.5</v>
      </c>
      <c r="G15" s="115">
        <v>22.46</v>
      </c>
      <c r="H15" s="115">
        <f ca="1" t="shared" si="3"/>
        <v>23.94</v>
      </c>
      <c r="I15" s="96">
        <f t="shared" si="1"/>
        <v>7439</v>
      </c>
      <c r="J15" s="96">
        <f ca="1" t="shared" si="4"/>
        <v>7757</v>
      </c>
      <c r="K15" s="96">
        <f ca="1" t="shared" si="5"/>
        <v>318</v>
      </c>
      <c r="L15" s="188">
        <f ca="1" t="shared" si="2"/>
        <v>0.04274768113993816</v>
      </c>
    </row>
    <row r="16" spans="1:12" ht="12.75">
      <c r="A16" s="76" t="str">
        <f t="shared" si="0"/>
        <v>53E - Company Owned</v>
      </c>
      <c r="B16" s="118">
        <v>1000</v>
      </c>
      <c r="C16" s="118" t="s">
        <v>366</v>
      </c>
      <c r="D16" s="21">
        <v>1294</v>
      </c>
      <c r="E16" s="118"/>
      <c r="F16" s="114">
        <v>1.28</v>
      </c>
      <c r="G16" s="115">
        <v>49.61</v>
      </c>
      <c r="H16" s="115">
        <f ca="1" t="shared" si="3"/>
        <v>53.07</v>
      </c>
      <c r="I16" s="96">
        <f t="shared" si="1"/>
        <v>790220</v>
      </c>
      <c r="J16" s="96">
        <f ca="1" t="shared" si="4"/>
        <v>824071</v>
      </c>
      <c r="K16" s="96">
        <f ca="1" t="shared" si="5"/>
        <v>33851</v>
      </c>
      <c r="L16" s="188">
        <f ca="1" t="shared" si="2"/>
        <v>0.04283743767558401</v>
      </c>
    </row>
    <row r="17" spans="1:12" ht="12.75">
      <c r="A17" s="76"/>
      <c r="B17" s="118"/>
      <c r="C17" s="118"/>
      <c r="D17" s="21"/>
      <c r="E17" s="118"/>
      <c r="F17" s="114"/>
      <c r="G17" s="114"/>
      <c r="H17" s="114"/>
      <c r="I17" s="96"/>
      <c r="J17" s="96"/>
      <c r="K17" s="96"/>
      <c r="L17" s="116"/>
    </row>
    <row r="18" spans="1:12" ht="12.75">
      <c r="A18" s="83" t="s">
        <v>376</v>
      </c>
      <c r="B18" s="118">
        <v>50</v>
      </c>
      <c r="C18" s="118" t="s">
        <v>366</v>
      </c>
      <c r="D18" s="21">
        <v>10</v>
      </c>
      <c r="E18" s="118"/>
      <c r="F18" s="114">
        <f>+F8</f>
        <v>0.07</v>
      </c>
      <c r="G18" s="115">
        <v>3.67</v>
      </c>
      <c r="H18" s="115">
        <f ca="1" t="shared" si="3"/>
        <v>3.9</v>
      </c>
      <c r="I18" s="96">
        <f t="shared" si="1"/>
        <v>449</v>
      </c>
      <c r="J18" s="96">
        <f ca="1" t="shared" si="4"/>
        <v>468</v>
      </c>
      <c r="K18" s="96">
        <f ca="1" t="shared" si="5"/>
        <v>19</v>
      </c>
      <c r="L18" s="188">
        <f ca="1" t="shared" si="2"/>
        <v>0.042316258351893093</v>
      </c>
    </row>
    <row r="19" spans="1:12" ht="12.75">
      <c r="A19" s="76" t="str">
        <f aca="true" t="shared" si="6" ref="A19:A26">+A18</f>
        <v>53E - Customer Owned</v>
      </c>
      <c r="B19" s="118">
        <v>70</v>
      </c>
      <c r="C19" s="118" t="s">
        <v>366</v>
      </c>
      <c r="D19" s="21">
        <v>128</v>
      </c>
      <c r="E19" s="118"/>
      <c r="F19" s="114">
        <f aca="true" t="shared" si="7" ref="F19:F26">+F9</f>
        <v>0.1</v>
      </c>
      <c r="G19" s="115">
        <v>4.55</v>
      </c>
      <c r="H19" s="115">
        <f ca="1" t="shared" si="3"/>
        <v>4.85</v>
      </c>
      <c r="I19" s="96">
        <f t="shared" si="1"/>
        <v>7142</v>
      </c>
      <c r="J19" s="96">
        <f aca="true" t="shared" si="8" ref="J19:J26">ROUND(+H19*$D19*12,0)</f>
        <v>7450</v>
      </c>
      <c r="K19" s="96">
        <f aca="true" t="shared" si="9" ref="K19:K26">+J19-I19</f>
        <v>308</v>
      </c>
      <c r="L19" s="188">
        <f ca="1" t="shared" si="2"/>
        <v>0.04312517502100252</v>
      </c>
    </row>
    <row r="20" spans="1:12" ht="12.75">
      <c r="A20" s="76" t="str">
        <f t="shared" si="6"/>
        <v>53E - Customer Owned</v>
      </c>
      <c r="B20" s="118">
        <v>100</v>
      </c>
      <c r="C20" s="118" t="s">
        <v>366</v>
      </c>
      <c r="D20" s="21">
        <v>684</v>
      </c>
      <c r="E20" s="118"/>
      <c r="F20" s="114">
        <f t="shared" si="7"/>
        <v>0.14</v>
      </c>
      <c r="G20" s="115">
        <v>5.58</v>
      </c>
      <c r="H20" s="115">
        <f ca="1" t="shared" si="3"/>
        <v>5.96</v>
      </c>
      <c r="I20" s="96">
        <f t="shared" si="1"/>
        <v>46950</v>
      </c>
      <c r="J20" s="96">
        <f ca="1" t="shared" si="8"/>
        <v>48920</v>
      </c>
      <c r="K20" s="96">
        <f ca="1" t="shared" si="9"/>
        <v>1970</v>
      </c>
      <c r="L20" s="188">
        <f ca="1" t="shared" si="2"/>
        <v>0.04195953141640043</v>
      </c>
    </row>
    <row r="21" spans="1:12" ht="12.75">
      <c r="A21" s="76" t="str">
        <f t="shared" si="6"/>
        <v>53E - Customer Owned</v>
      </c>
      <c r="B21" s="118">
        <v>150</v>
      </c>
      <c r="C21" s="118" t="s">
        <v>366</v>
      </c>
      <c r="D21" s="21">
        <v>386</v>
      </c>
      <c r="E21" s="118"/>
      <c r="F21" s="114">
        <f t="shared" si="7"/>
        <v>0.19</v>
      </c>
      <c r="G21" s="115">
        <v>7.29</v>
      </c>
      <c r="H21" s="115">
        <f ca="1" t="shared" si="3"/>
        <v>7.8</v>
      </c>
      <c r="I21" s="96">
        <f t="shared" si="1"/>
        <v>34647</v>
      </c>
      <c r="J21" s="96">
        <f ca="1" t="shared" si="8"/>
        <v>36130</v>
      </c>
      <c r="K21" s="96">
        <f ca="1" t="shared" si="9"/>
        <v>1483</v>
      </c>
      <c r="L21" s="188">
        <f ca="1" t="shared" si="2"/>
        <v>0.042803128698011374</v>
      </c>
    </row>
    <row r="22" spans="1:12" ht="12.75">
      <c r="A22" s="76" t="str">
        <f t="shared" si="6"/>
        <v>53E - Customer Owned</v>
      </c>
      <c r="B22" s="118">
        <v>200</v>
      </c>
      <c r="C22" s="118" t="s">
        <v>366</v>
      </c>
      <c r="D22" s="21">
        <v>1480</v>
      </c>
      <c r="E22" s="118"/>
      <c r="F22" s="114">
        <f t="shared" si="7"/>
        <v>0.25</v>
      </c>
      <c r="G22" s="115">
        <v>8.99</v>
      </c>
      <c r="H22" s="115">
        <f ca="1" t="shared" si="3"/>
        <v>9.64</v>
      </c>
      <c r="I22" s="96">
        <f t="shared" si="1"/>
        <v>164102</v>
      </c>
      <c r="J22" s="96">
        <f ca="1" t="shared" si="8"/>
        <v>171206</v>
      </c>
      <c r="K22" s="96">
        <f ca="1" t="shared" si="9"/>
        <v>7104</v>
      </c>
      <c r="L22" s="188">
        <f ca="1" t="shared" si="2"/>
        <v>0.04329014880988653</v>
      </c>
    </row>
    <row r="23" spans="1:12" ht="12.75">
      <c r="A23" s="76" t="str">
        <f t="shared" si="6"/>
        <v>53E - Customer Owned</v>
      </c>
      <c r="B23" s="118">
        <v>250</v>
      </c>
      <c r="C23" s="118" t="s">
        <v>366</v>
      </c>
      <c r="D23" s="21">
        <v>810</v>
      </c>
      <c r="E23" s="118"/>
      <c r="F23" s="114">
        <f t="shared" si="7"/>
        <v>0.31</v>
      </c>
      <c r="G23" s="115">
        <v>10.75</v>
      </c>
      <c r="H23" s="115">
        <f ca="1" t="shared" si="3"/>
        <v>11.53</v>
      </c>
      <c r="I23" s="96">
        <f t="shared" si="1"/>
        <v>107503</v>
      </c>
      <c r="J23" s="96">
        <f ca="1" t="shared" si="8"/>
        <v>112072</v>
      </c>
      <c r="K23" s="96">
        <f ca="1" t="shared" si="9"/>
        <v>4569</v>
      </c>
      <c r="L23" s="188">
        <f ca="1" t="shared" si="2"/>
        <v>0.04250113950308364</v>
      </c>
    </row>
    <row r="24" spans="1:12" ht="12.75">
      <c r="A24" s="76" t="str">
        <f t="shared" si="6"/>
        <v>53E - Customer Owned</v>
      </c>
      <c r="B24" s="118">
        <v>310</v>
      </c>
      <c r="C24" s="118" t="s">
        <v>366</v>
      </c>
      <c r="D24" s="21">
        <v>35</v>
      </c>
      <c r="E24" s="118"/>
      <c r="F24" s="114">
        <f t="shared" si="7"/>
        <v>0.44</v>
      </c>
      <c r="G24" s="115">
        <v>12.88</v>
      </c>
      <c r="H24" s="115">
        <f ca="1" t="shared" si="3"/>
        <v>13.89</v>
      </c>
      <c r="I24" s="96">
        <f t="shared" si="1"/>
        <v>5594</v>
      </c>
      <c r="J24" s="96">
        <f ca="1" t="shared" si="8"/>
        <v>5834</v>
      </c>
      <c r="K24" s="96">
        <f ca="1" t="shared" si="9"/>
        <v>240</v>
      </c>
      <c r="L24" s="188">
        <f ca="1" t="shared" si="2"/>
        <v>0.04290311047550947</v>
      </c>
    </row>
    <row r="25" spans="1:12" ht="12.75">
      <c r="A25" s="76" t="str">
        <f t="shared" si="6"/>
        <v>53E - Customer Owned</v>
      </c>
      <c r="B25" s="118">
        <v>400</v>
      </c>
      <c r="C25" s="118" t="s">
        <v>366</v>
      </c>
      <c r="D25" s="21">
        <v>1802</v>
      </c>
      <c r="E25" s="118"/>
      <c r="F25" s="114">
        <f t="shared" si="7"/>
        <v>0.5</v>
      </c>
      <c r="G25" s="115">
        <v>15.61</v>
      </c>
      <c r="H25" s="115">
        <f ca="1" t="shared" si="3"/>
        <v>16.8</v>
      </c>
      <c r="I25" s="96">
        <f t="shared" si="1"/>
        <v>348363</v>
      </c>
      <c r="J25" s="96">
        <f ca="1" t="shared" si="8"/>
        <v>363283</v>
      </c>
      <c r="K25" s="96">
        <f ca="1" t="shared" si="9"/>
        <v>14920</v>
      </c>
      <c r="L25" s="188">
        <f ca="1" t="shared" si="2"/>
        <v>0.04282888825736373</v>
      </c>
    </row>
    <row r="26" spans="1:12" ht="12.75">
      <c r="A26" s="76" t="str">
        <f t="shared" si="6"/>
        <v>53E - Customer Owned</v>
      </c>
      <c r="B26" s="118">
        <v>1000</v>
      </c>
      <c r="C26" s="118" t="s">
        <v>366</v>
      </c>
      <c r="D26" s="21">
        <v>1</v>
      </c>
      <c r="E26" s="118"/>
      <c r="F26" s="114">
        <f t="shared" si="7"/>
        <v>1.28</v>
      </c>
      <c r="G26" s="115">
        <v>37.68</v>
      </c>
      <c r="H26" s="115">
        <f ca="1" t="shared" si="3"/>
        <v>40.63</v>
      </c>
      <c r="I26" s="96">
        <f t="shared" si="1"/>
        <v>468</v>
      </c>
      <c r="J26" s="96">
        <f ca="1" t="shared" si="8"/>
        <v>488</v>
      </c>
      <c r="K26" s="96">
        <f ca="1" t="shared" si="9"/>
        <v>20</v>
      </c>
      <c r="L26" s="188">
        <f ca="1" t="shared" si="2"/>
        <v>0.042735042735042736</v>
      </c>
    </row>
    <row r="27" spans="1:12" ht="12.75">
      <c r="A27" s="76"/>
      <c r="B27" s="118"/>
      <c r="C27" s="118"/>
      <c r="D27" s="21"/>
      <c r="E27" s="118"/>
      <c r="F27" s="114"/>
      <c r="G27" s="115"/>
      <c r="H27" s="115"/>
      <c r="I27" s="96"/>
      <c r="J27" s="96"/>
      <c r="K27" s="96"/>
      <c r="L27" s="188"/>
    </row>
    <row r="28" spans="1:12" ht="12.75">
      <c r="A28" s="76" t="str">
        <f>+A26</f>
        <v>53E - Customer Owned</v>
      </c>
      <c r="B28" s="118">
        <v>70</v>
      </c>
      <c r="C28" s="118" t="s">
        <v>377</v>
      </c>
      <c r="D28" s="21">
        <v>0</v>
      </c>
      <c r="E28" s="118"/>
      <c r="F28" s="114">
        <f ca="1">+'Schedule 52'!F17</f>
        <v>0.11</v>
      </c>
      <c r="G28" s="115">
        <v>8.18</v>
      </c>
      <c r="H28" s="115">
        <f aca="true" t="shared" si="10" ref="H28:H33">ROUND((+(G28+F28)*(1+$H$39)),2)</f>
        <v>8.64</v>
      </c>
      <c r="I28" s="96">
        <f aca="true" t="shared" si="11" ref="I28:I33">ROUND(+G28*$D28*12+F28*D28*12,0)</f>
        <v>0</v>
      </c>
      <c r="J28" s="96">
        <f aca="true" t="shared" si="12" ref="J28:J33">ROUND(+H28*$D28*12,0)</f>
        <v>0</v>
      </c>
      <c r="K28" s="96">
        <f aca="true" t="shared" si="13" ref="K28:K33">+J28-I28</f>
        <v>0</v>
      </c>
      <c r="L28" s="188" t="str">
        <f aca="true" t="shared" si="14" ref="L28:L33">IF(K28=0,"na",+K28/I28)</f>
        <v>na</v>
      </c>
    </row>
    <row r="29" spans="1:12" ht="12.75">
      <c r="A29" s="76" t="str">
        <f>+A28</f>
        <v>53E - Customer Owned</v>
      </c>
      <c r="B29" s="118">
        <v>100</v>
      </c>
      <c r="C29" s="118" t="s">
        <v>377</v>
      </c>
      <c r="D29" s="21">
        <v>0</v>
      </c>
      <c r="E29" s="118"/>
      <c r="F29" s="114">
        <f ca="1">+'Schedule 52'!F18</f>
        <v>0.15</v>
      </c>
      <c r="G29" s="115">
        <v>8.94</v>
      </c>
      <c r="H29" s="115">
        <f ca="1" t="shared" si="10"/>
        <v>9.48</v>
      </c>
      <c r="I29" s="96">
        <f ca="1" t="shared" si="11"/>
        <v>0</v>
      </c>
      <c r="J29" s="96">
        <f ca="1" t="shared" si="12"/>
        <v>0</v>
      </c>
      <c r="K29" s="96">
        <f ca="1" t="shared" si="13"/>
        <v>0</v>
      </c>
      <c r="L29" s="188" t="str">
        <f ca="1" t="shared" si="14"/>
        <v>na</v>
      </c>
    </row>
    <row r="30" spans="1:12" ht="12.75">
      <c r="A30" s="76" t="str">
        <f>+A29</f>
        <v>53E - Customer Owned</v>
      </c>
      <c r="B30" s="118">
        <v>150</v>
      </c>
      <c r="C30" s="118" t="s">
        <v>377</v>
      </c>
      <c r="D30" s="21">
        <v>0</v>
      </c>
      <c r="E30" s="118"/>
      <c r="F30" s="114">
        <f ca="1">+'Schedule 52'!F19</f>
        <v>0.21</v>
      </c>
      <c r="G30" s="115">
        <v>10.81</v>
      </c>
      <c r="H30" s="115">
        <f ca="1" t="shared" si="10"/>
        <v>11.49</v>
      </c>
      <c r="I30" s="96">
        <f ca="1" t="shared" si="11"/>
        <v>0</v>
      </c>
      <c r="J30" s="96">
        <f ca="1" t="shared" si="12"/>
        <v>0</v>
      </c>
      <c r="K30" s="96">
        <f ca="1" t="shared" si="13"/>
        <v>0</v>
      </c>
      <c r="L30" s="188" t="str">
        <f ca="1" t="shared" si="14"/>
        <v>na</v>
      </c>
    </row>
    <row r="31" spans="1:12" ht="12.75">
      <c r="A31" s="76" t="str">
        <f>+A30</f>
        <v>53E - Customer Owned</v>
      </c>
      <c r="B31" s="118">
        <v>175</v>
      </c>
      <c r="C31" s="118" t="s">
        <v>377</v>
      </c>
      <c r="D31" s="21">
        <v>4</v>
      </c>
      <c r="E31" s="118"/>
      <c r="F31" s="114">
        <f ca="1">+'Schedule 52'!F20</f>
        <v>0.24</v>
      </c>
      <c r="G31" s="115">
        <v>13.94</v>
      </c>
      <c r="H31" s="115">
        <f ca="1" t="shared" si="10"/>
        <v>14.79</v>
      </c>
      <c r="I31" s="96">
        <f ca="1" t="shared" si="11"/>
        <v>681</v>
      </c>
      <c r="J31" s="96">
        <f ca="1" t="shared" si="12"/>
        <v>710</v>
      </c>
      <c r="K31" s="96">
        <f ca="1" t="shared" si="13"/>
        <v>29</v>
      </c>
      <c r="L31" s="188">
        <f ca="1" t="shared" si="14"/>
        <v>0.042584434654919234</v>
      </c>
    </row>
    <row r="32" spans="1:12" ht="12.75">
      <c r="A32" s="76" t="str">
        <f>+A31</f>
        <v>53E - Customer Owned</v>
      </c>
      <c r="B32" s="118">
        <v>250</v>
      </c>
      <c r="C32" s="118" t="s">
        <v>377</v>
      </c>
      <c r="D32" s="21">
        <v>0</v>
      </c>
      <c r="E32" s="118"/>
      <c r="F32" s="114">
        <f ca="1">+'Schedule 52'!F21</f>
        <v>0.33</v>
      </c>
      <c r="G32" s="115">
        <v>14.31</v>
      </c>
      <c r="H32" s="115">
        <f ca="1" t="shared" si="10"/>
        <v>15.27</v>
      </c>
      <c r="I32" s="96">
        <f ca="1" t="shared" si="11"/>
        <v>0</v>
      </c>
      <c r="J32" s="96">
        <f ca="1" t="shared" si="12"/>
        <v>0</v>
      </c>
      <c r="K32" s="96">
        <f ca="1" t="shared" si="13"/>
        <v>0</v>
      </c>
      <c r="L32" s="188" t="str">
        <f ca="1" t="shared" si="14"/>
        <v>na</v>
      </c>
    </row>
    <row r="33" spans="1:12" ht="12.75">
      <c r="A33" s="76" t="str">
        <f>+A32</f>
        <v>53E - Customer Owned</v>
      </c>
      <c r="B33" s="118">
        <v>400</v>
      </c>
      <c r="C33" s="118" t="s">
        <v>377</v>
      </c>
      <c r="D33" s="21">
        <v>0</v>
      </c>
      <c r="E33" s="118"/>
      <c r="F33" s="114">
        <f ca="1">+'Schedule 52'!F22</f>
        <v>0.52</v>
      </c>
      <c r="G33" s="115">
        <v>15.95</v>
      </c>
      <c r="H33" s="115">
        <f ca="1" t="shared" si="10"/>
        <v>17.17</v>
      </c>
      <c r="I33" s="96">
        <f ca="1" t="shared" si="11"/>
        <v>0</v>
      </c>
      <c r="J33" s="96">
        <f ca="1" t="shared" si="12"/>
        <v>0</v>
      </c>
      <c r="K33" s="96">
        <f ca="1" t="shared" si="13"/>
        <v>0</v>
      </c>
      <c r="L33" s="188" t="str">
        <f ca="1" t="shared" si="14"/>
        <v>na</v>
      </c>
    </row>
    <row r="34" spans="1:12" ht="12.75">
      <c r="A34" s="76"/>
      <c r="B34" s="118"/>
      <c r="C34" s="118"/>
      <c r="D34" s="118"/>
      <c r="E34" s="118"/>
      <c r="F34" s="118"/>
      <c r="G34" s="114"/>
      <c r="H34" s="114"/>
      <c r="I34" s="96"/>
      <c r="J34" s="96"/>
      <c r="K34" s="96"/>
      <c r="L34" s="116"/>
    </row>
    <row r="35" spans="2:12" ht="13.5" thickBot="1">
      <c r="B35" s="118"/>
      <c r="C35" s="118"/>
      <c r="D35" s="95">
        <f>SUM(D8:D33)</f>
        <v>73587</v>
      </c>
      <c r="E35" s="39">
        <f ca="1">+'Lighting Summary'!B13</f>
        <v>47285571.4913</v>
      </c>
      <c r="F35" s="118"/>
      <c r="G35" s="114"/>
      <c r="H35" s="114"/>
      <c r="I35" s="87">
        <f ca="1">SUM(I8:I33)</f>
        <v>10851790</v>
      </c>
      <c r="J35" s="87">
        <f ca="1">SUM(J8:J33)</f>
        <v>11313409</v>
      </c>
      <c r="K35" s="87">
        <f ca="1">SUM(K8:K33)</f>
        <v>461619</v>
      </c>
      <c r="L35" s="123">
        <f ca="1">+K35/I35</f>
        <v>0.042538512079573966</v>
      </c>
    </row>
    <row r="36" spans="2:12" ht="13.5" thickTop="1">
      <c r="B36" s="118"/>
      <c r="C36" s="118"/>
      <c r="D36" s="118"/>
      <c r="E36" s="118"/>
      <c r="F36" s="118"/>
      <c r="G36" s="114"/>
      <c r="H36" s="114"/>
      <c r="L36" s="116"/>
    </row>
    <row r="39" spans="1:8" ht="12.75" hidden="1">
      <c r="A39" s="62" t="str">
        <f ca="1">+'Schedule 003'!$A$14</f>
        <v>Proposed Increase</v>
      </c>
      <c r="H39" s="198">
        <f ca="1">+'Lighting Summary'!$E$26</f>
        <v>0.04276429660197481</v>
      </c>
    </row>
    <row r="40" ht="12.75" hidden="1"/>
    <row r="41" ht="12.75" hidden="1"/>
    <row r="42" spans="1:9" ht="12.75" hidden="1">
      <c r="A42" s="83" t="str">
        <f ca="1">+'Schedule 003'!$A$16</f>
        <v>Annual Schedule 95</v>
      </c>
      <c r="I42" s="96">
        <f>(SUMPRODUCT(D8:D16,F8:F16)+SUMPRODUCT(D18:D26,F18:F26))*12</f>
        <v>175582.44</v>
      </c>
    </row>
  </sheetData>
  <printOptions horizontalCentered="1"/>
  <pageMargins left="0.75" right="0.75" top="1" bottom="1" header="0.5" footer="0.5"/>
  <pageSetup horizontalDpi="600" verticalDpi="600" orientation="landscape" scale="86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:IV65536"/>
    </sheetView>
  </sheetViews>
  <sheetFormatPr defaultColWidth="9.140625" defaultRowHeight="12.75"/>
  <cols>
    <col min="1" max="1" width="20.28125" style="62" bestFit="1" customWidth="1"/>
    <col min="2" max="2" width="9.8515625" style="62" bestFit="1" customWidth="1"/>
    <col min="3" max="3" width="13.8515625" style="62" bestFit="1" customWidth="1"/>
    <col min="4" max="4" width="8.28125" style="62" bestFit="1" customWidth="1"/>
    <col min="5" max="5" width="11.28125" style="62" bestFit="1" customWidth="1"/>
    <col min="6" max="6" width="11.28125" style="62" customWidth="1"/>
    <col min="7" max="7" width="8.421875" style="62" bestFit="1" customWidth="1"/>
    <col min="8" max="8" width="8.8515625" style="62" bestFit="1" customWidth="1"/>
    <col min="9" max="9" width="12.28125" style="62" bestFit="1" customWidth="1"/>
    <col min="10" max="10" width="11.28125" style="62" bestFit="1" customWidth="1"/>
    <col min="11" max="11" width="9.7109375" style="62" bestFit="1" customWidth="1"/>
    <col min="12" max="12" width="7.28125" style="62" bestFit="1" customWidth="1"/>
    <col min="13" max="16384" width="9.140625" style="62" customWidth="1"/>
  </cols>
  <sheetData>
    <row r="1" spans="1:12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75">
      <c r="A2" s="61" t="s">
        <v>347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.75">
      <c r="A3" s="61" t="str">
        <f ca="1">+'Lighting Summary'!A4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.75">
      <c r="A4" s="61" t="s">
        <v>378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2.75">
      <c r="A5" s="61" t="s">
        <v>379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s="65" customFormat="1" ht="51">
      <c r="A7" s="63" t="s">
        <v>4</v>
      </c>
      <c r="B7" s="64" t="s">
        <v>350</v>
      </c>
      <c r="C7" s="63" t="s">
        <v>351</v>
      </c>
      <c r="D7" s="63" t="str">
        <f ca="1">+'Schedule 003'!D7</f>
        <v>Inventory
@
9-1-07</v>
      </c>
      <c r="E7" s="64" t="str">
        <f ca="1">+'Schedule 003'!E7</f>
        <v>Billed kWh
12 Months
ended
9-30-07</v>
      </c>
      <c r="F7" s="64" t="str">
        <f ca="1">+'Schedule 003'!F7</f>
        <v>Schedule 95</v>
      </c>
      <c r="G7" s="64" t="str">
        <f ca="1">+'Schedule 003'!G7</f>
        <v>Proforma Base Lamp Charge</v>
      </c>
      <c r="H7" s="64" t="str">
        <f ca="1">+'Schedule 003'!H7</f>
        <v>Proposed Lamp Charge</v>
      </c>
      <c r="I7" s="64" t="s">
        <v>356</v>
      </c>
      <c r="J7" s="64" t="s">
        <v>312</v>
      </c>
      <c r="K7" s="63" t="s">
        <v>313</v>
      </c>
      <c r="L7" s="63" t="s">
        <v>223</v>
      </c>
    </row>
    <row r="8" spans="1:12" ht="12.75">
      <c r="A8" s="83" t="s">
        <v>380</v>
      </c>
      <c r="B8" s="118">
        <v>50</v>
      </c>
      <c r="C8" s="118" t="s">
        <v>366</v>
      </c>
      <c r="D8" s="21">
        <v>194</v>
      </c>
      <c r="E8" s="118"/>
      <c r="F8" s="114">
        <v>0.07</v>
      </c>
      <c r="G8" s="115">
        <v>1.77</v>
      </c>
      <c r="H8" s="115">
        <f ca="1">ROUND((G8+F8)*(1+$H$21),2)</f>
        <v>1.92</v>
      </c>
      <c r="I8" s="96">
        <f>ROUND(+G8*$D8*12+D8*F8*12,0)</f>
        <v>4284</v>
      </c>
      <c r="J8" s="96">
        <f aca="true" t="shared" si="0" ref="J8:J16">ROUND(+H8*$D8*12,0)</f>
        <v>4470</v>
      </c>
      <c r="K8" s="96">
        <f aca="true" t="shared" si="1" ref="K8:K16">+J8-I8</f>
        <v>186</v>
      </c>
      <c r="L8" s="116">
        <f aca="true" t="shared" si="2" ref="L8:L16">+K8/I8</f>
        <v>0.04341736694677871</v>
      </c>
    </row>
    <row r="9" spans="1:12" ht="12.75">
      <c r="A9" s="76" t="str">
        <f aca="true" t="shared" si="3" ref="A9:A16">+A8</f>
        <v>54E - Customer Owned</v>
      </c>
      <c r="B9" s="118">
        <v>70</v>
      </c>
      <c r="C9" s="118" t="s">
        <v>366</v>
      </c>
      <c r="D9" s="21">
        <v>985</v>
      </c>
      <c r="E9" s="118"/>
      <c r="F9" s="114">
        <v>0.1</v>
      </c>
      <c r="G9" s="115">
        <v>2.58</v>
      </c>
      <c r="H9" s="115">
        <f aca="true" t="shared" si="4" ref="H9:H16">ROUND((G9+F9)*(1+$H$21),2)</f>
        <v>2.79</v>
      </c>
      <c r="I9" s="96">
        <f aca="true" t="shared" si="5" ref="I9:I16">ROUND(+G9*$D9*12+D9*F9*12,0)</f>
        <v>31678</v>
      </c>
      <c r="J9" s="96">
        <f ca="1" t="shared" si="0"/>
        <v>32978</v>
      </c>
      <c r="K9" s="96">
        <f ca="1" t="shared" si="1"/>
        <v>1300</v>
      </c>
      <c r="L9" s="116">
        <f ca="1" t="shared" si="2"/>
        <v>0.04103794431466633</v>
      </c>
    </row>
    <row r="10" spans="1:12" ht="12.75">
      <c r="A10" s="76" t="str">
        <f t="shared" si="3"/>
        <v>54E - Customer Owned</v>
      </c>
      <c r="B10" s="118">
        <v>100</v>
      </c>
      <c r="C10" s="118" t="s">
        <v>366</v>
      </c>
      <c r="D10" s="21">
        <v>2481</v>
      </c>
      <c r="E10" s="118"/>
      <c r="F10" s="114">
        <v>0.14</v>
      </c>
      <c r="G10" s="115">
        <v>3.62</v>
      </c>
      <c r="H10" s="115">
        <f ca="1" t="shared" si="4"/>
        <v>3.92</v>
      </c>
      <c r="I10" s="96">
        <f t="shared" si="5"/>
        <v>111943</v>
      </c>
      <c r="J10" s="96">
        <f ca="1" t="shared" si="0"/>
        <v>116706</v>
      </c>
      <c r="K10" s="96">
        <f ca="1" t="shared" si="1"/>
        <v>4763</v>
      </c>
      <c r="L10" s="116">
        <f ca="1" t="shared" si="2"/>
        <v>0.04254843983098541</v>
      </c>
    </row>
    <row r="11" spans="1:12" ht="12.75">
      <c r="A11" s="76" t="str">
        <f t="shared" si="3"/>
        <v>54E - Customer Owned</v>
      </c>
      <c r="B11" s="118">
        <v>150</v>
      </c>
      <c r="C11" s="118" t="s">
        <v>366</v>
      </c>
      <c r="D11" s="21">
        <v>1097</v>
      </c>
      <c r="E11" s="118"/>
      <c r="F11" s="114">
        <v>0.19</v>
      </c>
      <c r="G11" s="115">
        <v>5.28</v>
      </c>
      <c r="H11" s="115">
        <f ca="1" t="shared" si="4"/>
        <v>5.7</v>
      </c>
      <c r="I11" s="96">
        <f t="shared" si="5"/>
        <v>72007</v>
      </c>
      <c r="J11" s="96">
        <f ca="1" t="shared" si="0"/>
        <v>75035</v>
      </c>
      <c r="K11" s="96">
        <f ca="1" t="shared" si="1"/>
        <v>3028</v>
      </c>
      <c r="L11" s="116">
        <f ca="1" t="shared" si="2"/>
        <v>0.04205146721846487</v>
      </c>
    </row>
    <row r="12" spans="1:12" ht="12.75">
      <c r="A12" s="76" t="str">
        <f t="shared" si="3"/>
        <v>54E - Customer Owned</v>
      </c>
      <c r="B12" s="118">
        <v>200</v>
      </c>
      <c r="C12" s="118" t="s">
        <v>366</v>
      </c>
      <c r="D12" s="21">
        <v>2002</v>
      </c>
      <c r="E12" s="118"/>
      <c r="F12" s="114">
        <v>0.25</v>
      </c>
      <c r="G12" s="115">
        <v>7</v>
      </c>
      <c r="H12" s="115">
        <f ca="1" t="shared" si="4"/>
        <v>7.56</v>
      </c>
      <c r="I12" s="96">
        <f t="shared" si="5"/>
        <v>174174</v>
      </c>
      <c r="J12" s="96">
        <f ca="1" t="shared" si="0"/>
        <v>181621</v>
      </c>
      <c r="K12" s="96">
        <f ca="1" t="shared" si="1"/>
        <v>7447</v>
      </c>
      <c r="L12" s="116">
        <f ca="1" t="shared" si="2"/>
        <v>0.04275609448023241</v>
      </c>
    </row>
    <row r="13" spans="1:12" ht="12.75">
      <c r="A13" s="76" t="str">
        <f t="shared" si="3"/>
        <v>54E - Customer Owned</v>
      </c>
      <c r="B13" s="118">
        <v>250</v>
      </c>
      <c r="C13" s="118" t="s">
        <v>366</v>
      </c>
      <c r="D13" s="21">
        <v>2358</v>
      </c>
      <c r="E13" s="118"/>
      <c r="F13" s="114">
        <v>0.31</v>
      </c>
      <c r="G13" s="115">
        <v>8.69</v>
      </c>
      <c r="H13" s="115">
        <f ca="1" t="shared" si="4"/>
        <v>9.38</v>
      </c>
      <c r="I13" s="96">
        <f t="shared" si="5"/>
        <v>254664</v>
      </c>
      <c r="J13" s="96">
        <f ca="1" t="shared" si="0"/>
        <v>265416</v>
      </c>
      <c r="K13" s="96">
        <f ca="1" t="shared" si="1"/>
        <v>10752</v>
      </c>
      <c r="L13" s="116">
        <f ca="1" t="shared" si="2"/>
        <v>0.04222033738573179</v>
      </c>
    </row>
    <row r="14" spans="1:12" ht="12.75">
      <c r="A14" s="76" t="str">
        <f t="shared" si="3"/>
        <v>54E - Customer Owned</v>
      </c>
      <c r="B14" s="118">
        <v>310</v>
      </c>
      <c r="C14" s="118" t="s">
        <v>366</v>
      </c>
      <c r="D14" s="21">
        <v>150</v>
      </c>
      <c r="E14" s="118"/>
      <c r="F14" s="114">
        <v>0.44</v>
      </c>
      <c r="G14" s="115">
        <v>11.84</v>
      </c>
      <c r="H14" s="115">
        <f ca="1" t="shared" si="4"/>
        <v>12.81</v>
      </c>
      <c r="I14" s="96">
        <f t="shared" si="5"/>
        <v>22104</v>
      </c>
      <c r="J14" s="96">
        <f ca="1" t="shared" si="0"/>
        <v>23058</v>
      </c>
      <c r="K14" s="96">
        <f ca="1" t="shared" si="1"/>
        <v>954</v>
      </c>
      <c r="L14" s="116">
        <f ca="1" t="shared" si="2"/>
        <v>0.04315960912052117</v>
      </c>
    </row>
    <row r="15" spans="1:12" ht="12.75">
      <c r="A15" s="76" t="str">
        <f t="shared" si="3"/>
        <v>54E - Customer Owned</v>
      </c>
      <c r="B15" s="118">
        <v>400</v>
      </c>
      <c r="C15" s="118" t="s">
        <v>366</v>
      </c>
      <c r="D15" s="21">
        <v>2384</v>
      </c>
      <c r="E15" s="118"/>
      <c r="F15" s="114">
        <v>0.5</v>
      </c>
      <c r="G15" s="115">
        <v>13.55</v>
      </c>
      <c r="H15" s="115">
        <f ca="1" t="shared" si="4"/>
        <v>14.65</v>
      </c>
      <c r="I15" s="96">
        <f t="shared" si="5"/>
        <v>401942</v>
      </c>
      <c r="J15" s="96">
        <f ca="1" t="shared" si="0"/>
        <v>419107</v>
      </c>
      <c r="K15" s="96">
        <f ca="1" t="shared" si="1"/>
        <v>17165</v>
      </c>
      <c r="L15" s="116">
        <f ca="1" t="shared" si="2"/>
        <v>0.04270516641704525</v>
      </c>
    </row>
    <row r="16" spans="1:12" ht="12.75">
      <c r="A16" s="76" t="str">
        <f t="shared" si="3"/>
        <v>54E - Customer Owned</v>
      </c>
      <c r="B16" s="118">
        <v>1000</v>
      </c>
      <c r="C16" s="118" t="s">
        <v>366</v>
      </c>
      <c r="D16" s="21">
        <v>11</v>
      </c>
      <c r="E16" s="118"/>
      <c r="F16" s="114">
        <v>1.28</v>
      </c>
      <c r="G16" s="115">
        <v>34.09</v>
      </c>
      <c r="H16" s="115">
        <f ca="1" t="shared" si="4"/>
        <v>36.88</v>
      </c>
      <c r="I16" s="96">
        <f t="shared" si="5"/>
        <v>4669</v>
      </c>
      <c r="J16" s="96">
        <f ca="1" t="shared" si="0"/>
        <v>4868</v>
      </c>
      <c r="K16" s="96">
        <f ca="1" t="shared" si="1"/>
        <v>199</v>
      </c>
      <c r="L16" s="116">
        <f ca="1" t="shared" si="2"/>
        <v>0.04262154636967231</v>
      </c>
    </row>
    <row r="17" spans="1:12" ht="12.75">
      <c r="A17" s="76"/>
      <c r="B17" s="118"/>
      <c r="C17" s="118"/>
      <c r="D17" s="118"/>
      <c r="E17" s="118"/>
      <c r="F17" s="97"/>
      <c r="G17" s="114"/>
      <c r="H17" s="114"/>
      <c r="I17" s="96"/>
      <c r="J17" s="96"/>
      <c r="K17" s="96"/>
      <c r="L17" s="116"/>
    </row>
    <row r="18" spans="2:12" ht="13.5" thickBot="1">
      <c r="B18" s="118"/>
      <c r="C18" s="118"/>
      <c r="D18" s="95">
        <f>SUM(D8:D17)</f>
        <v>11662</v>
      </c>
      <c r="E18" s="39">
        <f ca="1">+'Lighting Summary'!B14</f>
        <v>11434793.5232</v>
      </c>
      <c r="F18" s="97"/>
      <c r="G18" s="114"/>
      <c r="H18" s="114"/>
      <c r="I18" s="87">
        <f>SUM(I8:I16)+F18</f>
        <v>1077465</v>
      </c>
      <c r="J18" s="87">
        <f ca="1">SUM(J8:J16)</f>
        <v>1123259</v>
      </c>
      <c r="K18" s="87">
        <f ca="1">SUM(K8:K16)</f>
        <v>45794</v>
      </c>
      <c r="L18" s="123">
        <f ca="1">+K18/I18</f>
        <v>0.04250161258138315</v>
      </c>
    </row>
    <row r="19" spans="5:6" ht="13.5" thickTop="1">
      <c r="E19" s="75"/>
      <c r="F19" s="75"/>
    </row>
    <row r="20" ht="12.75">
      <c r="I20" s="96"/>
    </row>
    <row r="21" spans="1:9" ht="12.75" hidden="1">
      <c r="A21" s="62" t="str">
        <f ca="1">+'Schedule 003'!$A$14</f>
        <v>Proposed Increase</v>
      </c>
      <c r="H21" s="198">
        <f ca="1">+'Lighting Summary'!$E$26</f>
        <v>0.04276429660197481</v>
      </c>
      <c r="I21" s="96"/>
    </row>
    <row r="22" ht="12.75" hidden="1"/>
    <row r="23" ht="12.75" hidden="1">
      <c r="F23" s="198"/>
    </row>
    <row r="24" spans="1:9" ht="12.75" hidden="1">
      <c r="A24" s="83" t="str">
        <f ca="1">+'Schedule 003'!$A$16</f>
        <v>Annual Schedule 95</v>
      </c>
      <c r="I24" s="96">
        <f>(SUMPRODUCT(D8:D16,F8:F16))*12</f>
        <v>38056.92</v>
      </c>
    </row>
  </sheetData>
  <printOptions horizontalCentered="1"/>
  <pageMargins left="0.75" right="0.75" top="1" bottom="1" header="0.5" footer="0.5"/>
  <pageSetup horizontalDpi="600" verticalDpi="600" orientation="landscape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B1">
      <selection activeCell="B1" sqref="A1:IV65536"/>
    </sheetView>
  </sheetViews>
  <sheetFormatPr defaultColWidth="9.140625" defaultRowHeight="12.75"/>
  <cols>
    <col min="1" max="1" width="26.8515625" style="62" customWidth="1"/>
    <col min="2" max="2" width="9.8515625" style="62" bestFit="1" customWidth="1"/>
    <col min="3" max="3" width="13.8515625" style="62" bestFit="1" customWidth="1"/>
    <col min="4" max="4" width="8.28125" style="62" bestFit="1" customWidth="1"/>
    <col min="5" max="5" width="10.28125" style="62" bestFit="1" customWidth="1"/>
    <col min="6" max="6" width="10.28125" style="62" customWidth="1"/>
    <col min="7" max="8" width="10.28125" style="62" bestFit="1" customWidth="1"/>
    <col min="9" max="10" width="11.28125" style="62" bestFit="1" customWidth="1"/>
    <col min="11" max="11" width="9.7109375" style="62" bestFit="1" customWidth="1"/>
    <col min="12" max="12" width="7.28125" style="62" bestFit="1" customWidth="1"/>
    <col min="13" max="16384" width="9.140625" style="62" customWidth="1"/>
  </cols>
  <sheetData>
    <row r="1" spans="1:12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75">
      <c r="A2" s="61" t="s">
        <v>347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.75">
      <c r="A3" s="61" t="str">
        <f ca="1">+'Lighting Summary'!A4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.75">
      <c r="A4" s="61" t="s">
        <v>381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2.75">
      <c r="A5" s="61" t="s">
        <v>382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s="65" customFormat="1" ht="51">
      <c r="A7" s="63" t="s">
        <v>4</v>
      </c>
      <c r="B7" s="64" t="s">
        <v>350</v>
      </c>
      <c r="C7" s="63" t="s">
        <v>351</v>
      </c>
      <c r="D7" s="63" t="str">
        <f ca="1">+'Schedule 003'!D7</f>
        <v>Inventory
@
9-1-07</v>
      </c>
      <c r="E7" s="64" t="str">
        <f ca="1">+'Schedule 003'!E7</f>
        <v>Billed kWh
12 Months
ended
9-30-07</v>
      </c>
      <c r="F7" s="64" t="str">
        <f ca="1">+'Schedule 003'!F7</f>
        <v>Schedule 95</v>
      </c>
      <c r="G7" s="64" t="str">
        <f ca="1">+'Schedule 003'!G7</f>
        <v>Proforma Base Lamp Charge</v>
      </c>
      <c r="H7" s="64" t="str">
        <f ca="1">+'Schedule 003'!H7</f>
        <v>Proposed Lamp Charge</v>
      </c>
      <c r="I7" s="64" t="s">
        <v>356</v>
      </c>
      <c r="J7" s="64" t="s">
        <v>312</v>
      </c>
      <c r="K7" s="63" t="s">
        <v>313</v>
      </c>
      <c r="L7" s="63" t="s">
        <v>223</v>
      </c>
    </row>
    <row r="8" spans="1:12" ht="12.75">
      <c r="A8" s="82" t="s">
        <v>383</v>
      </c>
      <c r="B8" s="118">
        <v>70</v>
      </c>
      <c r="C8" s="118" t="s">
        <v>366</v>
      </c>
      <c r="D8" s="21">
        <v>7</v>
      </c>
      <c r="E8" s="118"/>
      <c r="F8" s="114">
        <v>0.1</v>
      </c>
      <c r="G8" s="115">
        <v>9.38</v>
      </c>
      <c r="H8" s="115">
        <f ca="1">ROUND((+G8+F8)*(1+$H$20),2)</f>
        <v>9.89</v>
      </c>
      <c r="I8" s="96">
        <f aca="true" t="shared" si="0" ref="I8:I13">ROUND(+G8*$D8*12+D8*F8*12,0)</f>
        <v>796</v>
      </c>
      <c r="J8" s="96">
        <f aca="true" t="shared" si="1" ref="J8:J13">ROUND(+H8*$D8*12,0)</f>
        <v>831</v>
      </c>
      <c r="K8" s="96">
        <f aca="true" t="shared" si="2" ref="K8:K13">+J8-I8</f>
        <v>35</v>
      </c>
      <c r="L8" s="116">
        <f aca="true" t="shared" si="3" ref="L8:L13">+K8/I8</f>
        <v>0.04396984924623116</v>
      </c>
    </row>
    <row r="9" spans="1:12" ht="12.75">
      <c r="A9" s="70" t="str">
        <f>+A8</f>
        <v>55E &amp; 56E</v>
      </c>
      <c r="B9" s="118">
        <v>100</v>
      </c>
      <c r="C9" s="118" t="s">
        <v>366</v>
      </c>
      <c r="D9" s="21">
        <v>5452</v>
      </c>
      <c r="E9" s="118"/>
      <c r="F9" s="114">
        <v>0.14</v>
      </c>
      <c r="G9" s="115">
        <v>10.53</v>
      </c>
      <c r="H9" s="115">
        <f aca="true" t="shared" si="4" ref="H9:H16">ROUND((+G9+F9)*(1+$H$20),2)</f>
        <v>11.13</v>
      </c>
      <c r="I9" s="96">
        <f t="shared" si="0"/>
        <v>698074</v>
      </c>
      <c r="J9" s="96">
        <f ca="1" t="shared" si="1"/>
        <v>728169</v>
      </c>
      <c r="K9" s="96">
        <f ca="1" t="shared" si="2"/>
        <v>30095</v>
      </c>
      <c r="L9" s="116">
        <f ca="1" t="shared" si="3"/>
        <v>0.04311147528772021</v>
      </c>
    </row>
    <row r="10" spans="1:12" ht="12.75">
      <c r="A10" s="70" t="str">
        <f>+A9</f>
        <v>55E &amp; 56E</v>
      </c>
      <c r="B10" s="118">
        <v>150</v>
      </c>
      <c r="C10" s="118" t="s">
        <v>366</v>
      </c>
      <c r="D10" s="21">
        <v>299</v>
      </c>
      <c r="E10" s="118"/>
      <c r="F10" s="114">
        <v>0.19</v>
      </c>
      <c r="G10" s="115">
        <v>12.53</v>
      </c>
      <c r="H10" s="115">
        <f ca="1" t="shared" si="4"/>
        <v>13.26</v>
      </c>
      <c r="I10" s="96">
        <f t="shared" si="0"/>
        <v>45639</v>
      </c>
      <c r="J10" s="96">
        <f ca="1" t="shared" si="1"/>
        <v>47577</v>
      </c>
      <c r="K10" s="96">
        <f ca="1" t="shared" si="2"/>
        <v>1938</v>
      </c>
      <c r="L10" s="116">
        <f ca="1" t="shared" si="3"/>
        <v>0.04246368237691448</v>
      </c>
    </row>
    <row r="11" spans="1:12" ht="12.75">
      <c r="A11" s="70" t="str">
        <f>+A10</f>
        <v>55E &amp; 56E</v>
      </c>
      <c r="B11" s="118">
        <v>200</v>
      </c>
      <c r="C11" s="118" t="s">
        <v>366</v>
      </c>
      <c r="D11" s="21">
        <v>1539</v>
      </c>
      <c r="E11" s="118"/>
      <c r="F11" s="114">
        <v>0.25</v>
      </c>
      <c r="G11" s="115">
        <v>15</v>
      </c>
      <c r="H11" s="115">
        <f ca="1" t="shared" si="4"/>
        <v>15.9</v>
      </c>
      <c r="I11" s="96">
        <f t="shared" si="0"/>
        <v>281637</v>
      </c>
      <c r="J11" s="96">
        <f ca="1" t="shared" si="1"/>
        <v>293641</v>
      </c>
      <c r="K11" s="96">
        <f ca="1" t="shared" si="2"/>
        <v>12004</v>
      </c>
      <c r="L11" s="116">
        <f ca="1" t="shared" si="3"/>
        <v>0.04262224068570536</v>
      </c>
    </row>
    <row r="12" spans="1:12" ht="12.75">
      <c r="A12" s="70" t="str">
        <f>+A11</f>
        <v>55E &amp; 56E</v>
      </c>
      <c r="B12" s="118">
        <v>250</v>
      </c>
      <c r="C12" s="118" t="s">
        <v>366</v>
      </c>
      <c r="D12" s="21">
        <v>76</v>
      </c>
      <c r="E12" s="118"/>
      <c r="F12" s="114">
        <v>0.31</v>
      </c>
      <c r="G12" s="115">
        <v>16.88</v>
      </c>
      <c r="H12" s="115">
        <f ca="1" t="shared" si="4"/>
        <v>17.93</v>
      </c>
      <c r="I12" s="96">
        <f t="shared" si="0"/>
        <v>15677</v>
      </c>
      <c r="J12" s="96">
        <f ca="1" t="shared" si="1"/>
        <v>16352</v>
      </c>
      <c r="K12" s="96">
        <f ca="1" t="shared" si="2"/>
        <v>675</v>
      </c>
      <c r="L12" s="116">
        <f ca="1" t="shared" si="3"/>
        <v>0.04305670727817822</v>
      </c>
    </row>
    <row r="13" spans="1:12" ht="12.75">
      <c r="A13" s="70" t="str">
        <f>+A12</f>
        <v>55E &amp; 56E</v>
      </c>
      <c r="B13" s="118">
        <v>400</v>
      </c>
      <c r="C13" s="118" t="s">
        <v>366</v>
      </c>
      <c r="D13" s="21">
        <v>65</v>
      </c>
      <c r="E13" s="118"/>
      <c r="F13" s="114">
        <v>0.5</v>
      </c>
      <c r="G13" s="115">
        <v>22.7</v>
      </c>
      <c r="H13" s="115">
        <f ca="1" t="shared" si="4"/>
        <v>24.19</v>
      </c>
      <c r="I13" s="96">
        <f t="shared" si="0"/>
        <v>18096</v>
      </c>
      <c r="J13" s="96">
        <f ca="1" t="shared" si="1"/>
        <v>18868</v>
      </c>
      <c r="K13" s="96">
        <f ca="1" t="shared" si="2"/>
        <v>772</v>
      </c>
      <c r="L13" s="116">
        <f ca="1" t="shared" si="3"/>
        <v>0.04266136162687887</v>
      </c>
    </row>
    <row r="14" spans="1:12" ht="12.75">
      <c r="A14" s="70"/>
      <c r="B14" s="118"/>
      <c r="C14" s="118"/>
      <c r="D14" s="21"/>
      <c r="E14" s="118"/>
      <c r="F14" s="114"/>
      <c r="G14" s="115"/>
      <c r="H14" s="115"/>
      <c r="I14" s="96"/>
      <c r="J14" s="96"/>
      <c r="K14" s="96"/>
      <c r="L14" s="116"/>
    </row>
    <row r="15" spans="1:12" ht="12.75">
      <c r="A15" s="70" t="str">
        <f>+A13</f>
        <v>55E &amp; 56E</v>
      </c>
      <c r="B15" s="118">
        <v>175</v>
      </c>
      <c r="C15" s="118" t="s">
        <v>367</v>
      </c>
      <c r="D15" s="21">
        <v>0</v>
      </c>
      <c r="E15" s="118"/>
      <c r="F15" s="114">
        <v>0.24</v>
      </c>
      <c r="G15" s="115">
        <v>17.8</v>
      </c>
      <c r="H15" s="115">
        <f ca="1" t="shared" si="4"/>
        <v>18.81</v>
      </c>
      <c r="I15" s="96">
        <f>ROUND(+G15*$D15*12+D15*F15*12,0)</f>
        <v>0</v>
      </c>
      <c r="J15" s="96">
        <f ca="1">ROUND(+H15*$D15*12,0)</f>
        <v>0</v>
      </c>
      <c r="K15" s="96">
        <f ca="1">+J15-I15</f>
        <v>0</v>
      </c>
      <c r="L15" s="116" t="e">
        <f ca="1">+K15/I15</f>
        <v>#DIV/0!</v>
      </c>
    </row>
    <row r="16" spans="1:12" ht="12.75">
      <c r="A16" s="70" t="str">
        <f>+A15</f>
        <v>55E &amp; 56E</v>
      </c>
      <c r="B16" s="118">
        <v>250</v>
      </c>
      <c r="C16" s="118" t="s">
        <v>367</v>
      </c>
      <c r="D16" s="201">
        <v>0</v>
      </c>
      <c r="E16" s="118"/>
      <c r="F16" s="114">
        <v>0.33</v>
      </c>
      <c r="G16" s="114">
        <v>19.52</v>
      </c>
      <c r="H16" s="115">
        <f ca="1" t="shared" si="4"/>
        <v>20.7</v>
      </c>
      <c r="I16" s="96">
        <f>ROUND(+G16*$D16*12+D16*F16*12,0)</f>
        <v>0</v>
      </c>
      <c r="J16" s="96">
        <f ca="1">ROUND(+H16*$D16*12,0)</f>
        <v>0</v>
      </c>
      <c r="K16" s="96">
        <f ca="1">+J16-I16</f>
        <v>0</v>
      </c>
      <c r="L16" s="116" t="e">
        <f ca="1">+K16/I16</f>
        <v>#DIV/0!</v>
      </c>
    </row>
    <row r="17" spans="1:12" ht="13.5" thickBot="1">
      <c r="A17" s="83" t="s">
        <v>384</v>
      </c>
      <c r="B17" s="118"/>
      <c r="C17" s="118"/>
      <c r="D17" s="39">
        <f>SUM(D8:D13)</f>
        <v>7438</v>
      </c>
      <c r="E17" s="39">
        <f ca="1">+'Lighting Summary'!B15</f>
        <v>4217522.1338</v>
      </c>
      <c r="F17" s="23"/>
      <c r="G17" s="114"/>
      <c r="H17" s="114"/>
      <c r="I17" s="87">
        <f>SUM(I8:I16)</f>
        <v>1059919</v>
      </c>
      <c r="J17" s="87">
        <f ca="1">SUM(J8:J16)</f>
        <v>1105438</v>
      </c>
      <c r="K17" s="87">
        <f ca="1">SUM(K8:K16)</f>
        <v>45519</v>
      </c>
      <c r="L17" s="123">
        <f ca="1">+K17/I17</f>
        <v>0.042945734532544466</v>
      </c>
    </row>
    <row r="18" spans="1:12" ht="13.5" thickTop="1">
      <c r="A18" s="76"/>
      <c r="B18" s="118"/>
      <c r="C18" s="118"/>
      <c r="D18" s="21"/>
      <c r="E18" s="118"/>
      <c r="F18" s="118"/>
      <c r="G18" s="114"/>
      <c r="H18" s="114"/>
      <c r="I18" s="96"/>
      <c r="J18" s="96"/>
      <c r="K18" s="96"/>
      <c r="L18" s="116"/>
    </row>
    <row r="19" spans="4:11" ht="12.75">
      <c r="D19" s="75"/>
      <c r="K19" s="94"/>
    </row>
    <row r="20" spans="1:8" ht="12.75" hidden="1">
      <c r="A20" s="62" t="str">
        <f ca="1">+'Schedule 003'!$A$14</f>
        <v>Proposed Increase</v>
      </c>
      <c r="H20" s="198">
        <f ca="1">+'Lighting Summary'!$E$26</f>
        <v>0.04276429660197481</v>
      </c>
    </row>
    <row r="21" ht="12.75" hidden="1"/>
    <row r="22" ht="12.75" hidden="1">
      <c r="D22" s="75"/>
    </row>
    <row r="23" spans="1:9" ht="12.75" hidden="1">
      <c r="A23" s="83" t="str">
        <f ca="1">+'Schedule 003'!$A$16</f>
        <v>Annual Schedule 95</v>
      </c>
      <c r="I23" s="96">
        <f>(SUMPRODUCT(D15:D16,F15:F16)+SUMPRODUCT(D8:D13,F8:F13))*12</f>
        <v>15139.2</v>
      </c>
    </row>
    <row r="25" ht="12.75">
      <c r="F25" s="198"/>
    </row>
  </sheetData>
  <printOptions horizontalCentered="1"/>
  <pageMargins left="0.75" right="0.75" top="1" bottom="1" header="0.5" footer="0.5"/>
  <pageSetup horizontalDpi="600" verticalDpi="600" orientation="landscape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:IV65536"/>
    </sheetView>
  </sheetViews>
  <sheetFormatPr defaultColWidth="9.140625" defaultRowHeight="12.75"/>
  <cols>
    <col min="1" max="1" width="18.57421875" style="62" bestFit="1" customWidth="1"/>
    <col min="2" max="2" width="13.421875" style="62" bestFit="1" customWidth="1"/>
    <col min="3" max="3" width="12.8515625" style="62" bestFit="1" customWidth="1"/>
    <col min="4" max="4" width="9.7109375" style="62" bestFit="1" customWidth="1"/>
    <col min="5" max="5" width="9.8515625" style="62" bestFit="1" customWidth="1"/>
    <col min="6" max="6" width="11.28125" style="62" bestFit="1" customWidth="1"/>
    <col min="7" max="8" width="9.7109375" style="62" bestFit="1" customWidth="1"/>
    <col min="9" max="9" width="9.28125" style="62" bestFit="1" customWidth="1"/>
    <col min="10" max="10" width="7.28125" style="62" bestFit="1" customWidth="1"/>
    <col min="11" max="16384" width="9.140625" style="62" customWidth="1"/>
  </cols>
  <sheetData>
    <row r="1" spans="1:10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 t="s">
        <v>347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tr">
        <f ca="1">+'Lighting Summary'!A4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1" t="s">
        <v>385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2.75">
      <c r="A5" s="61" t="s">
        <v>386</v>
      </c>
      <c r="B5" s="61"/>
      <c r="C5" s="61"/>
      <c r="D5" s="61"/>
      <c r="E5" s="61"/>
      <c r="F5" s="61"/>
      <c r="G5" s="61"/>
      <c r="H5" s="61"/>
      <c r="I5" s="61"/>
      <c r="J5" s="61"/>
    </row>
    <row r="7" spans="1:10" s="65" customFormat="1" ht="38.25">
      <c r="A7" s="63" t="s">
        <v>4</v>
      </c>
      <c r="B7" s="64" t="s">
        <v>406</v>
      </c>
      <c r="C7" s="64" t="s">
        <v>387</v>
      </c>
      <c r="D7" s="64" t="str">
        <f ca="1">+'Schedule 003'!G7</f>
        <v>Proforma Base Lamp Charge</v>
      </c>
      <c r="E7" s="64" t="str">
        <f ca="1">+'Schedule 003'!H7</f>
        <v>Proposed Lamp Charge</v>
      </c>
      <c r="F7" s="64" t="str">
        <f ca="1">+'Schedule 003'!F7</f>
        <v>Schedule 95</v>
      </c>
      <c r="G7" s="64" t="str">
        <f ca="1">+'Schedule 003'!I7</f>
        <v>Annual Proforma Revenue</v>
      </c>
      <c r="H7" s="64" t="str">
        <f ca="1">+'Schedule 003'!J7</f>
        <v>Annual Proposed Revenue</v>
      </c>
      <c r="I7" s="63" t="s">
        <v>313</v>
      </c>
      <c r="J7" s="63" t="s">
        <v>223</v>
      </c>
    </row>
    <row r="8" spans="1:10" ht="12.75">
      <c r="A8" s="62" t="s">
        <v>322</v>
      </c>
      <c r="B8" s="21">
        <f ca="1">+'Lighting Summary'!B16</f>
        <v>5012801.793</v>
      </c>
      <c r="C8" s="118">
        <f ca="1">ROUND(B8/0.245,0)</f>
        <v>20460415</v>
      </c>
      <c r="D8" s="135">
        <v>0.02194</v>
      </c>
      <c r="E8" s="135">
        <f ca="1">ROUND((+(D8+F8)*(1+$E$12)),5)</f>
        <v>0.02372</v>
      </c>
      <c r="F8" s="135">
        <v>0.00081</v>
      </c>
      <c r="G8" s="96">
        <f ca="1">+D8*$C8+F8*C8</f>
        <v>465474.44125000003</v>
      </c>
      <c r="H8" s="96">
        <f ca="1">+E8*$C8</f>
        <v>485321.04380000004</v>
      </c>
      <c r="I8" s="96">
        <f ca="1">+H8-G8</f>
        <v>19846.60255000001</v>
      </c>
      <c r="J8" s="116">
        <f ca="1">+I8/G8</f>
        <v>0.042637362637362654</v>
      </c>
    </row>
    <row r="9" spans="2:10" ht="13.5" thickBot="1">
      <c r="B9" s="118"/>
      <c r="C9" s="118"/>
      <c r="D9" s="114"/>
      <c r="E9" s="114"/>
      <c r="F9" s="114"/>
      <c r="G9" s="87">
        <f ca="1">SUM(G8:G8)</f>
        <v>465474.44125000003</v>
      </c>
      <c r="H9" s="87">
        <f ca="1">SUM(H8:H8)</f>
        <v>485321.04380000004</v>
      </c>
      <c r="I9" s="87">
        <f ca="1">SUM(I8:I8)</f>
        <v>19846.60255000001</v>
      </c>
      <c r="J9" s="123">
        <f ca="1">+I9/G9</f>
        <v>0.042637362637362654</v>
      </c>
    </row>
    <row r="10" spans="2:10" ht="13.5" thickTop="1">
      <c r="B10" s="118"/>
      <c r="C10" s="118"/>
      <c r="D10" s="114"/>
      <c r="E10" s="114"/>
      <c r="F10" s="114"/>
      <c r="J10" s="116"/>
    </row>
    <row r="12" spans="1:6" ht="12.75">
      <c r="A12" s="62" t="str">
        <f ca="1">+'Schedule 003'!$A$14</f>
        <v>Proposed Increase</v>
      </c>
      <c r="E12" s="198">
        <f ca="1">+'Lighting Summary'!$E$26</f>
        <v>0.04276429660197481</v>
      </c>
      <c r="F12" s="198"/>
    </row>
    <row r="15" spans="1:7" ht="12.75" hidden="1">
      <c r="A15" s="83" t="str">
        <f ca="1">+'Schedule 003'!$A$16</f>
        <v>Annual Schedule 95</v>
      </c>
      <c r="G15" s="96">
        <f ca="1">+F8*C8</f>
        <v>16572.936149999998</v>
      </c>
    </row>
    <row r="16" ht="12.75" hidden="1"/>
    <row r="17" spans="1:8" ht="12.75" hidden="1">
      <c r="A17" s="62" t="s">
        <v>388</v>
      </c>
      <c r="G17" s="140">
        <v>3.88</v>
      </c>
      <c r="H17" s="114">
        <f ca="1">ROUND(+G17*(1+E12),2)</f>
        <v>4.05</v>
      </c>
    </row>
    <row r="22" ht="12.75">
      <c r="E22" s="198"/>
    </row>
  </sheetData>
  <printOptions horizontalCentered="1"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C13">
      <selection activeCell="C13" sqref="A1:IV65536"/>
    </sheetView>
  </sheetViews>
  <sheetFormatPr defaultColWidth="9.140625" defaultRowHeight="12.75"/>
  <cols>
    <col min="1" max="1" width="29.00390625" style="62" customWidth="1"/>
    <col min="2" max="2" width="9.8515625" style="62" bestFit="1" customWidth="1"/>
    <col min="3" max="3" width="9.8515625" style="62" customWidth="1"/>
    <col min="4" max="4" width="13.8515625" style="62" bestFit="1" customWidth="1"/>
    <col min="5" max="5" width="8.28125" style="62" bestFit="1" customWidth="1"/>
    <col min="6" max="6" width="10.28125" style="62" bestFit="1" customWidth="1"/>
    <col min="7" max="7" width="10.28125" style="62" customWidth="1"/>
    <col min="8" max="9" width="10.28125" style="62" bestFit="1" customWidth="1"/>
    <col min="10" max="11" width="9.7109375" style="62" bestFit="1" customWidth="1"/>
    <col min="12" max="12" width="8.7109375" style="62" bestFit="1" customWidth="1"/>
    <col min="13" max="13" width="7.28125" style="62" bestFit="1" customWidth="1"/>
    <col min="14" max="16384" width="9.140625" style="62" customWidth="1"/>
  </cols>
  <sheetData>
    <row r="1" spans="1:13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.75">
      <c r="A2" s="61" t="s">
        <v>347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.75">
      <c r="A3" s="61" t="str">
        <f ca="1">+'Lighting Summary'!A4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>
      <c r="A4" s="61" t="s">
        <v>389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2.75">
      <c r="A5" s="61" t="s">
        <v>390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7" spans="1:13" s="65" customFormat="1" ht="51">
      <c r="A7" s="63" t="s">
        <v>4</v>
      </c>
      <c r="B7" s="64" t="s">
        <v>350</v>
      </c>
      <c r="C7" s="64"/>
      <c r="D7" s="63" t="s">
        <v>351</v>
      </c>
      <c r="E7" s="63" t="str">
        <f ca="1">+'Schedule 003'!D7</f>
        <v>Inventory
@
9-1-07</v>
      </c>
      <c r="F7" s="64" t="str">
        <f ca="1">+'Schedule 003'!E7</f>
        <v>Billed kWh
12 Months
ended
9-30-07</v>
      </c>
      <c r="G7" s="64" t="str">
        <f ca="1">+'Schedule 003'!F7</f>
        <v>Schedule 95</v>
      </c>
      <c r="H7" s="64" t="str">
        <f ca="1">+'Schedule 003'!G7</f>
        <v>Proforma Base Lamp Charge</v>
      </c>
      <c r="I7" s="64" t="str">
        <f ca="1">+'Schedule 003'!H7</f>
        <v>Proposed Lamp Charge</v>
      </c>
      <c r="J7" s="64" t="s">
        <v>356</v>
      </c>
      <c r="K7" s="64" t="s">
        <v>312</v>
      </c>
      <c r="L7" s="63" t="s">
        <v>313</v>
      </c>
      <c r="M7" s="63" t="s">
        <v>223</v>
      </c>
    </row>
    <row r="8" spans="1:13" ht="12.75">
      <c r="A8" s="82" t="s">
        <v>391</v>
      </c>
      <c r="B8" s="118">
        <v>70</v>
      </c>
      <c r="C8" s="118" t="s">
        <v>392</v>
      </c>
      <c r="D8" s="118" t="s">
        <v>366</v>
      </c>
      <c r="E8" s="21">
        <v>70</v>
      </c>
      <c r="F8" s="118"/>
      <c r="G8" s="114">
        <v>0.1</v>
      </c>
      <c r="H8" s="115">
        <v>11.23</v>
      </c>
      <c r="I8" s="115">
        <f ca="1">ROUND(+(H8+G8)*(1+$I$33),2)</f>
        <v>11.81</v>
      </c>
      <c r="J8" s="96">
        <f>ROUND(+H8*$E8*12+G8*E8*12,0)</f>
        <v>9517</v>
      </c>
      <c r="K8" s="96">
        <f aca="true" t="shared" si="0" ref="K8:K13">ROUND(+I8*$E8*12,0)</f>
        <v>9920</v>
      </c>
      <c r="L8" s="96">
        <f aca="true" t="shared" si="1" ref="L8:L13">+K8-J8</f>
        <v>403</v>
      </c>
      <c r="M8" s="188">
        <f ca="1">IF(L8=0,"na",+L8/J8)</f>
        <v>0.04234527687296417</v>
      </c>
    </row>
    <row r="9" spans="1:13" ht="12.75">
      <c r="A9" s="70" t="str">
        <f>+A8</f>
        <v>58E &amp; 59E</v>
      </c>
      <c r="B9" s="118">
        <v>100</v>
      </c>
      <c r="C9" s="118" t="s">
        <v>392</v>
      </c>
      <c r="D9" s="118" t="s">
        <v>366</v>
      </c>
      <c r="E9" s="21">
        <v>6</v>
      </c>
      <c r="F9" s="118"/>
      <c r="G9" s="114">
        <v>0.14</v>
      </c>
      <c r="H9" s="115">
        <v>12.29</v>
      </c>
      <c r="I9" s="115">
        <f aca="true" t="shared" si="2" ref="I9:I28">ROUND(+(H9+G9)*(1+$I$33),2)</f>
        <v>12.96</v>
      </c>
      <c r="J9" s="96">
        <f aca="true" t="shared" si="3" ref="J9:J28">ROUND(+H9*$E9*12+G9*E9*12,0)</f>
        <v>895</v>
      </c>
      <c r="K9" s="96">
        <f ca="1" t="shared" si="0"/>
        <v>933</v>
      </c>
      <c r="L9" s="96">
        <f ca="1" t="shared" si="1"/>
        <v>38</v>
      </c>
      <c r="M9" s="188">
        <f aca="true" t="shared" si="4" ref="M9:M30">IF(L9=0,"na",+L9/J9)</f>
        <v>0.042458100558659215</v>
      </c>
    </row>
    <row r="10" spans="1:13" ht="12.75">
      <c r="A10" s="70" t="str">
        <f>+A9</f>
        <v>58E &amp; 59E</v>
      </c>
      <c r="B10" s="118">
        <v>150</v>
      </c>
      <c r="C10" s="118" t="s">
        <v>392</v>
      </c>
      <c r="D10" s="118" t="s">
        <v>366</v>
      </c>
      <c r="E10" s="21">
        <v>202</v>
      </c>
      <c r="F10" s="118"/>
      <c r="G10" s="114">
        <v>0.19</v>
      </c>
      <c r="H10" s="115">
        <v>14</v>
      </c>
      <c r="I10" s="115">
        <f ca="1" t="shared" si="2"/>
        <v>14.8</v>
      </c>
      <c r="J10" s="96">
        <f t="shared" si="3"/>
        <v>34397</v>
      </c>
      <c r="K10" s="96">
        <f ca="1" t="shared" si="0"/>
        <v>35875</v>
      </c>
      <c r="L10" s="96">
        <f ca="1" t="shared" si="1"/>
        <v>1478</v>
      </c>
      <c r="M10" s="188">
        <f ca="1" t="shared" si="4"/>
        <v>0.04296886356368288</v>
      </c>
    </row>
    <row r="11" spans="1:13" ht="12.75">
      <c r="A11" s="70" t="str">
        <f>+A10</f>
        <v>58E &amp; 59E</v>
      </c>
      <c r="B11" s="118">
        <v>200</v>
      </c>
      <c r="C11" s="118" t="s">
        <v>392</v>
      </c>
      <c r="D11" s="118" t="s">
        <v>366</v>
      </c>
      <c r="E11" s="21">
        <v>361</v>
      </c>
      <c r="F11" s="118"/>
      <c r="G11" s="114">
        <v>0.25</v>
      </c>
      <c r="H11" s="115">
        <v>16.32</v>
      </c>
      <c r="I11" s="115">
        <f ca="1" t="shared" si="2"/>
        <v>17.28</v>
      </c>
      <c r="J11" s="96">
        <f t="shared" si="3"/>
        <v>71781</v>
      </c>
      <c r="K11" s="96">
        <f ca="1" t="shared" si="0"/>
        <v>74857</v>
      </c>
      <c r="L11" s="96">
        <f ca="1" t="shared" si="1"/>
        <v>3076</v>
      </c>
      <c r="M11" s="188">
        <f ca="1" t="shared" si="4"/>
        <v>0.04285256544210864</v>
      </c>
    </row>
    <row r="12" spans="1:13" ht="12.75">
      <c r="A12" s="70" t="str">
        <f>+A11</f>
        <v>58E &amp; 59E</v>
      </c>
      <c r="B12" s="118">
        <v>250</v>
      </c>
      <c r="C12" s="118" t="s">
        <v>392</v>
      </c>
      <c r="D12" s="118" t="s">
        <v>366</v>
      </c>
      <c r="E12" s="21">
        <v>28</v>
      </c>
      <c r="F12" s="118"/>
      <c r="G12" s="114">
        <v>0.31</v>
      </c>
      <c r="H12" s="115">
        <v>18.13</v>
      </c>
      <c r="I12" s="115">
        <f ca="1" t="shared" si="2"/>
        <v>19.23</v>
      </c>
      <c r="J12" s="96">
        <f t="shared" si="3"/>
        <v>6196</v>
      </c>
      <c r="K12" s="96">
        <f ca="1" t="shared" si="0"/>
        <v>6461</v>
      </c>
      <c r="L12" s="96">
        <f ca="1" t="shared" si="1"/>
        <v>265</v>
      </c>
      <c r="M12" s="188">
        <f ca="1" t="shared" si="4"/>
        <v>0.04276952872821175</v>
      </c>
    </row>
    <row r="13" spans="1:13" ht="12.75">
      <c r="A13" s="70" t="str">
        <f>+A12</f>
        <v>58E &amp; 59E</v>
      </c>
      <c r="B13" s="118">
        <v>400</v>
      </c>
      <c r="C13" s="118" t="s">
        <v>392</v>
      </c>
      <c r="D13" s="118" t="s">
        <v>366</v>
      </c>
      <c r="E13" s="21">
        <v>470</v>
      </c>
      <c r="F13" s="118"/>
      <c r="G13" s="114">
        <v>0.5</v>
      </c>
      <c r="H13" s="115">
        <v>22.93</v>
      </c>
      <c r="I13" s="115">
        <f ca="1" t="shared" si="2"/>
        <v>24.43</v>
      </c>
      <c r="J13" s="96">
        <f t="shared" si="3"/>
        <v>132145</v>
      </c>
      <c r="K13" s="96">
        <f ca="1" t="shared" si="0"/>
        <v>137785</v>
      </c>
      <c r="L13" s="96">
        <f ca="1" t="shared" si="1"/>
        <v>5640</v>
      </c>
      <c r="M13" s="188">
        <f ca="1" t="shared" si="4"/>
        <v>0.04268038896666541</v>
      </c>
    </row>
    <row r="14" spans="1:13" ht="12.75">
      <c r="A14" s="70"/>
      <c r="B14" s="118"/>
      <c r="C14" s="118"/>
      <c r="D14" s="118"/>
      <c r="E14" s="21"/>
      <c r="F14" s="118"/>
      <c r="G14" s="118"/>
      <c r="H14" s="115"/>
      <c r="I14" s="115"/>
      <c r="J14" s="96"/>
      <c r="K14" s="96"/>
      <c r="L14" s="96"/>
      <c r="M14" s="116"/>
    </row>
    <row r="15" spans="1:13" ht="12.75">
      <c r="A15" s="70" t="str">
        <f>+A9</f>
        <v>58E &amp; 59E</v>
      </c>
      <c r="B15" s="118">
        <v>100</v>
      </c>
      <c r="C15" s="118" t="s">
        <v>393</v>
      </c>
      <c r="D15" s="118" t="s">
        <v>366</v>
      </c>
      <c r="E15" s="21">
        <v>1</v>
      </c>
      <c r="F15" s="118"/>
      <c r="G15" s="114">
        <v>0.14</v>
      </c>
      <c r="H15" s="115">
        <v>14.04</v>
      </c>
      <c r="I15" s="115">
        <f ca="1" t="shared" si="2"/>
        <v>14.79</v>
      </c>
      <c r="J15" s="96">
        <f t="shared" si="3"/>
        <v>170</v>
      </c>
      <c r="K15" s="96">
        <f ca="1">ROUND(+I15*$E15*12,0)</f>
        <v>177</v>
      </c>
      <c r="L15" s="96">
        <f ca="1">+K15-J15</f>
        <v>7</v>
      </c>
      <c r="M15" s="188">
        <f ca="1" t="shared" si="4"/>
        <v>0.041176470588235294</v>
      </c>
    </row>
    <row r="16" spans="1:13" ht="12.75">
      <c r="A16" s="70" t="str">
        <f>+A10</f>
        <v>58E &amp; 59E</v>
      </c>
      <c r="B16" s="118">
        <v>150</v>
      </c>
      <c r="C16" s="118" t="s">
        <v>393</v>
      </c>
      <c r="D16" s="118" t="s">
        <v>366</v>
      </c>
      <c r="E16" s="21">
        <v>9</v>
      </c>
      <c r="F16" s="118"/>
      <c r="G16" s="114">
        <v>0.19</v>
      </c>
      <c r="H16" s="115">
        <v>15.68</v>
      </c>
      <c r="I16" s="115">
        <f ca="1" t="shared" si="2"/>
        <v>16.55</v>
      </c>
      <c r="J16" s="96">
        <f t="shared" si="3"/>
        <v>1714</v>
      </c>
      <c r="K16" s="96">
        <f ca="1">ROUND(+I16*$E16*12,0)</f>
        <v>1787</v>
      </c>
      <c r="L16" s="96">
        <f ca="1">+K16-J16</f>
        <v>73</v>
      </c>
      <c r="M16" s="188">
        <f ca="1" t="shared" si="4"/>
        <v>0.042590431738623105</v>
      </c>
    </row>
    <row r="17" spans="1:13" ht="12.75">
      <c r="A17" s="70" t="str">
        <f>+A11</f>
        <v>58E &amp; 59E</v>
      </c>
      <c r="B17" s="118">
        <v>200</v>
      </c>
      <c r="C17" s="118" t="s">
        <v>393</v>
      </c>
      <c r="D17" s="118" t="s">
        <v>366</v>
      </c>
      <c r="E17" s="21">
        <v>6</v>
      </c>
      <c r="F17" s="118"/>
      <c r="G17" s="114">
        <v>0.25</v>
      </c>
      <c r="H17" s="115">
        <v>18.2</v>
      </c>
      <c r="I17" s="115">
        <f ca="1" t="shared" si="2"/>
        <v>19.24</v>
      </c>
      <c r="J17" s="96">
        <f>ROUND(+H17*$E17*12+G17*E17*12,0)</f>
        <v>1328</v>
      </c>
      <c r="K17" s="96">
        <f ca="1">ROUND(+I17*$E17*12,0)</f>
        <v>1385</v>
      </c>
      <c r="L17" s="96">
        <f ca="1">+K17-J17</f>
        <v>57</v>
      </c>
      <c r="M17" s="188">
        <f ca="1">IF(L17=0,"na",+L17/J17)</f>
        <v>0.04292168674698795</v>
      </c>
    </row>
    <row r="18" spans="1:13" ht="12.75">
      <c r="A18" s="70" t="str">
        <f>+A12</f>
        <v>58E &amp; 59E</v>
      </c>
      <c r="B18" s="118">
        <v>250</v>
      </c>
      <c r="C18" s="118" t="s">
        <v>393</v>
      </c>
      <c r="D18" s="118" t="s">
        <v>366</v>
      </c>
      <c r="E18" s="21">
        <v>16</v>
      </c>
      <c r="F18" s="118"/>
      <c r="G18" s="114">
        <v>0.31</v>
      </c>
      <c r="H18" s="115">
        <v>18.89</v>
      </c>
      <c r="I18" s="115">
        <f ca="1" t="shared" si="2"/>
        <v>20.02</v>
      </c>
      <c r="J18" s="96">
        <f>ROUND(+H18*$E18*12+G18*E18*12,0)</f>
        <v>3686</v>
      </c>
      <c r="K18" s="96">
        <f ca="1">ROUND(+I18*$E18*12,0)</f>
        <v>3844</v>
      </c>
      <c r="L18" s="96">
        <f ca="1">+K18-J18</f>
        <v>158</v>
      </c>
      <c r="M18" s="188">
        <f ca="1">IF(L18=0,"na",+L18/J18)</f>
        <v>0.04286489419424851</v>
      </c>
    </row>
    <row r="19" spans="1:13" ht="12.75">
      <c r="A19" s="70" t="str">
        <f>+A11</f>
        <v>58E &amp; 59E</v>
      </c>
      <c r="B19" s="118">
        <v>400</v>
      </c>
      <c r="C19" s="118" t="s">
        <v>393</v>
      </c>
      <c r="D19" s="118" t="s">
        <v>366</v>
      </c>
      <c r="E19" s="21">
        <v>71</v>
      </c>
      <c r="F19" s="118"/>
      <c r="G19" s="114">
        <v>0.5</v>
      </c>
      <c r="H19" s="115">
        <v>24.6</v>
      </c>
      <c r="I19" s="115">
        <f ca="1" t="shared" si="2"/>
        <v>26.17</v>
      </c>
      <c r="J19" s="96">
        <f t="shared" si="3"/>
        <v>21385</v>
      </c>
      <c r="K19" s="96">
        <f ca="1">ROUND(+I19*$E19*12,0)</f>
        <v>22297</v>
      </c>
      <c r="L19" s="96">
        <f ca="1">+K19-J19</f>
        <v>912</v>
      </c>
      <c r="M19" s="188">
        <f ca="1" t="shared" si="4"/>
        <v>0.04264671498714052</v>
      </c>
    </row>
    <row r="20" spans="1:13" ht="12.75">
      <c r="A20" s="70"/>
      <c r="B20" s="118"/>
      <c r="C20" s="118"/>
      <c r="D20" s="118"/>
      <c r="E20" s="21"/>
      <c r="F20" s="118"/>
      <c r="G20" s="118"/>
      <c r="H20" s="114"/>
      <c r="I20" s="114"/>
      <c r="J20" s="96"/>
      <c r="K20" s="96"/>
      <c r="L20" s="96"/>
      <c r="M20" s="116"/>
    </row>
    <row r="21" spans="1:13" ht="12.75">
      <c r="A21" s="70" t="str">
        <f>+A12</f>
        <v>58E &amp; 59E</v>
      </c>
      <c r="B21" s="118">
        <v>175</v>
      </c>
      <c r="C21" s="118" t="s">
        <v>392</v>
      </c>
      <c r="D21" s="118" t="s">
        <v>367</v>
      </c>
      <c r="E21" s="21">
        <v>3</v>
      </c>
      <c r="F21" s="118"/>
      <c r="G21" s="114">
        <v>0.24</v>
      </c>
      <c r="H21" s="115">
        <v>15.94</v>
      </c>
      <c r="I21" s="115">
        <f ca="1" t="shared" si="2"/>
        <v>16.87</v>
      </c>
      <c r="J21" s="96">
        <f t="shared" si="3"/>
        <v>582</v>
      </c>
      <c r="K21" s="96">
        <f ca="1">ROUND(+I21*$E21*12,0)</f>
        <v>607</v>
      </c>
      <c r="L21" s="96">
        <f ca="1">+K21-J21</f>
        <v>25</v>
      </c>
      <c r="M21" s="188">
        <f ca="1" t="shared" si="4"/>
        <v>0.0429553264604811</v>
      </c>
    </row>
    <row r="22" spans="1:13" ht="12.75">
      <c r="A22" s="70" t="str">
        <f>+A13</f>
        <v>58E &amp; 59E</v>
      </c>
      <c r="B22" s="118">
        <v>250</v>
      </c>
      <c r="C22" s="118" t="s">
        <v>392</v>
      </c>
      <c r="D22" s="118" t="s">
        <v>367</v>
      </c>
      <c r="E22" s="21">
        <v>11</v>
      </c>
      <c r="F22" s="118"/>
      <c r="G22" s="114">
        <v>0.33</v>
      </c>
      <c r="H22" s="115">
        <v>18.62</v>
      </c>
      <c r="I22" s="115">
        <f ca="1" t="shared" si="2"/>
        <v>19.76</v>
      </c>
      <c r="J22" s="96">
        <f>ROUND(+H22*$E22*12+G22*E22*12,0)</f>
        <v>2501</v>
      </c>
      <c r="K22" s="96">
        <f ca="1">ROUND(+I22*$E22*12,0)</f>
        <v>2608</v>
      </c>
      <c r="L22" s="96">
        <f ca="1">+K22-J22</f>
        <v>107</v>
      </c>
      <c r="M22" s="188">
        <f ca="1">IF(L22=0,"na",+L22/J22)</f>
        <v>0.042782886845261894</v>
      </c>
    </row>
    <row r="23" spans="1:13" ht="12.75">
      <c r="A23" s="70" t="str">
        <f>+A13</f>
        <v>58E &amp; 59E</v>
      </c>
      <c r="B23" s="118">
        <v>400</v>
      </c>
      <c r="C23" s="118" t="s">
        <v>392</v>
      </c>
      <c r="D23" s="118" t="s">
        <v>367</v>
      </c>
      <c r="E23" s="21">
        <v>70</v>
      </c>
      <c r="F23" s="118"/>
      <c r="G23" s="114">
        <v>0.52</v>
      </c>
      <c r="H23" s="115">
        <v>23.05</v>
      </c>
      <c r="I23" s="115">
        <f ca="1" t="shared" si="2"/>
        <v>24.58</v>
      </c>
      <c r="J23" s="96">
        <f t="shared" si="3"/>
        <v>19799</v>
      </c>
      <c r="K23" s="96">
        <f ca="1">ROUND(+I23*$E23*12,0)</f>
        <v>20647</v>
      </c>
      <c r="L23" s="96">
        <f ca="1">+K23-J23</f>
        <v>848</v>
      </c>
      <c r="M23" s="188">
        <f ca="1" t="shared" si="4"/>
        <v>0.04283044598212031</v>
      </c>
    </row>
    <row r="24" spans="1:13" ht="12.75">
      <c r="A24" s="70" t="str">
        <f>+A28</f>
        <v>58E &amp; 59E</v>
      </c>
      <c r="B24" s="118">
        <v>1000</v>
      </c>
      <c r="C24" s="118" t="s">
        <v>392</v>
      </c>
      <c r="D24" s="118" t="s">
        <v>367</v>
      </c>
      <c r="E24" s="21">
        <v>99</v>
      </c>
      <c r="F24" s="118"/>
      <c r="G24" s="114">
        <v>1.25</v>
      </c>
      <c r="H24" s="115">
        <v>42.38</v>
      </c>
      <c r="I24" s="115">
        <f ca="1" t="shared" si="2"/>
        <v>45.5</v>
      </c>
      <c r="J24" s="96">
        <f t="shared" si="3"/>
        <v>51832</v>
      </c>
      <c r="K24" s="96">
        <f ca="1">ROUND(+I24*$E24*12,0)</f>
        <v>54054</v>
      </c>
      <c r="L24" s="96">
        <f ca="1">+K24-J24</f>
        <v>2222</v>
      </c>
      <c r="M24" s="188">
        <f ca="1" t="shared" si="4"/>
        <v>0.042869269949066216</v>
      </c>
    </row>
    <row r="25" spans="1:13" ht="12.75">
      <c r="A25" s="70"/>
      <c r="B25" s="118"/>
      <c r="C25" s="118"/>
      <c r="D25" s="118"/>
      <c r="E25" s="21"/>
      <c r="F25" s="118"/>
      <c r="G25" s="114"/>
      <c r="H25" s="115"/>
      <c r="I25" s="115"/>
      <c r="J25" s="96"/>
      <c r="K25" s="96"/>
      <c r="L25" s="96"/>
      <c r="M25" s="188"/>
    </row>
    <row r="26" spans="1:13" ht="12.75">
      <c r="A26" s="70" t="str">
        <f>+A21</f>
        <v>58E &amp; 59E</v>
      </c>
      <c r="B26" s="118">
        <v>175</v>
      </c>
      <c r="C26" s="118" t="s">
        <v>393</v>
      </c>
      <c r="D26" s="118" t="s">
        <v>367</v>
      </c>
      <c r="E26" s="21">
        <v>0</v>
      </c>
      <c r="F26" s="118"/>
      <c r="G26" s="114">
        <v>0.24</v>
      </c>
      <c r="H26" s="115">
        <v>19.65</v>
      </c>
      <c r="I26" s="115">
        <f ca="1" t="shared" si="2"/>
        <v>20.74</v>
      </c>
      <c r="J26" s="96">
        <f>ROUND(+H26*$E26*12+G26*E26*12,0)</f>
        <v>0</v>
      </c>
      <c r="K26" s="96">
        <f ca="1">ROUND(+I26*$E26*12,0)</f>
        <v>0</v>
      </c>
      <c r="L26" s="96">
        <f ca="1">+K26-J26</f>
        <v>0</v>
      </c>
      <c r="M26" s="188" t="str">
        <f ca="1">IF(L26=0,"na",+L26/J26)</f>
        <v>na</v>
      </c>
    </row>
    <row r="27" spans="1:13" ht="12.75">
      <c r="A27" s="70" t="str">
        <f>+A22</f>
        <v>58E &amp; 59E</v>
      </c>
      <c r="B27" s="118">
        <v>250</v>
      </c>
      <c r="C27" s="118" t="s">
        <v>393</v>
      </c>
      <c r="D27" s="118" t="s">
        <v>367</v>
      </c>
      <c r="E27" s="21">
        <v>1</v>
      </c>
      <c r="F27" s="118"/>
      <c r="G27" s="114">
        <v>0.33</v>
      </c>
      <c r="H27" s="115">
        <v>22.21</v>
      </c>
      <c r="I27" s="115">
        <f ca="1" t="shared" si="2"/>
        <v>23.5</v>
      </c>
      <c r="J27" s="96">
        <f>ROUND(+H27*$E27*12+G27*E27*12,0)</f>
        <v>270</v>
      </c>
      <c r="K27" s="96">
        <f ca="1">ROUND(+I27*$E27*12,0)</f>
        <v>282</v>
      </c>
      <c r="L27" s="96">
        <f ca="1">+K27-J27</f>
        <v>12</v>
      </c>
      <c r="M27" s="188">
        <f ca="1">IF(L27=0,"na",+L27/J27)</f>
        <v>0.044444444444444446</v>
      </c>
    </row>
    <row r="28" spans="1:13" ht="12.75">
      <c r="A28" s="70" t="str">
        <f>+A23</f>
        <v>58E &amp; 59E</v>
      </c>
      <c r="B28" s="118">
        <v>400</v>
      </c>
      <c r="C28" s="118" t="s">
        <v>393</v>
      </c>
      <c r="D28" s="118" t="s">
        <v>367</v>
      </c>
      <c r="E28" s="21">
        <v>59</v>
      </c>
      <c r="F28" s="118"/>
      <c r="G28" s="114">
        <v>0.52</v>
      </c>
      <c r="H28" s="115">
        <v>27.97</v>
      </c>
      <c r="I28" s="115">
        <f ca="1" t="shared" si="2"/>
        <v>29.71</v>
      </c>
      <c r="J28" s="96">
        <f t="shared" si="3"/>
        <v>20171</v>
      </c>
      <c r="K28" s="96">
        <f ca="1">ROUND(+I28*$E28*12,0)</f>
        <v>21035</v>
      </c>
      <c r="L28" s="96">
        <f ca="1">+K28-J28</f>
        <v>864</v>
      </c>
      <c r="M28" s="188">
        <f ca="1" t="shared" si="4"/>
        <v>0.04283377125576322</v>
      </c>
    </row>
    <row r="29" spans="1:13" ht="12.75">
      <c r="A29" s="76"/>
      <c r="B29" s="118"/>
      <c r="C29" s="118"/>
      <c r="D29" s="118"/>
      <c r="E29" s="21"/>
      <c r="F29" s="118"/>
      <c r="G29" s="118"/>
      <c r="H29" s="114"/>
      <c r="I29" s="114"/>
      <c r="J29" s="90"/>
      <c r="K29" s="90"/>
      <c r="L29" s="90"/>
      <c r="M29" s="202"/>
    </row>
    <row r="30" spans="1:13" ht="13.5" thickBot="1">
      <c r="A30" s="83" t="s">
        <v>394</v>
      </c>
      <c r="B30" s="118"/>
      <c r="C30" s="118"/>
      <c r="D30" s="118"/>
      <c r="E30" s="39">
        <f>SUM(E8:E28)</f>
        <v>1483</v>
      </c>
      <c r="F30" s="39">
        <f ca="1">SUM('Lighting Summary'!B17)</f>
        <v>2095409.3516</v>
      </c>
      <c r="G30" s="23"/>
      <c r="H30" s="114"/>
      <c r="I30" s="114"/>
      <c r="J30" s="87">
        <f>SUM(J8:J28)</f>
        <v>378369</v>
      </c>
      <c r="K30" s="87">
        <f ca="1">SUM(K8:K28)</f>
        <v>394554</v>
      </c>
      <c r="L30" s="87">
        <f ca="1">SUM(L8:L28)</f>
        <v>16185</v>
      </c>
      <c r="M30" s="192">
        <f ca="1" t="shared" si="4"/>
        <v>0.04277570308349785</v>
      </c>
    </row>
    <row r="31" spans="1:13" ht="13.5" thickTop="1">
      <c r="A31" s="83"/>
      <c r="B31" s="118"/>
      <c r="C31" s="118"/>
      <c r="D31" s="118"/>
      <c r="E31" s="23"/>
      <c r="F31" s="23"/>
      <c r="G31" s="23"/>
      <c r="H31" s="114"/>
      <c r="I31" s="114"/>
      <c r="J31" s="90"/>
      <c r="K31" s="90"/>
      <c r="L31" s="90"/>
      <c r="M31" s="119"/>
    </row>
    <row r="32" spans="1:11" ht="12.75">
      <c r="A32" s="82"/>
      <c r="E32" s="2"/>
      <c r="J32" s="96"/>
      <c r="K32" s="96"/>
    </row>
    <row r="33" spans="1:9" ht="12.75" hidden="1">
      <c r="A33" s="62" t="str">
        <f ca="1">+'Schedule 003'!$A$14</f>
        <v>Proposed Increase</v>
      </c>
      <c r="I33" s="198">
        <f ca="1">+'Lighting Summary'!$E$26</f>
        <v>0.04276429660197481</v>
      </c>
    </row>
    <row r="34" ht="12.75" hidden="1"/>
    <row r="35" ht="12.75" hidden="1"/>
    <row r="36" spans="1:10" ht="12.75" hidden="1">
      <c r="A36" s="83" t="str">
        <f ca="1">+'Schedule 003'!$A$16</f>
        <v>Annual Schedule 95</v>
      </c>
      <c r="J36" s="96">
        <f>(SUMPRODUCT(E8:E13,G8:G13)+SUMPRODUCT(E26:E28,G26:G28)+SUMPRODUCT(E15:E19,G15:G19)+SUMPRODUCT(E21:E24,G21:G24))*12</f>
        <v>7433.64</v>
      </c>
    </row>
  </sheetData>
  <printOptions horizontalCentered="1"/>
  <pageMargins left="0.75" right="0.75" top="1" bottom="1" header="0.5" footer="0.5"/>
  <pageSetup horizontalDpi="600" verticalDpi="600" orientation="landscape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4">
      <selection activeCell="A8" sqref="A8"/>
    </sheetView>
  </sheetViews>
  <sheetFormatPr defaultColWidth="9.140625" defaultRowHeight="12.75"/>
  <cols>
    <col min="1" max="1" width="24.421875" style="62" customWidth="1"/>
    <col min="2" max="2" width="9.140625" style="62" customWidth="1"/>
    <col min="3" max="3" width="8.421875" style="62" bestFit="1" customWidth="1"/>
    <col min="4" max="16384" width="9.140625" style="62" customWidth="1"/>
  </cols>
  <sheetData>
    <row r="1" spans="1:8" ht="12.75">
      <c r="A1" s="61" t="s">
        <v>0</v>
      </c>
      <c r="B1" s="61"/>
      <c r="C1" s="61"/>
      <c r="D1" s="61"/>
      <c r="E1" s="61"/>
      <c r="F1" s="61"/>
      <c r="G1" s="61"/>
      <c r="H1" s="61"/>
    </row>
    <row r="2" spans="1:8" ht="12.75">
      <c r="A2" s="61" t="s">
        <v>395</v>
      </c>
      <c r="B2" s="61"/>
      <c r="C2" s="61"/>
      <c r="D2" s="61"/>
      <c r="E2" s="61"/>
      <c r="F2" s="61"/>
      <c r="G2" s="61"/>
      <c r="H2" s="61"/>
    </row>
    <row r="3" spans="1:13" ht="12.75">
      <c r="A3" s="61" t="str">
        <f ca="1">+'Lighting Summary'!A4</f>
        <v>Twelve Months ended September 30, 2007</v>
      </c>
      <c r="B3" s="61"/>
      <c r="C3" s="61"/>
      <c r="D3" s="61"/>
      <c r="E3" s="61"/>
      <c r="F3" s="61"/>
      <c r="G3" s="61"/>
      <c r="H3" s="61"/>
      <c r="K3" s="61"/>
      <c r="L3" s="61"/>
      <c r="M3" s="61"/>
    </row>
    <row r="4" spans="1:8" ht="12.75">
      <c r="A4" s="61" t="s">
        <v>396</v>
      </c>
      <c r="B4" s="61"/>
      <c r="C4" s="61"/>
      <c r="D4" s="61"/>
      <c r="E4" s="61"/>
      <c r="F4" s="61"/>
      <c r="G4" s="61"/>
      <c r="H4" s="61"/>
    </row>
    <row r="5" spans="1:8" ht="12.75">
      <c r="A5" s="61" t="s">
        <v>397</v>
      </c>
      <c r="B5" s="61"/>
      <c r="C5" s="61"/>
      <c r="D5" s="61"/>
      <c r="E5" s="61"/>
      <c r="F5" s="61"/>
      <c r="G5" s="61"/>
      <c r="H5" s="61"/>
    </row>
    <row r="7" spans="1:8" s="65" customFormat="1" ht="38.25">
      <c r="A7" s="63" t="s">
        <v>4</v>
      </c>
      <c r="B7" s="63" t="str">
        <f ca="1">+'Schedule 003'!D7</f>
        <v>Inventory
@
9-1-07</v>
      </c>
      <c r="C7" s="64" t="s">
        <v>398</v>
      </c>
      <c r="D7" s="64" t="s">
        <v>399</v>
      </c>
      <c r="E7" s="64" t="s">
        <v>356</v>
      </c>
      <c r="F7" s="64" t="s">
        <v>312</v>
      </c>
      <c r="G7" s="63" t="s">
        <v>313</v>
      </c>
      <c r="H7" s="63" t="s">
        <v>223</v>
      </c>
    </row>
    <row r="8" spans="1:8" ht="12.75">
      <c r="A8" s="203" t="s">
        <v>400</v>
      </c>
      <c r="B8" s="23">
        <v>1212</v>
      </c>
      <c r="C8" s="204">
        <v>1.89</v>
      </c>
      <c r="D8" s="205">
        <f ca="1">ROUND((+C8*(1+$E$17)),2)</f>
        <v>1.97</v>
      </c>
      <c r="E8" s="81">
        <f>ROUND(+C8*$B8*12,0)</f>
        <v>27488</v>
      </c>
      <c r="F8" s="81">
        <f ca="1">ROUND(+D8*$B8*12,0)</f>
        <v>28652</v>
      </c>
      <c r="G8" s="81">
        <f ca="1">+F8-E8</f>
        <v>1164</v>
      </c>
      <c r="H8" s="119">
        <f ca="1">+G8/E8</f>
        <v>0.04234575087310827</v>
      </c>
    </row>
    <row r="9" spans="1:8" ht="12.75">
      <c r="A9" s="104"/>
      <c r="B9" s="104"/>
      <c r="C9" s="104"/>
      <c r="D9" s="104"/>
      <c r="E9" s="104"/>
      <c r="F9" s="104"/>
      <c r="G9" s="104"/>
      <c r="H9" s="104"/>
    </row>
    <row r="10" spans="1:8" ht="12.75">
      <c r="A10" s="203" t="s">
        <v>401</v>
      </c>
      <c r="B10" s="23">
        <v>210</v>
      </c>
      <c r="C10" s="205">
        <v>7.45</v>
      </c>
      <c r="D10" s="205">
        <f ca="1">+E19</f>
        <v>7.768594009684712</v>
      </c>
      <c r="E10" s="81">
        <f>ROUND(+C10*$B10*12,0)</f>
        <v>18774</v>
      </c>
      <c r="F10" s="81">
        <f ca="1">ROUND(+D10*$B10*12,0)</f>
        <v>19577</v>
      </c>
      <c r="G10" s="81">
        <f ca="1">+F10-E10</f>
        <v>803</v>
      </c>
      <c r="H10" s="119">
        <f ca="1">+G10/E10</f>
        <v>0.042771918610844784</v>
      </c>
    </row>
    <row r="11" spans="1:8" ht="12.75">
      <c r="A11" s="203" t="s">
        <v>402</v>
      </c>
      <c r="B11" s="23">
        <v>169</v>
      </c>
      <c r="C11" s="204">
        <f>+C10</f>
        <v>7.45</v>
      </c>
      <c r="D11" s="205">
        <f ca="1">+E19</f>
        <v>7.768594009684712</v>
      </c>
      <c r="E11" s="81">
        <f>ROUND(+C11*$B11*12,0)</f>
        <v>15109</v>
      </c>
      <c r="F11" s="81">
        <f ca="1">ROUND(+D11*$B11*12,0)</f>
        <v>15755</v>
      </c>
      <c r="G11" s="81">
        <f ca="1">+F11-E11</f>
        <v>646</v>
      </c>
      <c r="H11" s="206">
        <f ca="1">IF(G11=0,"na",+G11/E11)</f>
        <v>0.04275597326097028</v>
      </c>
    </row>
    <row r="12" spans="1:8" ht="12.75">
      <c r="A12" s="104"/>
      <c r="B12" s="104"/>
      <c r="C12" s="104"/>
      <c r="D12" s="104"/>
      <c r="E12" s="104"/>
      <c r="F12" s="104"/>
      <c r="G12" s="104"/>
      <c r="H12" s="104"/>
    </row>
    <row r="13" spans="1:8" ht="12.75">
      <c r="A13" s="104" t="s">
        <v>403</v>
      </c>
      <c r="B13" s="207">
        <f>SUM(B10:B12)</f>
        <v>379</v>
      </c>
      <c r="C13" s="104"/>
      <c r="D13" s="104"/>
      <c r="E13" s="138">
        <f>SUM(E10:E12)</f>
        <v>33883</v>
      </c>
      <c r="F13" s="138">
        <f ca="1">SUM(F10:F12)</f>
        <v>35332</v>
      </c>
      <c r="G13" s="138">
        <f ca="1">SUM(G10:G12)</f>
        <v>1449</v>
      </c>
      <c r="H13" s="206">
        <f ca="1">IF(G13=0,"na",+G13/E13)</f>
        <v>0.0427648083109524</v>
      </c>
    </row>
    <row r="14" spans="1:8" ht="12.75">
      <c r="A14" s="104"/>
      <c r="B14" s="207"/>
      <c r="C14" s="104"/>
      <c r="D14" s="104"/>
      <c r="E14" s="138"/>
      <c r="F14" s="138"/>
      <c r="G14" s="138"/>
      <c r="H14" s="206"/>
    </row>
    <row r="15" spans="1:8" ht="12.75">
      <c r="A15" s="104" t="s">
        <v>404</v>
      </c>
      <c r="B15" s="104"/>
      <c r="C15" s="104"/>
      <c r="D15" s="104"/>
      <c r="E15" s="208">
        <f>ROUND(+E13/B13/12,2)</f>
        <v>7.45</v>
      </c>
      <c r="F15" s="104"/>
      <c r="G15" s="104"/>
      <c r="H15" s="104"/>
    </row>
    <row r="16" spans="1:8" ht="12.75">
      <c r="A16" s="104"/>
      <c r="B16" s="104"/>
      <c r="C16" s="104"/>
      <c r="D16" s="104"/>
      <c r="E16" s="208"/>
      <c r="F16" s="104"/>
      <c r="G16" s="104"/>
      <c r="H16" s="104"/>
    </row>
    <row r="17" spans="1:8" ht="12.75">
      <c r="A17" s="62" t="str">
        <f ca="1">+'Schedule 003'!$A$14</f>
        <v>Proposed Increase</v>
      </c>
      <c r="B17" s="104"/>
      <c r="C17" s="104"/>
      <c r="D17" s="104"/>
      <c r="E17" s="198">
        <f ca="1">+'Lighting Summary'!$E$26</f>
        <v>0.04276429660197481</v>
      </c>
      <c r="F17" s="104"/>
      <c r="G17" s="104"/>
      <c r="H17" s="104"/>
    </row>
    <row r="18" spans="1:8" ht="12.75">
      <c r="A18" s="104"/>
      <c r="B18" s="104"/>
      <c r="C18" s="104"/>
      <c r="D18" s="104"/>
      <c r="E18" s="104"/>
      <c r="F18" s="104"/>
      <c r="G18" s="104"/>
      <c r="H18" s="104"/>
    </row>
    <row r="19" spans="1:8" ht="12.75">
      <c r="A19" s="203" t="s">
        <v>405</v>
      </c>
      <c r="B19" s="104"/>
      <c r="C19" s="104"/>
      <c r="D19" s="104"/>
      <c r="E19" s="204">
        <f ca="1">+E15*(1+E17)</f>
        <v>7.768594009684712</v>
      </c>
      <c r="F19" s="104"/>
      <c r="G19" s="104"/>
      <c r="H19" s="104"/>
    </row>
    <row r="21" ht="12.75">
      <c r="C21" s="209"/>
    </row>
    <row r="24" ht="12.75">
      <c r="F24" s="198"/>
    </row>
  </sheetData>
  <printOptions horizontalCentered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D2">
      <selection activeCell="G11" sqref="G11"/>
    </sheetView>
  </sheetViews>
  <sheetFormatPr defaultColWidth="9.140625" defaultRowHeight="12.75"/>
  <cols>
    <col min="1" max="1" width="21.00390625" style="62" bestFit="1" customWidth="1"/>
    <col min="2" max="2" width="15.00390625" style="62" bestFit="1" customWidth="1"/>
    <col min="3" max="3" width="12.8515625" style="62" bestFit="1" customWidth="1"/>
    <col min="4" max="4" width="15.00390625" style="62" bestFit="1" customWidth="1"/>
    <col min="5" max="5" width="12.7109375" style="62" bestFit="1" customWidth="1"/>
    <col min="6" max="6" width="15.00390625" style="62" bestFit="1" customWidth="1"/>
    <col min="7" max="7" width="10.7109375" style="62" bestFit="1" customWidth="1"/>
    <col min="8" max="8" width="16.00390625" style="62" bestFit="1" customWidth="1"/>
    <col min="9" max="9" width="13.421875" style="62" bestFit="1" customWidth="1"/>
    <col min="10" max="10" width="7.8515625" style="62" bestFit="1" customWidth="1"/>
    <col min="11" max="11" width="9.140625" style="62" customWidth="1"/>
    <col min="12" max="12" width="12.28125" style="62" bestFit="1" customWidth="1"/>
    <col min="13" max="16384" width="9.140625" style="62" customWidth="1"/>
  </cols>
  <sheetData>
    <row r="1" spans="1:10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 t="s">
        <v>217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tr">
        <f ca="1">+'Summary Proforma Proposed'!A3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1" t="s">
        <v>25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2.75">
      <c r="A5" s="61" t="s">
        <v>237</v>
      </c>
      <c r="B5" s="61"/>
      <c r="C5" s="61"/>
      <c r="D5" s="61"/>
      <c r="E5" s="61"/>
      <c r="F5" s="61"/>
      <c r="G5" s="61"/>
      <c r="H5" s="61"/>
      <c r="I5" s="61"/>
      <c r="J5" s="61"/>
    </row>
    <row r="7" spans="2:8" ht="12.75">
      <c r="B7" s="98" t="s">
        <v>238</v>
      </c>
      <c r="C7" s="99"/>
      <c r="D7" s="100"/>
      <c r="E7" s="101" t="s">
        <v>119</v>
      </c>
      <c r="F7" s="124"/>
      <c r="G7" s="125" t="s">
        <v>120</v>
      </c>
      <c r="H7" s="124"/>
    </row>
    <row r="8" spans="3:10" ht="12.75">
      <c r="C8" s="93" t="s">
        <v>239</v>
      </c>
      <c r="D8" s="105"/>
      <c r="E8" s="126" t="s">
        <v>240</v>
      </c>
      <c r="F8" s="127"/>
      <c r="G8" s="128" t="s">
        <v>241</v>
      </c>
      <c r="H8" s="127"/>
      <c r="I8" s="98" t="s">
        <v>242</v>
      </c>
      <c r="J8" s="100"/>
    </row>
    <row r="9" spans="1:10" ht="12.75">
      <c r="A9" s="112"/>
      <c r="B9" s="112"/>
      <c r="C9" s="112" t="s">
        <v>243</v>
      </c>
      <c r="D9" s="112" t="s">
        <v>244</v>
      </c>
      <c r="E9" s="129" t="s">
        <v>245</v>
      </c>
      <c r="F9" s="130" t="s">
        <v>246</v>
      </c>
      <c r="G9" s="112" t="s">
        <v>245</v>
      </c>
      <c r="H9" s="130" t="s">
        <v>246</v>
      </c>
      <c r="I9" s="129" t="s">
        <v>247</v>
      </c>
      <c r="J9" s="130" t="s">
        <v>248</v>
      </c>
    </row>
    <row r="10" spans="1:10" ht="12.75">
      <c r="A10" s="83" t="s">
        <v>249</v>
      </c>
      <c r="B10" s="72">
        <v>11374965</v>
      </c>
      <c r="C10" s="72"/>
      <c r="D10" s="72">
        <f>+B10</f>
        <v>11374965</v>
      </c>
      <c r="E10" s="114">
        <v>6.02</v>
      </c>
      <c r="F10" s="96">
        <f>+E10*D10</f>
        <v>68477289.3</v>
      </c>
      <c r="G10" s="115">
        <f ca="1">+'Rate Design Sch 7'!$F$8</f>
        <v>6.02</v>
      </c>
      <c r="H10" s="96">
        <f ca="1">+G10*B10</f>
        <v>68477289.3</v>
      </c>
      <c r="I10" s="94">
        <f ca="1">+H10-F10</f>
        <v>0</v>
      </c>
      <c r="J10" s="116">
        <f ca="1">+I10/F10</f>
        <v>0</v>
      </c>
    </row>
    <row r="11" spans="1:10" ht="12.75">
      <c r="A11" s="62" t="s">
        <v>250</v>
      </c>
      <c r="B11" s="72">
        <v>3377</v>
      </c>
      <c r="C11" s="72"/>
      <c r="D11" s="72">
        <f>+B11</f>
        <v>3377</v>
      </c>
      <c r="E11" s="114">
        <v>14.85</v>
      </c>
      <c r="F11" s="96">
        <f>+E11*D11</f>
        <v>50148.45</v>
      </c>
      <c r="G11" s="115">
        <f ca="1">+'Rate Design Sch 7'!$F$9</f>
        <v>14.969999999999999</v>
      </c>
      <c r="H11" s="96">
        <f ca="1">+G11*B11</f>
        <v>50553.689999999995</v>
      </c>
      <c r="I11" s="94">
        <f ca="1">+H11-F11</f>
        <v>405.23999999999796</v>
      </c>
      <c r="J11" s="116">
        <f ca="1">+I11/F11</f>
        <v>0.008080808080808041</v>
      </c>
    </row>
    <row r="12" spans="1:10" ht="12.75">
      <c r="A12" s="62" t="s">
        <v>64</v>
      </c>
      <c r="B12" s="77">
        <f>SUM(B10:B11)</f>
        <v>11378342</v>
      </c>
      <c r="C12" s="77"/>
      <c r="D12" s="77">
        <f>SUM(D10:D11)</f>
        <v>11378342</v>
      </c>
      <c r="F12" s="78">
        <f>SUM(F10:F11)</f>
        <v>68527437.75</v>
      </c>
      <c r="H12" s="78">
        <f ca="1">SUM(H10:H11)</f>
        <v>68527842.99</v>
      </c>
      <c r="I12" s="78">
        <f ca="1">SUM(I10:I11)</f>
        <v>405.23999999999796</v>
      </c>
      <c r="J12" s="117">
        <f ca="1">+I12/F12</f>
        <v>5.9135437323424216E-06</v>
      </c>
    </row>
    <row r="13" spans="6:8" ht="12.75">
      <c r="F13" s="96"/>
      <c r="H13" s="96"/>
    </row>
    <row r="14" spans="1:10" ht="12.75">
      <c r="A14" s="62" t="s">
        <v>251</v>
      </c>
      <c r="B14" s="118">
        <v>5821836138.282999</v>
      </c>
      <c r="C14" s="118"/>
      <c r="D14" s="118">
        <f>+C14+B14</f>
        <v>5821836138.282999</v>
      </c>
      <c r="E14" s="97">
        <v>0.074314</v>
      </c>
      <c r="F14" s="96">
        <f>+E14*D14</f>
        <v>432643930.78036284</v>
      </c>
      <c r="G14" s="97">
        <f ca="1">+'Rate Design Sch 7'!$F$13</f>
        <v>0.084121</v>
      </c>
      <c r="H14" s="96">
        <f ca="1">+G14*D14</f>
        <v>489738677.7885042</v>
      </c>
      <c r="I14" s="94">
        <f ca="1">+H14-F14</f>
        <v>57094747.00814134</v>
      </c>
      <c r="J14" s="116">
        <f ca="1">+I14/F14</f>
        <v>0.13196705869688072</v>
      </c>
    </row>
    <row r="15" spans="1:10" ht="12.75">
      <c r="A15" s="83" t="s">
        <v>68</v>
      </c>
      <c r="B15" s="118">
        <v>4944559234.168301</v>
      </c>
      <c r="C15" s="118">
        <v>-111534469</v>
      </c>
      <c r="D15" s="118">
        <f>+C15+B15</f>
        <v>4833024765.168301</v>
      </c>
      <c r="E15" s="97">
        <v>0.092122</v>
      </c>
      <c r="F15" s="96">
        <f>+E15*D15</f>
        <v>445227907.4168342</v>
      </c>
      <c r="G15" s="97">
        <f ca="1">+'Rate Design Sch 7'!$F$17</f>
        <v>0.101929</v>
      </c>
      <c r="H15" s="96">
        <f ca="1">+G15*D15</f>
        <v>492625381.28883976</v>
      </c>
      <c r="I15" s="94">
        <f ca="1">+H15-F15</f>
        <v>47397473.87200558</v>
      </c>
      <c r="J15" s="116">
        <f ca="1">+I15/F15</f>
        <v>0.10645665530492186</v>
      </c>
    </row>
    <row r="16" spans="1:13" ht="12.75">
      <c r="A16" s="62" t="s">
        <v>76</v>
      </c>
      <c r="B16" s="77">
        <f>SUM(B14:B15)</f>
        <v>10766395372.4513</v>
      </c>
      <c r="C16" s="77">
        <f>SUM(C14:C15)</f>
        <v>-111534469</v>
      </c>
      <c r="D16" s="77">
        <f>SUM(D14:D15)</f>
        <v>10654860903.4513</v>
      </c>
      <c r="F16" s="78">
        <f>SUM(F14:F15)</f>
        <v>877871838.197197</v>
      </c>
      <c r="H16" s="78">
        <f ca="1">SUM(H14:H15)</f>
        <v>982364059.077344</v>
      </c>
      <c r="I16" s="78">
        <f ca="1">SUM(I14:I15)</f>
        <v>104492220.88014692</v>
      </c>
      <c r="J16" s="117">
        <f ca="1">+I16/F16</f>
        <v>0.11902901577835415</v>
      </c>
      <c r="L16" s="94">
        <f ca="1">+I16+I18</f>
        <v>69917197.24844745</v>
      </c>
      <c r="M16" s="117">
        <f ca="1">+L16/H16</f>
        <v>0.07117238930149286</v>
      </c>
    </row>
    <row r="17" spans="2:10" ht="12.75">
      <c r="B17" s="80"/>
      <c r="C17" s="80"/>
      <c r="D17" s="80"/>
      <c r="F17" s="81"/>
      <c r="H17" s="81"/>
      <c r="I17" s="81"/>
      <c r="J17" s="119"/>
    </row>
    <row r="18" spans="1:10" ht="12.75">
      <c r="A18" s="62" t="s">
        <v>252</v>
      </c>
      <c r="B18" s="80"/>
      <c r="C18" s="80"/>
      <c r="D18" s="77">
        <f>+D16</f>
        <v>10654860903.4513</v>
      </c>
      <c r="E18" s="97">
        <v>0.003245</v>
      </c>
      <c r="F18" s="78">
        <f>+E18*D18</f>
        <v>34575023.631699465</v>
      </c>
      <c r="G18" s="97">
        <v>0</v>
      </c>
      <c r="H18" s="78">
        <f>+G18*D18</f>
        <v>0</v>
      </c>
      <c r="I18" s="78">
        <f>+H18-F18</f>
        <v>-34575023.631699465</v>
      </c>
      <c r="J18" s="117">
        <f>+I18/F18</f>
        <v>-1</v>
      </c>
    </row>
    <row r="20" spans="1:10" ht="12.75">
      <c r="A20" s="62" t="s">
        <v>253</v>
      </c>
      <c r="B20" s="80"/>
      <c r="C20" s="80"/>
      <c r="D20" s="77">
        <v>33938723</v>
      </c>
      <c r="E20" s="97">
        <v>0.09181497773220361</v>
      </c>
      <c r="F20" s="78">
        <f>+E20*D20</f>
        <v>3116083.0965044266</v>
      </c>
      <c r="G20" s="97">
        <f ca="1">+'Rate Design Sch 7'!$F$20</f>
        <v>0.098359</v>
      </c>
      <c r="H20" s="78">
        <f ca="1">+G20*D20</f>
        <v>3338178.8555570003</v>
      </c>
      <c r="I20" s="78">
        <f ca="1">+H20-F20</f>
        <v>222095.7590525737</v>
      </c>
      <c r="J20" s="117">
        <f ca="1">+I20/F20</f>
        <v>0.07127401682635398</v>
      </c>
    </row>
    <row r="22" spans="1:10" ht="13.5" thickBot="1">
      <c r="A22" s="62" t="s">
        <v>77</v>
      </c>
      <c r="B22" s="131"/>
      <c r="C22" s="131"/>
      <c r="D22" s="75">
        <f>+D20+D16</f>
        <v>10688799626.4513</v>
      </c>
      <c r="F22" s="122">
        <f>SUM(F12,F16,F18,F20)</f>
        <v>984090382.6754009</v>
      </c>
      <c r="H22" s="122">
        <f ca="1">SUM(H12,H16,H18,H20)</f>
        <v>1054230080.9229009</v>
      </c>
      <c r="I22" s="122">
        <f ca="1">SUM(I12,I16,I18,I20)</f>
        <v>70139698.24750003</v>
      </c>
      <c r="J22" s="123">
        <f ca="1">+I22/F22</f>
        <v>0.07127363449769165</v>
      </c>
    </row>
    <row r="23" ht="14.25" customHeight="1" thickTop="1"/>
    <row r="24" spans="1:8" ht="12.75">
      <c r="A24" s="62" t="s">
        <v>127</v>
      </c>
      <c r="F24" s="94">
        <v>980974299.5788966</v>
      </c>
      <c r="H24" s="94">
        <f ca="1">+'Rate Spread'!$J$9</f>
        <v>1054230271.0218704</v>
      </c>
    </row>
    <row r="25" spans="1:8" ht="12.75">
      <c r="A25" s="62" t="s">
        <v>127</v>
      </c>
      <c r="F25" s="94">
        <f>+F24-(F22-F20)</f>
        <v>0</v>
      </c>
      <c r="H25" s="94">
        <f ca="1">+H24-H22</f>
        <v>190.0989694595337</v>
      </c>
    </row>
    <row r="29" spans="1:6" ht="12.75">
      <c r="A29" s="83" t="s">
        <v>254</v>
      </c>
      <c r="E29" s="97">
        <f>+E18</f>
        <v>0.003245</v>
      </c>
      <c r="F29" s="96">
        <f>+E29*$D$16</f>
        <v>34575023.631699465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6">
      <selection activeCell="F13" sqref="F13"/>
    </sheetView>
  </sheetViews>
  <sheetFormatPr defaultColWidth="9.140625" defaultRowHeight="12.75"/>
  <cols>
    <col min="1" max="1" width="4.421875" style="2" bestFit="1" customWidth="1"/>
    <col min="2" max="2" width="24.8515625" style="2" customWidth="1"/>
    <col min="3" max="3" width="15.00390625" style="2" bestFit="1" customWidth="1"/>
    <col min="4" max="5" width="10.7109375" style="2" bestFit="1" customWidth="1"/>
    <col min="6" max="6" width="11.28125" style="2" bestFit="1" customWidth="1"/>
    <col min="7" max="7" width="13.421875" style="2" bestFit="1" customWidth="1"/>
    <col min="8" max="8" width="15.00390625" style="2" bestFit="1" customWidth="1"/>
    <col min="9" max="9" width="35.8515625" style="2" bestFit="1" customWidth="1"/>
    <col min="10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50</v>
      </c>
      <c r="B2" s="1"/>
      <c r="C2" s="1"/>
      <c r="D2" s="1"/>
      <c r="E2" s="1"/>
      <c r="F2" s="1"/>
      <c r="G2" s="1"/>
      <c r="H2" s="1"/>
      <c r="I2" s="1"/>
    </row>
    <row r="3" spans="1:9" ht="12.75">
      <c r="A3" s="210" t="s">
        <v>51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4" customFormat="1" ht="63.75">
      <c r="A5" s="211" t="s">
        <v>52</v>
      </c>
      <c r="B5" s="212" t="s">
        <v>53</v>
      </c>
      <c r="C5" s="213" t="s">
        <v>54</v>
      </c>
      <c r="D5" s="211" t="s">
        <v>55</v>
      </c>
      <c r="E5" s="211" t="s">
        <v>56</v>
      </c>
      <c r="F5" s="211" t="s">
        <v>484</v>
      </c>
      <c r="G5" s="213" t="s">
        <v>57</v>
      </c>
      <c r="H5" s="213" t="s">
        <v>58</v>
      </c>
      <c r="I5" s="214" t="s">
        <v>59</v>
      </c>
    </row>
    <row r="6" ht="12.75">
      <c r="A6" s="14">
        <v>1</v>
      </c>
    </row>
    <row r="7" spans="1:2" ht="12.75">
      <c r="A7" s="14">
        <f>+A6+1</f>
        <v>2</v>
      </c>
      <c r="B7" s="2" t="s">
        <v>60</v>
      </c>
    </row>
    <row r="8" spans="1:11" ht="12.75">
      <c r="A8" s="14">
        <f aca="true" t="shared" si="0" ref="A8:A34">+A7+1</f>
        <v>3</v>
      </c>
      <c r="B8" s="31" t="s">
        <v>61</v>
      </c>
      <c r="C8" s="21">
        <f ca="1">+'Residential Sch 7'!$D$10</f>
        <v>11374965</v>
      </c>
      <c r="D8" s="154">
        <f ca="1">+'Residential Sch 7'!$E$10</f>
        <v>6.02</v>
      </c>
      <c r="E8" s="154"/>
      <c r="F8" s="215">
        <v>6.02</v>
      </c>
      <c r="G8" s="33">
        <f ca="1">+D8*C8</f>
        <v>68477289.3</v>
      </c>
      <c r="H8" s="33">
        <f ca="1">+F8*C8</f>
        <v>68477289.3</v>
      </c>
      <c r="I8" s="360" t="s">
        <v>62</v>
      </c>
      <c r="K8" s="217"/>
    </row>
    <row r="9" spans="1:9" ht="12.75">
      <c r="A9" s="14">
        <f t="shared" si="0"/>
        <v>4</v>
      </c>
      <c r="B9" s="31" t="s">
        <v>63</v>
      </c>
      <c r="C9" s="21">
        <f ca="1">+'Residential Sch 7'!$D$11</f>
        <v>3377</v>
      </c>
      <c r="D9" s="154">
        <f ca="1">+'Residential Sch 7'!$E$11</f>
        <v>14.85</v>
      </c>
      <c r="E9" s="154"/>
      <c r="F9" s="215">
        <f ca="1">ROUND(+F8/D8*D9,2)+0.12</f>
        <v>14.969999999999999</v>
      </c>
      <c r="G9" s="33">
        <f ca="1">+D9*C9</f>
        <v>50148.45</v>
      </c>
      <c r="H9" s="33">
        <f ca="1">+F9*C9</f>
        <v>50553.689999999995</v>
      </c>
      <c r="I9" s="361"/>
    </row>
    <row r="10" spans="1:9" ht="12.75">
      <c r="A10" s="14">
        <f t="shared" si="0"/>
        <v>5</v>
      </c>
      <c r="B10" s="2" t="s">
        <v>64</v>
      </c>
      <c r="C10" s="218">
        <f ca="1">SUM(C8:C9)</f>
        <v>11378342</v>
      </c>
      <c r="E10" s="154"/>
      <c r="G10" s="155">
        <f ca="1">SUM(G8:G9)</f>
        <v>68527437.75</v>
      </c>
      <c r="H10" s="155">
        <f ca="1">SUM(H8:H9)</f>
        <v>68527842.99</v>
      </c>
      <c r="I10" s="219"/>
    </row>
    <row r="11" spans="1:9" ht="12.75">
      <c r="A11" s="14">
        <f t="shared" si="0"/>
        <v>6</v>
      </c>
      <c r="H11" s="220"/>
      <c r="I11" s="221"/>
    </row>
    <row r="12" spans="1:9" ht="12.75">
      <c r="A12" s="14">
        <f t="shared" si="0"/>
        <v>7</v>
      </c>
      <c r="B12" s="2" t="s">
        <v>65</v>
      </c>
      <c r="I12" s="222"/>
    </row>
    <row r="13" spans="1:9" ht="12.75">
      <c r="A13" s="14">
        <f t="shared" si="0"/>
        <v>8</v>
      </c>
      <c r="B13" s="31" t="s">
        <v>66</v>
      </c>
      <c r="C13" s="21">
        <f ca="1">+'Residential Sch 7'!$B$14</f>
        <v>5821836138.282999</v>
      </c>
      <c r="D13" s="159">
        <f ca="1">+'Residential Sch 7'!$E$14</f>
        <v>0.074314</v>
      </c>
      <c r="E13" s="159">
        <f ca="1">+'Residential Sch 7'!$E$29</f>
        <v>0.003245</v>
      </c>
      <c r="F13" s="223">
        <f ca="1">ROUND(SUM(D13:E13)+H32,6)</f>
        <v>0.084121</v>
      </c>
      <c r="G13" s="33">
        <f ca="1">+C13*SUM(D13:E13)</f>
        <v>451535789.04909116</v>
      </c>
      <c r="H13" s="33">
        <f ca="1">+C13*SUM(F13)</f>
        <v>489738677.7885042</v>
      </c>
      <c r="I13" s="224" t="s">
        <v>67</v>
      </c>
    </row>
    <row r="14" spans="1:9" ht="12.75">
      <c r="A14" s="14">
        <f t="shared" si="0"/>
        <v>9</v>
      </c>
      <c r="B14" s="31" t="s">
        <v>68</v>
      </c>
      <c r="C14" s="21"/>
      <c r="F14" s="37"/>
      <c r="G14" s="33"/>
      <c r="H14" s="33"/>
      <c r="I14" s="222"/>
    </row>
    <row r="15" spans="1:9" ht="12.75">
      <c r="A15" s="14">
        <f t="shared" si="0"/>
        <v>10</v>
      </c>
      <c r="B15" s="160" t="s">
        <v>69</v>
      </c>
      <c r="C15" s="21">
        <f ca="1">+'Residential Sch 7'!$B$15</f>
        <v>4944559234.168301</v>
      </c>
      <c r="D15" s="159"/>
      <c r="F15" s="37"/>
      <c r="G15" s="33"/>
      <c r="H15" s="33"/>
      <c r="I15" s="222"/>
    </row>
    <row r="16" spans="1:9" ht="12.75">
      <c r="A16" s="14">
        <f t="shared" si="0"/>
        <v>11</v>
      </c>
      <c r="B16" s="160" t="s">
        <v>70</v>
      </c>
      <c r="C16" s="21">
        <f ca="1">+'Residential Sch 7'!$C$15</f>
        <v>-111534469</v>
      </c>
      <c r="D16" s="159"/>
      <c r="F16" s="37"/>
      <c r="G16" s="33"/>
      <c r="H16" s="33"/>
      <c r="I16" s="222"/>
    </row>
    <row r="17" spans="1:9" ht="12.75">
      <c r="A17" s="14">
        <f t="shared" si="0"/>
        <v>12</v>
      </c>
      <c r="B17" s="31" t="s">
        <v>71</v>
      </c>
      <c r="C17" s="218">
        <f ca="1">SUM(C15:C16)</f>
        <v>4833024765.168301</v>
      </c>
      <c r="D17" s="159">
        <f ca="1">+'Residential Sch 7'!$E$15</f>
        <v>0.092122</v>
      </c>
      <c r="E17" s="159">
        <f ca="1">+'Residential Sch 7'!$E$29</f>
        <v>0.003245</v>
      </c>
      <c r="F17" s="223">
        <f ca="1">ROUND(SUM(D17:E17)+H32,6)+0</f>
        <v>0.101929</v>
      </c>
      <c r="G17" s="33">
        <f ca="1">+C17*SUM(D17:E17)</f>
        <v>460911072.7798053</v>
      </c>
      <c r="H17" s="33">
        <f ca="1">+C17*SUM(F17)</f>
        <v>492625381.28883976</v>
      </c>
      <c r="I17" s="224" t="s">
        <v>72</v>
      </c>
    </row>
    <row r="18" spans="1:9" ht="12.75">
      <c r="A18" s="14">
        <f t="shared" si="0"/>
        <v>13</v>
      </c>
      <c r="B18" s="28" t="s">
        <v>73</v>
      </c>
      <c r="C18" s="218">
        <f ca="1">SUM(C17,C13)</f>
        <v>10654860903.4513</v>
      </c>
      <c r="F18" s="37"/>
      <c r="G18" s="16">
        <f ca="1">SUM(G17,G13)</f>
        <v>912446861.8288965</v>
      </c>
      <c r="H18" s="16">
        <f ca="1">SUM(H17,H13)</f>
        <v>982364059.077344</v>
      </c>
      <c r="I18" s="219"/>
    </row>
    <row r="19" spans="1:9" ht="12.75">
      <c r="A19" s="14">
        <f t="shared" si="0"/>
        <v>14</v>
      </c>
      <c r="I19" s="222"/>
    </row>
    <row r="20" spans="1:9" ht="12.75">
      <c r="A20" s="14">
        <f t="shared" si="0"/>
        <v>15</v>
      </c>
      <c r="B20" s="28" t="s">
        <v>74</v>
      </c>
      <c r="C20" s="21">
        <f ca="1">+'Residential Sch 7'!$D$20</f>
        <v>33938723</v>
      </c>
      <c r="D20" s="159">
        <f ca="1">+'Residential Sch 7'!$E$20</f>
        <v>0.09181497773220361</v>
      </c>
      <c r="F20" s="223">
        <f ca="1">ROUND(SUM(D20)*(1+H28),6)</f>
        <v>0.098359</v>
      </c>
      <c r="G20" s="16">
        <f ca="1">+C20*SUM(D20:D20)</f>
        <v>3116083.0965044266</v>
      </c>
      <c r="H20" s="16">
        <f ca="1">+C20*F20</f>
        <v>3338178.8555570003</v>
      </c>
      <c r="I20" s="216" t="s">
        <v>75</v>
      </c>
    </row>
    <row r="21" spans="1:4" ht="12.75">
      <c r="A21" s="14">
        <f t="shared" si="0"/>
        <v>16</v>
      </c>
      <c r="B21" s="28"/>
      <c r="C21" s="21"/>
      <c r="D21" s="159"/>
    </row>
    <row r="22" spans="1:9" ht="13.5" thickBot="1">
      <c r="A22" s="14">
        <f t="shared" si="0"/>
        <v>17</v>
      </c>
      <c r="B22" s="2" t="s">
        <v>76</v>
      </c>
      <c r="C22" s="225">
        <f ca="1">SUM(C20,C18)</f>
        <v>10688799626.4513</v>
      </c>
      <c r="I22" s="222"/>
    </row>
    <row r="23" spans="1:9" ht="13.5" thickTop="1">
      <c r="A23" s="14">
        <f t="shared" si="0"/>
        <v>18</v>
      </c>
      <c r="I23" s="222"/>
    </row>
    <row r="24" spans="1:9" ht="13.5" thickBot="1">
      <c r="A24" s="14">
        <f t="shared" si="0"/>
        <v>19</v>
      </c>
      <c r="B24" s="2" t="s">
        <v>77</v>
      </c>
      <c r="G24" s="164">
        <f ca="1">SUM(G20,G18,G10)</f>
        <v>984090382.675401</v>
      </c>
      <c r="H24" s="164">
        <f ca="1">SUM(H20,H18,H10)</f>
        <v>1054230080.9229009</v>
      </c>
      <c r="I24" s="219"/>
    </row>
    <row r="25" spans="1:9" ht="13.5" thickTop="1">
      <c r="A25" s="14">
        <f t="shared" si="0"/>
        <v>20</v>
      </c>
      <c r="I25" s="222"/>
    </row>
    <row r="26" spans="1:9" ht="12.75">
      <c r="A26" s="14">
        <f t="shared" si="0"/>
        <v>21</v>
      </c>
      <c r="B26" s="226" t="s">
        <v>78</v>
      </c>
      <c r="C26" s="226"/>
      <c r="D26" s="226"/>
      <c r="E26" s="226"/>
      <c r="F26" s="226"/>
      <c r="G26" s="226"/>
      <c r="H26" s="33">
        <f ca="1">+'Rate Spread'!$I$9</f>
        <v>70139888.34646957</v>
      </c>
      <c r="I26" s="222" t="s">
        <v>79</v>
      </c>
    </row>
    <row r="27" spans="1:8" ht="12.75">
      <c r="A27" s="14">
        <f t="shared" si="0"/>
        <v>22</v>
      </c>
      <c r="B27" s="226" t="s">
        <v>80</v>
      </c>
      <c r="C27" s="226"/>
      <c r="D27" s="226"/>
      <c r="E27" s="226"/>
      <c r="F27" s="226"/>
      <c r="G27" s="226"/>
      <c r="H27" s="44">
        <f ca="1">SUM(G24,H26)</f>
        <v>1054230271.0218705</v>
      </c>
    </row>
    <row r="28" spans="1:8" ht="12.75">
      <c r="A28" s="14">
        <f t="shared" si="0"/>
        <v>23</v>
      </c>
      <c r="B28" s="226" t="s">
        <v>81</v>
      </c>
      <c r="C28" s="226"/>
      <c r="D28" s="226"/>
      <c r="E28" s="226"/>
      <c r="F28" s="226"/>
      <c r="G28" s="226"/>
      <c r="H28" s="19">
        <f ca="1">+H26/G24</f>
        <v>0.07127382766995802</v>
      </c>
    </row>
    <row r="29" spans="1:7" ht="12.75">
      <c r="A29" s="14">
        <f t="shared" si="0"/>
        <v>24</v>
      </c>
      <c r="B29" s="13"/>
      <c r="G29" s="44"/>
    </row>
    <row r="30" spans="1:8" ht="12.75">
      <c r="A30" s="14">
        <f t="shared" si="0"/>
        <v>25</v>
      </c>
      <c r="B30" s="28" t="s">
        <v>82</v>
      </c>
      <c r="G30" s="44"/>
      <c r="H30" s="44">
        <f ca="1">+H27-H10-G18-H20</f>
        <v>69917387.34741697</v>
      </c>
    </row>
    <row r="31" spans="1:9" ht="12.75">
      <c r="A31" s="14">
        <f t="shared" si="0"/>
        <v>26</v>
      </c>
      <c r="B31" s="28" t="s">
        <v>83</v>
      </c>
      <c r="H31" s="19">
        <f ca="1">+H30/SUM(G13,G17,G20)</f>
        <v>0.07636546207438939</v>
      </c>
      <c r="I31" s="216" t="s">
        <v>75</v>
      </c>
    </row>
    <row r="32" spans="1:9" ht="12.75">
      <c r="A32" s="14">
        <f t="shared" si="0"/>
        <v>27</v>
      </c>
      <c r="B32" s="28" t="s">
        <v>84</v>
      </c>
      <c r="H32" s="227">
        <f ca="1">+H30/SUM(C18)</f>
        <v>0.006562017841525222</v>
      </c>
      <c r="I32" s="224" t="s">
        <v>67</v>
      </c>
    </row>
    <row r="33" spans="1:3" ht="13.5" thickBot="1">
      <c r="A33" s="14">
        <f t="shared" si="0"/>
        <v>28</v>
      </c>
      <c r="C33" s="44"/>
    </row>
    <row r="34" spans="1:8" ht="13.5" thickBot="1">
      <c r="A34" s="14">
        <f t="shared" si="0"/>
        <v>29</v>
      </c>
      <c r="B34" s="28" t="s">
        <v>85</v>
      </c>
      <c r="C34" s="228"/>
      <c r="G34" s="44"/>
      <c r="H34" s="229">
        <f ca="1">+H24-H27</f>
        <v>-190.09896957874298</v>
      </c>
    </row>
  </sheetData>
  <mergeCells count="1">
    <mergeCell ref="I8:I9"/>
  </mergeCells>
  <printOptions horizontalCentered="1"/>
  <pageMargins left="0.25" right="0.25" top="1" bottom="1" header="0.5" footer="0.5"/>
  <pageSetup fitToHeight="1" fitToWidth="1" horizontalDpi="300" verticalDpi="300" orientation="landscape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B6">
      <selection activeCell="F8" sqref="F8"/>
    </sheetView>
  </sheetViews>
  <sheetFormatPr defaultColWidth="9.140625" defaultRowHeight="12.75"/>
  <cols>
    <col min="1" max="1" width="4.421875" style="2" bestFit="1" customWidth="1"/>
    <col min="2" max="2" width="28.140625" style="2" customWidth="1"/>
    <col min="3" max="3" width="14.00390625" style="2" bestFit="1" customWidth="1"/>
    <col min="4" max="5" width="10.7109375" style="2" bestFit="1" customWidth="1"/>
    <col min="6" max="6" width="12.7109375" style="2" bestFit="1" customWidth="1"/>
    <col min="7" max="7" width="13.421875" style="2" bestFit="1" customWidth="1"/>
    <col min="8" max="8" width="14.00390625" style="2" bestFit="1" customWidth="1"/>
    <col min="9" max="9" width="28.421875" style="2" customWidth="1"/>
    <col min="10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50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86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4" customFormat="1" ht="51">
      <c r="A5" s="211" t="str">
        <f ca="1">+'Rate Design Sch 7'!A5</f>
        <v>Line No.</v>
      </c>
      <c r="B5" s="212" t="str">
        <f ca="1">+'Rate Design Sch 7'!B5</f>
        <v>Description</v>
      </c>
      <c r="C5" s="211" t="str">
        <f ca="1">+'Rate Design Sch 7'!C5</f>
        <v>Bill
Determinants</v>
      </c>
      <c r="D5" s="211" t="str">
        <f ca="1">+'Rate Design Sch 7'!D5</f>
        <v>Base Rates
Effective 
9-1-07</v>
      </c>
      <c r="E5" s="211" t="str">
        <f ca="1">+'Rate Design Sch 7'!E5</f>
        <v>PCORC
Effective
9-1-07</v>
      </c>
      <c r="F5" s="211" t="str">
        <f ca="1">+'Rate Design Sch 7'!F5</f>
        <v>Staff Proposed
Rates
Effective 2008</v>
      </c>
      <c r="G5" s="211" t="str">
        <f ca="1">+'Rate Design Sch 7'!G5</f>
        <v>Proforma
Revenue
Effective
9-1-07</v>
      </c>
      <c r="H5" s="211" t="str">
        <f ca="1">+'Rate Design Sch 7'!H5</f>
        <v>Proposed
Revenue
Effective
2008</v>
      </c>
      <c r="I5" s="212" t="str">
        <f ca="1">+'Rate Design Sch 7'!I5</f>
        <v>Notes:</v>
      </c>
    </row>
    <row r="6" ht="12.75">
      <c r="A6" s="14">
        <v>1</v>
      </c>
    </row>
    <row r="7" spans="1:2" ht="12.75">
      <c r="A7" s="14">
        <f aca="true" t="shared" si="0" ref="A7:A35">+A6+1</f>
        <v>2</v>
      </c>
      <c r="B7" s="2" t="s">
        <v>60</v>
      </c>
    </row>
    <row r="8" spans="1:11" ht="25.5" customHeight="1">
      <c r="A8" s="14">
        <f t="shared" si="0"/>
        <v>3</v>
      </c>
      <c r="B8" s="31" t="s">
        <v>61</v>
      </c>
      <c r="C8" s="21">
        <f ca="1">+'Secondary Sch 24'!$D$10</f>
        <v>1040499</v>
      </c>
      <c r="D8" s="154">
        <f ca="1">+'Secondary Sch 24'!$E$10</f>
        <v>6.8</v>
      </c>
      <c r="E8" s="154"/>
      <c r="F8" s="215">
        <v>6.8</v>
      </c>
      <c r="G8" s="33">
        <f ca="1">+D8*C8</f>
        <v>7075393.2</v>
      </c>
      <c r="H8" s="33">
        <f ca="1">+F8*C8</f>
        <v>7075393.2</v>
      </c>
      <c r="I8" s="360" t="s">
        <v>87</v>
      </c>
      <c r="K8" s="351">
        <v>13.49</v>
      </c>
    </row>
    <row r="9" spans="1:11" ht="12.75">
      <c r="A9" s="14">
        <f t="shared" si="0"/>
        <v>4</v>
      </c>
      <c r="B9" s="31" t="s">
        <v>63</v>
      </c>
      <c r="C9" s="21">
        <f ca="1">+'Secondary Sch 24'!$D$11</f>
        <v>401495</v>
      </c>
      <c r="D9" s="154">
        <f ca="1">+'Secondary Sch 24'!$E$11</f>
        <v>16.79</v>
      </c>
      <c r="F9" s="215">
        <f ca="1">ROUND(D9*(1+K10),2)-0.14</f>
        <v>23.5</v>
      </c>
      <c r="G9" s="33">
        <f ca="1">+D9*C9</f>
        <v>6741101.05</v>
      </c>
      <c r="H9" s="33">
        <f ca="1">+F9*C9</f>
        <v>9435132.5</v>
      </c>
      <c r="I9" s="361"/>
      <c r="K9" s="220">
        <f ca="1">(G8+G9)/$C$10</f>
        <v>9.581519930041317</v>
      </c>
    </row>
    <row r="10" spans="1:11" ht="12.75">
      <c r="A10" s="14">
        <f t="shared" si="0"/>
        <v>5</v>
      </c>
      <c r="B10" s="2" t="s">
        <v>64</v>
      </c>
      <c r="C10" s="218">
        <f ca="1">SUM(C8:C9)</f>
        <v>1441994</v>
      </c>
      <c r="G10" s="155">
        <f ca="1">SUM(G8:G9)</f>
        <v>13816494.25</v>
      </c>
      <c r="H10" s="155">
        <f ca="1">SUM(H8:H9)</f>
        <v>16510525.7</v>
      </c>
      <c r="I10" s="230"/>
      <c r="K10" s="18">
        <f ca="1">+K8/K9-1</f>
        <v>0.4079185868730777</v>
      </c>
    </row>
    <row r="11" spans="1:11" ht="12.75">
      <c r="A11" s="14">
        <f t="shared" si="0"/>
        <v>6</v>
      </c>
      <c r="D11" s="220"/>
      <c r="K11" s="220">
        <f ca="1">(H8+H9)/$C$10</f>
        <v>11.44978807124024</v>
      </c>
    </row>
    <row r="12" spans="1:2" ht="12.75">
      <c r="A12" s="14">
        <f t="shared" si="0"/>
        <v>7</v>
      </c>
      <c r="B12" s="2" t="s">
        <v>65</v>
      </c>
    </row>
    <row r="13" spans="1:5" ht="12.75">
      <c r="A13" s="14">
        <f t="shared" si="0"/>
        <v>8</v>
      </c>
      <c r="B13" s="31" t="s">
        <v>88</v>
      </c>
      <c r="C13" s="21">
        <f ca="1">+'Secondary Sch 24'!$B$14</f>
        <v>1388857913.7160997</v>
      </c>
      <c r="E13" s="231"/>
    </row>
    <row r="14" spans="1:9" ht="12.75">
      <c r="A14" s="14">
        <f t="shared" si="0"/>
        <v>9</v>
      </c>
      <c r="B14" s="31" t="s">
        <v>70</v>
      </c>
      <c r="C14" s="21">
        <f ca="1">+'Secondary Sch 24'!$C$14</f>
        <v>-11965439</v>
      </c>
      <c r="E14" s="231"/>
      <c r="F14" s="232"/>
      <c r="G14" s="217"/>
      <c r="I14" s="230"/>
    </row>
    <row r="15" spans="1:9" ht="12.75">
      <c r="A15" s="14">
        <f t="shared" si="0"/>
        <v>10</v>
      </c>
      <c r="B15" s="160" t="s">
        <v>89</v>
      </c>
      <c r="C15" s="15">
        <f ca="1">SUM(C13:C14)</f>
        <v>1376892474.7160997</v>
      </c>
      <c r="D15" s="159">
        <f ca="1">+'Secondary Sch 24'!$E$14</f>
        <v>0.079049</v>
      </c>
      <c r="E15" s="159">
        <f ca="1">+'Secondary Sch 24'!$E$29</f>
        <v>0.003125</v>
      </c>
      <c r="F15" s="223">
        <f ca="1">ROUND(SUM(D15:E15)*(1+H33),6)-0.000001</f>
        <v>0.086118</v>
      </c>
      <c r="G15" s="33">
        <f ca="1">+C15*SUM(D15:E15)</f>
        <v>113144762.21732077</v>
      </c>
      <c r="H15" s="33">
        <f ca="1">+C15*SUM(F15)</f>
        <v>118575226.13760108</v>
      </c>
      <c r="I15" s="230" t="s">
        <v>90</v>
      </c>
    </row>
    <row r="16" spans="1:9" ht="12.75">
      <c r="A16" s="14">
        <f t="shared" si="0"/>
        <v>11</v>
      </c>
      <c r="B16" s="31" t="s">
        <v>91</v>
      </c>
      <c r="C16" s="21">
        <f ca="1">+'Secondary Sch 24'!$B$15</f>
        <v>1237234757.1153002</v>
      </c>
      <c r="D16" s="159"/>
      <c r="F16" s="37"/>
      <c r="G16" s="33"/>
      <c r="H16" s="33"/>
      <c r="I16" s="230"/>
    </row>
    <row r="17" spans="1:9" ht="12.75" customHeight="1">
      <c r="A17" s="14">
        <f t="shared" si="0"/>
        <v>12</v>
      </c>
      <c r="B17" s="31" t="s">
        <v>70</v>
      </c>
      <c r="C17" s="21">
        <f ca="1">+'Secondary Sch 24'!$C$15</f>
        <v>-7300019</v>
      </c>
      <c r="D17" s="159"/>
      <c r="F17" s="37"/>
      <c r="G17" s="33"/>
      <c r="H17" s="19">
        <f ca="1">(+H18-G18)/G18</f>
        <v>0.04801672775825354</v>
      </c>
      <c r="I17" s="230"/>
    </row>
    <row r="18" spans="1:9" ht="12.75">
      <c r="A18" s="14">
        <f t="shared" si="0"/>
        <v>13</v>
      </c>
      <c r="B18" s="160" t="s">
        <v>92</v>
      </c>
      <c r="C18" s="218">
        <f ca="1">SUM(C16:C17)</f>
        <v>1229934738.1153002</v>
      </c>
      <c r="D18" s="159">
        <f ca="1">+'Secondary Sch 24'!$E$15</f>
        <v>0.076264</v>
      </c>
      <c r="E18" s="159">
        <f ca="1">+E15</f>
        <v>0.003125</v>
      </c>
      <c r="F18" s="223">
        <f ca="1">ROUND(SUM(D18:E18)*(1+H33),6)</f>
        <v>0.083201</v>
      </c>
      <c r="G18" s="33">
        <f ca="1">+C18*SUM(D18:E18)</f>
        <v>97643288.92423557</v>
      </c>
      <c r="H18" s="33">
        <f ca="1">+C18*SUM(F18)</f>
        <v>102331800.14593108</v>
      </c>
      <c r="I18" s="230" t="s">
        <v>75</v>
      </c>
    </row>
    <row r="19" spans="1:9" ht="12.75">
      <c r="A19" s="14">
        <f t="shared" si="0"/>
        <v>14</v>
      </c>
      <c r="B19" s="28" t="s">
        <v>73</v>
      </c>
      <c r="C19" s="218">
        <f ca="1">SUM(C18,C15)</f>
        <v>2606827212.8314</v>
      </c>
      <c r="F19" s="37"/>
      <c r="G19" s="16">
        <f ca="1">SUM(G18,G15)</f>
        <v>210788051.14155632</v>
      </c>
      <c r="H19" s="16">
        <f ca="1">SUM(H18,H15)</f>
        <v>220907026.28353214</v>
      </c>
      <c r="I19" s="230"/>
    </row>
    <row r="20" spans="1:9" ht="12.75">
      <c r="A20" s="14">
        <f t="shared" si="0"/>
        <v>15</v>
      </c>
      <c r="I20" s="230"/>
    </row>
    <row r="21" spans="1:9" ht="12.75">
      <c r="A21" s="14">
        <f t="shared" si="0"/>
        <v>16</v>
      </c>
      <c r="B21" s="31" t="s">
        <v>74</v>
      </c>
      <c r="C21" s="23">
        <f ca="1">+'Secondary Sch 24'!$D$20</f>
        <v>10444821</v>
      </c>
      <c r="D21" s="159">
        <f ca="1">+'Secondary Sch 24'!$E$20</f>
        <v>0.08504063058114877</v>
      </c>
      <c r="F21" s="223">
        <f ca="1">ROUND(SUM(D21)*(1+H33),6)</f>
        <v>0.089124</v>
      </c>
      <c r="G21" s="16">
        <f ca="1">+C21*SUM(D21:D21)</f>
        <v>888234.164147225</v>
      </c>
      <c r="H21" s="16">
        <f ca="1">+C21*SUM(F21)</f>
        <v>930884.226804</v>
      </c>
      <c r="I21" s="230" t="s">
        <v>75</v>
      </c>
    </row>
    <row r="22" spans="1:3" ht="13.5" thickBot="1">
      <c r="A22" s="14">
        <f t="shared" si="0"/>
        <v>17</v>
      </c>
      <c r="B22" s="2" t="s">
        <v>76</v>
      </c>
      <c r="C22" s="225">
        <f ca="1">SUM(C21,C19)</f>
        <v>2617272033.8314</v>
      </c>
    </row>
    <row r="23" ht="13.5" thickTop="1">
      <c r="A23" s="14">
        <f t="shared" si="0"/>
        <v>18</v>
      </c>
    </row>
    <row r="24" spans="1:9" ht="13.5" thickBot="1">
      <c r="A24" s="14">
        <f t="shared" si="0"/>
        <v>19</v>
      </c>
      <c r="B24" s="2" t="s">
        <v>77</v>
      </c>
      <c r="D24" s="44"/>
      <c r="E24" s="44"/>
      <c r="F24" s="44"/>
      <c r="G24" s="164">
        <f ca="1">SUM(G21,G19,G10)</f>
        <v>225492779.55570355</v>
      </c>
      <c r="H24" s="164">
        <f ca="1">SUM(H21,H19,H10)</f>
        <v>238348436.21033612</v>
      </c>
      <c r="I24" s="230"/>
    </row>
    <row r="25" spans="1:9" ht="13.5" thickTop="1">
      <c r="A25" s="14">
        <f t="shared" si="0"/>
        <v>20</v>
      </c>
      <c r="D25" s="33"/>
      <c r="E25" s="33"/>
      <c r="F25" s="33"/>
      <c r="I25" s="230"/>
    </row>
    <row r="26" spans="1:9" ht="12.75">
      <c r="A26" s="14">
        <f t="shared" si="0"/>
        <v>21</v>
      </c>
      <c r="B26" s="226" t="s">
        <v>78</v>
      </c>
      <c r="C26" s="226"/>
      <c r="D26" s="226"/>
      <c r="E26" s="226"/>
      <c r="F26" s="226"/>
      <c r="G26" s="226"/>
      <c r="H26" s="33">
        <f ca="1">+'Rate Spread'!$I$12</f>
        <v>12857386.808698438</v>
      </c>
      <c r="I26" s="230" t="s">
        <v>79</v>
      </c>
    </row>
    <row r="27" spans="1:8" ht="12.75">
      <c r="A27" s="14">
        <f t="shared" si="0"/>
        <v>22</v>
      </c>
      <c r="B27" s="226" t="s">
        <v>80</v>
      </c>
      <c r="C27" s="226"/>
      <c r="D27" s="226"/>
      <c r="E27" s="226"/>
      <c r="F27" s="226"/>
      <c r="G27" s="226"/>
      <c r="H27" s="44">
        <f ca="1">SUM(G24,H26)</f>
        <v>238350166.364402</v>
      </c>
    </row>
    <row r="28" spans="1:8" ht="12.75">
      <c r="A28" s="14">
        <f t="shared" si="0"/>
        <v>23</v>
      </c>
      <c r="B28" s="226" t="s">
        <v>81</v>
      </c>
      <c r="C28" s="226"/>
      <c r="D28" s="226"/>
      <c r="E28" s="226"/>
      <c r="F28" s="226"/>
      <c r="G28" s="226"/>
      <c r="H28" s="19">
        <f ca="1">+H26/G24</f>
        <v>0.057019062135966414</v>
      </c>
    </row>
    <row r="29" spans="1:7" ht="12.75">
      <c r="A29" s="14">
        <f t="shared" si="0"/>
        <v>24</v>
      </c>
      <c r="B29" s="13"/>
      <c r="C29" s="233"/>
      <c r="D29" s="159"/>
      <c r="G29" s="44"/>
    </row>
    <row r="30" spans="1:8" ht="12.75">
      <c r="A30" s="14">
        <f t="shared" si="0"/>
        <v>25</v>
      </c>
      <c r="B30" s="13" t="s">
        <v>93</v>
      </c>
      <c r="G30" s="44"/>
      <c r="H30" s="44">
        <f ca="1">+H27-H10</f>
        <v>221839640.664402</v>
      </c>
    </row>
    <row r="31" spans="1:8" ht="12.75">
      <c r="A31" s="14">
        <f t="shared" si="0"/>
        <v>26</v>
      </c>
      <c r="B31" s="13" t="s">
        <v>94</v>
      </c>
      <c r="H31" s="44">
        <f ca="1">SUM(G15,G18,G21)</f>
        <v>211676285.30570355</v>
      </c>
    </row>
    <row r="32" spans="1:8" ht="12.75">
      <c r="A32" s="14">
        <f t="shared" si="0"/>
        <v>27</v>
      </c>
      <c r="B32" s="13" t="s">
        <v>95</v>
      </c>
      <c r="H32" s="217">
        <f ca="1">+H30-H31</f>
        <v>10163355.358698457</v>
      </c>
    </row>
    <row r="33" spans="1:9" ht="12.75">
      <c r="A33" s="14">
        <f t="shared" si="0"/>
        <v>28</v>
      </c>
      <c r="B33" s="13" t="s">
        <v>96</v>
      </c>
      <c r="H33" s="19">
        <f ca="1">+H32/H31</f>
        <v>0.04801367023245191</v>
      </c>
      <c r="I33" s="230" t="s">
        <v>75</v>
      </c>
    </row>
    <row r="34" spans="1:4" ht="13.5" thickBot="1">
      <c r="A34" s="14">
        <f t="shared" si="0"/>
        <v>29</v>
      </c>
      <c r="C34" s="44"/>
      <c r="D34" s="159"/>
    </row>
    <row r="35" spans="1:8" ht="13.5" thickBot="1">
      <c r="A35" s="14">
        <f t="shared" si="0"/>
        <v>30</v>
      </c>
      <c r="B35" s="28" t="str">
        <f ca="1">+'Rate Design Sch 7'!$B$34</f>
        <v>Over (Under) Recover Target Rate Spread</v>
      </c>
      <c r="C35" s="228"/>
      <c r="D35" s="159"/>
      <c r="G35" s="44"/>
      <c r="H35" s="229">
        <f ca="1">+H24-H27</f>
        <v>-1730.1540658771992</v>
      </c>
    </row>
  </sheetData>
  <mergeCells count="1">
    <mergeCell ref="I8:I9"/>
  </mergeCells>
  <printOptions horizontalCentered="1"/>
  <pageMargins left="0.25" right="0.25" top="1" bottom="1" header="0.5" footer="0.5"/>
  <pageSetup fitToHeight="1" fitToWidth="1" horizontalDpi="300" verticalDpi="300" orientation="landscape" scale="95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="90" zoomScaleNormal="90" workbookViewId="0" topLeftCell="C1">
      <selection activeCell="F5" sqref="F5"/>
    </sheetView>
  </sheetViews>
  <sheetFormatPr defaultColWidth="9.140625" defaultRowHeight="12.75"/>
  <cols>
    <col min="1" max="1" width="4.421875" style="2" bestFit="1" customWidth="1"/>
    <col min="2" max="2" width="40.7109375" style="2" bestFit="1" customWidth="1"/>
    <col min="3" max="3" width="16.140625" style="2" bestFit="1" customWidth="1"/>
    <col min="4" max="4" width="15.7109375" style="2" bestFit="1" customWidth="1"/>
    <col min="5" max="5" width="11.7109375" style="2" bestFit="1" customWidth="1"/>
    <col min="6" max="6" width="12.57421875" style="2" bestFit="1" customWidth="1"/>
    <col min="7" max="7" width="16.28125" style="2" bestFit="1" customWidth="1"/>
    <col min="8" max="8" width="14.57421875" style="2" bestFit="1" customWidth="1"/>
    <col min="9" max="9" width="37.140625" style="2" bestFit="1" customWidth="1"/>
    <col min="10" max="10" width="15.00390625" style="2" bestFit="1" customWidth="1"/>
    <col min="11" max="11" width="16.140625" style="2" bestFit="1" customWidth="1"/>
    <col min="12" max="12" width="14.00390625" style="2" bestFit="1" customWidth="1"/>
    <col min="13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50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97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4" customFormat="1" ht="51">
      <c r="A5" s="211" t="str">
        <f ca="1">+'Rate Design Sch 7'!A5</f>
        <v>Line No.</v>
      </c>
      <c r="B5" s="212" t="str">
        <f ca="1">+'Rate Design Sch 7'!B5</f>
        <v>Description</v>
      </c>
      <c r="C5" s="211" t="str">
        <f ca="1">+'Rate Design Sch 7'!C5</f>
        <v>Bill
Determinants</v>
      </c>
      <c r="D5" s="211" t="str">
        <f ca="1">+'Rate Design Sch 7'!D5</f>
        <v>Base Rates
Effective 
9-1-07</v>
      </c>
      <c r="E5" s="211" t="str">
        <f ca="1">+'Rate Design Sch 7'!E5</f>
        <v>PCORC
Effective
9-1-07</v>
      </c>
      <c r="F5" s="211" t="str">
        <f ca="1">+'Rate Design Sch 7'!F5</f>
        <v>Staff Proposed
Rates
Effective 2008</v>
      </c>
      <c r="G5" s="211" t="str">
        <f ca="1">+'Rate Design Sch 7'!G5</f>
        <v>Proforma
Revenue
Effective
9-1-07</v>
      </c>
      <c r="H5" s="211" t="str">
        <f ca="1">+'Rate Design Sch 7'!H5</f>
        <v>Proposed
Revenue
Effective
2008</v>
      </c>
      <c r="I5" s="212" t="str">
        <f ca="1">+'Rate Design Sch 7'!I5</f>
        <v>Notes:</v>
      </c>
    </row>
    <row r="6" spans="1:12" s="14" customFormat="1" ht="12.75">
      <c r="A6" s="14">
        <v>1</v>
      </c>
      <c r="B6" s="234"/>
      <c r="C6" s="235"/>
      <c r="D6" s="236"/>
      <c r="E6" s="236"/>
      <c r="F6" s="236"/>
      <c r="G6" s="236"/>
      <c r="H6" s="235"/>
      <c r="I6" s="237"/>
      <c r="K6" s="238"/>
      <c r="L6" s="238"/>
    </row>
    <row r="7" spans="1:15" ht="13.5" thickBot="1">
      <c r="A7" s="14">
        <f aca="true" t="shared" si="0" ref="A7:A49">+A6+1</f>
        <v>2</v>
      </c>
      <c r="B7" s="2" t="s">
        <v>60</v>
      </c>
      <c r="C7" s="39">
        <f ca="1">+'Secondary Sch 25'!$D$10</f>
        <v>93148</v>
      </c>
      <c r="D7" s="154">
        <f ca="1">+'Secondary Sch 25'!$E$10</f>
        <v>27.2</v>
      </c>
      <c r="E7" s="154"/>
      <c r="F7" s="239">
        <v>64</v>
      </c>
      <c r="G7" s="40">
        <f ca="1">+C7*D7</f>
        <v>2533625.6</v>
      </c>
      <c r="H7" s="40">
        <f ca="1">+C7*F7</f>
        <v>5961472</v>
      </c>
      <c r="I7" s="222" t="s">
        <v>98</v>
      </c>
      <c r="J7" s="238"/>
      <c r="K7" s="220">
        <v>73.63</v>
      </c>
      <c r="M7" s="14"/>
      <c r="N7" s="220"/>
      <c r="O7" s="154"/>
    </row>
    <row r="8" spans="1:13" ht="13.5" thickTop="1">
      <c r="A8" s="14">
        <f t="shared" si="0"/>
        <v>3</v>
      </c>
      <c r="F8" s="37"/>
      <c r="G8" s="33"/>
      <c r="H8" s="33"/>
      <c r="I8" s="222"/>
      <c r="M8" s="14"/>
    </row>
    <row r="9" spans="1:9" ht="12.75">
      <c r="A9" s="14">
        <f t="shared" si="0"/>
        <v>4</v>
      </c>
      <c r="B9" s="2" t="s">
        <v>65</v>
      </c>
      <c r="F9" s="37"/>
      <c r="G9" s="33"/>
      <c r="H9" s="33"/>
      <c r="I9" s="222"/>
    </row>
    <row r="10" spans="1:9" ht="12.75">
      <c r="A10" s="14">
        <f t="shared" si="0"/>
        <v>5</v>
      </c>
      <c r="B10" s="31" t="s">
        <v>99</v>
      </c>
      <c r="F10" s="37"/>
      <c r="G10" s="33"/>
      <c r="H10" s="33"/>
      <c r="I10" s="222"/>
    </row>
    <row r="11" spans="1:13" ht="12.75">
      <c r="A11" s="14">
        <f t="shared" si="0"/>
        <v>6</v>
      </c>
      <c r="B11" s="160" t="s">
        <v>88</v>
      </c>
      <c r="C11" s="21">
        <f ca="1">+'Secondary Sch 25'!$B$12</f>
        <v>781028543.1319999</v>
      </c>
      <c r="D11" s="159">
        <f ca="1">+'Secondary Sch 25'!$E$12</f>
        <v>0.082041</v>
      </c>
      <c r="E11" s="159">
        <f ca="1">+'Secondary Sch 25'!$E$35</f>
        <v>0.003115</v>
      </c>
      <c r="F11" s="223">
        <f ca="1">ROUND(((1+K17)*(SUM(D11:E11))),6)</f>
        <v>0.08785</v>
      </c>
      <c r="G11" s="33">
        <f ca="1">+C11*SUM(D11:E11)</f>
        <v>66509266.61894859</v>
      </c>
      <c r="H11" s="33">
        <f ca="1">+C11*F11</f>
        <v>68613357.51414618</v>
      </c>
      <c r="I11" s="361" t="s">
        <v>100</v>
      </c>
      <c r="K11" s="33">
        <f ca="1">SUM(G11:G12)</f>
        <v>125981739.96257104</v>
      </c>
      <c r="L11" s="240"/>
      <c r="M11" s="25"/>
    </row>
    <row r="12" spans="1:13" ht="12.75">
      <c r="A12" s="14">
        <f t="shared" si="0"/>
        <v>7</v>
      </c>
      <c r="B12" s="160" t="s">
        <v>91</v>
      </c>
      <c r="C12" s="21">
        <f ca="1">+'Secondary Sch 25'!$B$13</f>
        <v>766793106.5449001</v>
      </c>
      <c r="D12" s="159">
        <f ca="1">+'Secondary Sch 25'!$E$13</f>
        <v>0.074445</v>
      </c>
      <c r="E12" s="159">
        <f ca="1">+'Secondary Sch 25'!$E$35</f>
        <v>0.003115</v>
      </c>
      <c r="F12" s="223">
        <f ca="1">ROUND(((1+K17)*(SUM(D12:E12))),6)</f>
        <v>0.080014</v>
      </c>
      <c r="G12" s="33">
        <f ca="1">+C12*SUM(D12:E12)</f>
        <v>59472473.34362245</v>
      </c>
      <c r="H12" s="33">
        <f ca="1">+C12*F12</f>
        <v>61354183.62708364</v>
      </c>
      <c r="I12" s="361"/>
      <c r="K12" s="33">
        <f ca="1">+K11-K31</f>
        <v>98336205.0472728</v>
      </c>
      <c r="L12" s="240"/>
      <c r="M12" s="25"/>
    </row>
    <row r="13" spans="1:11" ht="12.75">
      <c r="A13" s="14">
        <f t="shared" si="0"/>
        <v>8</v>
      </c>
      <c r="B13" s="31" t="s">
        <v>101</v>
      </c>
      <c r="C13" s="21">
        <f ca="1">SUM(C11:C12)</f>
        <v>1547821649.6769</v>
      </c>
      <c r="D13" s="159"/>
      <c r="F13" s="37"/>
      <c r="H13" s="33"/>
      <c r="I13" s="222"/>
      <c r="K13" s="33">
        <f ca="1">+K31</f>
        <v>27645534.915298235</v>
      </c>
    </row>
    <row r="14" spans="1:11" ht="12.75">
      <c r="A14" s="14">
        <f t="shared" si="0"/>
        <v>9</v>
      </c>
      <c r="B14" s="31" t="s">
        <v>102</v>
      </c>
      <c r="C14" s="21"/>
      <c r="F14" s="37"/>
      <c r="H14" s="33"/>
      <c r="I14" s="222"/>
      <c r="K14" s="33">
        <f ca="1">+K12*H40</f>
        <v>2803519.0929027908</v>
      </c>
    </row>
    <row r="15" spans="1:11" ht="12.75">
      <c r="A15" s="14">
        <f t="shared" si="0"/>
        <v>10</v>
      </c>
      <c r="B15" s="160" t="s">
        <v>103</v>
      </c>
      <c r="C15" s="21">
        <f ca="1">+'Secondary Sch 25'!$B$14</f>
        <v>1499730302.954</v>
      </c>
      <c r="D15" s="159"/>
      <c r="E15" s="159"/>
      <c r="F15" s="37"/>
      <c r="H15" s="33"/>
      <c r="I15" s="222"/>
      <c r="K15" s="33">
        <f ca="1">+K13*H41</f>
        <v>1182241.8548380642</v>
      </c>
    </row>
    <row r="16" spans="1:11" ht="12.75">
      <c r="A16" s="14">
        <f t="shared" si="0"/>
        <v>11</v>
      </c>
      <c r="B16" s="160" t="s">
        <v>70</v>
      </c>
      <c r="C16" s="21">
        <f ca="1">+'Secondary Sch 25'!$C$14</f>
        <v>-529631.9585296367</v>
      </c>
      <c r="D16" s="159"/>
      <c r="E16" s="159"/>
      <c r="F16" s="37"/>
      <c r="G16" s="33"/>
      <c r="H16" s="33"/>
      <c r="I16" s="222"/>
      <c r="K16" s="44">
        <f ca="1">SUM(K14:K15)</f>
        <v>3985760.9477408547</v>
      </c>
    </row>
    <row r="17" spans="1:13" ht="12.75">
      <c r="A17" s="14">
        <f t="shared" si="0"/>
        <v>12</v>
      </c>
      <c r="B17" s="31" t="s">
        <v>104</v>
      </c>
      <c r="C17" s="21">
        <f ca="1">SUM(C15:C16)</f>
        <v>1499200670.9954703</v>
      </c>
      <c r="D17" s="159">
        <f ca="1">+'Secondary Sch 25'!$E$14</f>
        <v>0.060417000000000005</v>
      </c>
      <c r="E17" s="159">
        <f ca="1">+'Secondary Sch 25'!$E$35</f>
        <v>0.003115</v>
      </c>
      <c r="F17" s="223">
        <f ca="1">ROUND((H38-H7-H30-H32-H23-H11-H12-'Rate Design Sch 29'!H36)/SUM(C17),6)-0.000001</f>
        <v>0.0625</v>
      </c>
      <c r="G17" s="33">
        <f ca="1">+C17*SUM(D17:E17)</f>
        <v>95247217.02968423</v>
      </c>
      <c r="H17" s="33">
        <f ca="1">+C17*F17</f>
        <v>93700041.9372169</v>
      </c>
      <c r="I17" s="224" t="s">
        <v>105</v>
      </c>
      <c r="K17" s="19">
        <f ca="1">+K16/K11</f>
        <v>0.031637608346455744</v>
      </c>
      <c r="L17" s="240"/>
      <c r="M17" s="25"/>
    </row>
    <row r="18" spans="1:9" ht="12.75">
      <c r="A18" s="14">
        <f t="shared" si="0"/>
        <v>13</v>
      </c>
      <c r="B18" s="28" t="s">
        <v>106</v>
      </c>
      <c r="C18" s="218">
        <f ca="1">SUM(C17,C13)</f>
        <v>3047022320.67237</v>
      </c>
      <c r="D18" s="159"/>
      <c r="E18" s="159"/>
      <c r="F18" s="232"/>
      <c r="G18" s="16">
        <f ca="1">SUM(G17,G11:G12)</f>
        <v>221228956.99225527</v>
      </c>
      <c r="H18" s="16">
        <f ca="1">SUM(H17,H11:H12)</f>
        <v>223667583.07844672</v>
      </c>
      <c r="I18" s="222"/>
    </row>
    <row r="19" spans="1:9" ht="12.75">
      <c r="A19" s="14">
        <f t="shared" si="0"/>
        <v>14</v>
      </c>
      <c r="F19" s="232"/>
      <c r="G19" s="33"/>
      <c r="H19" s="33"/>
      <c r="I19" s="222"/>
    </row>
    <row r="20" spans="1:9" ht="12.75">
      <c r="A20" s="14">
        <f t="shared" si="0"/>
        <v>15</v>
      </c>
      <c r="B20" s="28" t="s">
        <v>74</v>
      </c>
      <c r="F20" s="17"/>
      <c r="G20" s="33"/>
      <c r="H20" s="33"/>
      <c r="I20" s="222"/>
    </row>
    <row r="21" spans="1:9" ht="12.75">
      <c r="A21" s="14">
        <f t="shared" si="0"/>
        <v>16</v>
      </c>
      <c r="B21" s="26" t="s">
        <v>107</v>
      </c>
      <c r="C21" s="23">
        <f ca="1">-C23*(D23-(D17+E17))/(D17-D11)</f>
        <v>10197100.800890937</v>
      </c>
      <c r="F21" s="37"/>
      <c r="G21" s="33"/>
      <c r="H21" s="33"/>
      <c r="I21" s="222"/>
    </row>
    <row r="22" spans="1:9" ht="12.75">
      <c r="A22" s="14">
        <f t="shared" si="0"/>
        <v>17</v>
      </c>
      <c r="B22" s="26" t="s">
        <v>108</v>
      </c>
      <c r="C22" s="23">
        <f ca="1">C23-C21</f>
        <v>2650639.1991090626</v>
      </c>
      <c r="F22" s="37"/>
      <c r="G22" s="33"/>
      <c r="H22" s="33"/>
      <c r="I22" s="222"/>
    </row>
    <row r="23" spans="1:9" ht="12.75">
      <c r="A23" s="14">
        <f t="shared" si="0"/>
        <v>18</v>
      </c>
      <c r="B23" s="26" t="s">
        <v>109</v>
      </c>
      <c r="C23" s="23">
        <f ca="1">+'Secondary Sch 25'!$D$26</f>
        <v>12847740</v>
      </c>
      <c r="D23" s="159">
        <f ca="1">+'Secondary Sch 25'!$E$26</f>
        <v>0.080694715599667</v>
      </c>
      <c r="F23" s="241">
        <f ca="1">ROUND(D23*(1+H40),6)</f>
        <v>0.082995</v>
      </c>
      <c r="G23" s="33">
        <f ca="1">+C23*SUM(D23:D23)</f>
        <v>1036744.7253984656</v>
      </c>
      <c r="H23" s="33">
        <f ca="1">+C23*SUM(F23)</f>
        <v>1066298.1813</v>
      </c>
      <c r="I23" s="222" t="s">
        <v>110</v>
      </c>
    </row>
    <row r="24" spans="1:9" ht="13.5" thickBot="1">
      <c r="A24" s="14">
        <f t="shared" si="0"/>
        <v>19</v>
      </c>
      <c r="B24" s="28" t="s">
        <v>76</v>
      </c>
      <c r="C24" s="225">
        <f ca="1">SUM(C23,C18)</f>
        <v>3059870060.67237</v>
      </c>
      <c r="F24" s="37"/>
      <c r="G24" s="40">
        <f ca="1">SUM(G23,G18)</f>
        <v>222265701.71765372</v>
      </c>
      <c r="H24" s="40">
        <f ca="1">SUM(H23,H18)</f>
        <v>224733881.25974673</v>
      </c>
      <c r="I24" s="222"/>
    </row>
    <row r="25" spans="1:9" ht="14.25" thickBot="1" thickTop="1">
      <c r="A25" s="14">
        <f t="shared" si="0"/>
        <v>20</v>
      </c>
      <c r="C25" s="242"/>
      <c r="F25" s="37"/>
      <c r="G25" s="33"/>
      <c r="H25" s="33"/>
      <c r="I25" s="222"/>
    </row>
    <row r="26" spans="1:13" ht="13.5" thickBot="1">
      <c r="A26" s="14">
        <f t="shared" si="0"/>
        <v>21</v>
      </c>
      <c r="B26" s="28" t="s">
        <v>111</v>
      </c>
      <c r="F26" s="37"/>
      <c r="G26" s="33"/>
      <c r="H26" s="33"/>
      <c r="I26" s="222"/>
      <c r="K26" s="363" t="s">
        <v>112</v>
      </c>
      <c r="L26" s="364"/>
      <c r="M26" s="365"/>
    </row>
    <row r="27" spans="1:13" ht="12.75">
      <c r="A27" s="14">
        <f t="shared" si="0"/>
        <v>22</v>
      </c>
      <c r="B27" s="31" t="s">
        <v>113</v>
      </c>
      <c r="C27" s="21">
        <f ca="1">+'Secondary Sch 25'!$B$17</f>
        <v>6636130.95</v>
      </c>
      <c r="D27" s="154">
        <v>0</v>
      </c>
      <c r="F27" s="243">
        <v>0</v>
      </c>
      <c r="G27" s="33">
        <f ca="1">+C27*D27</f>
        <v>0</v>
      </c>
      <c r="H27" s="33">
        <f ca="1">+C27*F27</f>
        <v>0</v>
      </c>
      <c r="I27" s="362" t="s">
        <v>114</v>
      </c>
      <c r="K27" s="244">
        <v>80035080.51364033</v>
      </c>
      <c r="L27" s="37"/>
      <c r="M27" s="55"/>
    </row>
    <row r="28" spans="1:13" ht="12.75">
      <c r="A28" s="14">
        <f t="shared" si="0"/>
        <v>23</v>
      </c>
      <c r="B28" s="31" t="s">
        <v>115</v>
      </c>
      <c r="C28" s="21">
        <f ca="1">+'Secondary Sch 25'!$D$18</f>
        <v>2383723</v>
      </c>
      <c r="D28" s="154">
        <f ca="1">+'Secondary Sch 25'!$E$18</f>
        <v>8.31</v>
      </c>
      <c r="F28" s="245">
        <f ca="1">ROUND(((1+H41)*(C28*D28))/C28,2)</f>
        <v>8.67</v>
      </c>
      <c r="G28" s="33">
        <f ca="1">+C28*D28</f>
        <v>19808738.130000003</v>
      </c>
      <c r="H28" s="33">
        <f ca="1">+C28*F28</f>
        <v>20666878.41</v>
      </c>
      <c r="I28" s="362"/>
      <c r="K28" s="246"/>
      <c r="L28" s="247"/>
      <c r="M28" s="248"/>
    </row>
    <row r="29" spans="1:13" ht="12.75">
      <c r="A29" s="14">
        <f t="shared" si="0"/>
        <v>24</v>
      </c>
      <c r="B29" s="31" t="s">
        <v>116</v>
      </c>
      <c r="C29" s="21">
        <f ca="1">+'Secondary Sch 25'!$D$19</f>
        <v>2266686.158</v>
      </c>
      <c r="D29" s="154">
        <f ca="1">+'Secondary Sch 25'!$E$19</f>
        <v>5.54</v>
      </c>
      <c r="F29" s="245">
        <f ca="1">ROUND(((1+H41)*(C29*D29))/C29,2)</f>
        <v>5.78</v>
      </c>
      <c r="G29" s="33">
        <f ca="1">+C29*D29</f>
        <v>12557441.315319998</v>
      </c>
      <c r="H29" s="33">
        <f ca="1">+C29*F29</f>
        <v>13101445.993239999</v>
      </c>
      <c r="I29" s="362"/>
      <c r="K29" s="249">
        <f ca="1">SUM(K30:K31)</f>
        <v>62692812.92368674</v>
      </c>
      <c r="L29" s="156">
        <f ca="1">SUM(L30:L31)</f>
        <v>69756786.36707526</v>
      </c>
      <c r="M29" s="248">
        <f ca="1">+L29/K29</f>
        <v>1.1126759689661267</v>
      </c>
    </row>
    <row r="30" spans="1:13" ht="13.5" thickBot="1">
      <c r="A30" s="14">
        <f t="shared" si="0"/>
        <v>25</v>
      </c>
      <c r="B30" s="13" t="s">
        <v>117</v>
      </c>
      <c r="C30" s="225">
        <f ca="1">SUM(C27:C29)</f>
        <v>11286540.108</v>
      </c>
      <c r="F30" s="250"/>
      <c r="G30" s="40">
        <f ca="1">SUM(G27:G29)</f>
        <v>32366179.445320003</v>
      </c>
      <c r="H30" s="40">
        <f ca="1">SUM(H27:H29)</f>
        <v>33768324.403239995</v>
      </c>
      <c r="I30" s="222"/>
      <c r="K30" s="249">
        <f ca="1">SUM('Rate Design Sch 29'!G32,'Rate Design Sch 29'!G34,G30,G32)</f>
        <v>35047278.008388504</v>
      </c>
      <c r="L30" s="156">
        <f ca="1">SUM('Rate Design Sch 29'!H32,'Rate Design Sch 29'!H34,H30,H32)</f>
        <v>36528098.33065169</v>
      </c>
      <c r="M30" s="248">
        <f ca="1">+L30/K30</f>
        <v>1.0422520779476443</v>
      </c>
    </row>
    <row r="31" spans="1:13" ht="13.5" thickTop="1">
      <c r="A31" s="14">
        <f t="shared" si="0"/>
        <v>26</v>
      </c>
      <c r="C31" s="242"/>
      <c r="F31" s="37"/>
      <c r="G31" s="33"/>
      <c r="H31" s="33"/>
      <c r="I31" s="222"/>
      <c r="K31" s="244">
        <f ca="1">(SUM(G11:G12)/C13-SUM(D17:E17))*C13</f>
        <v>27645534.915298235</v>
      </c>
      <c r="L31" s="20">
        <f ca="1">(SUM(H11:H12)/C13-F17)*C13</f>
        <v>33228688.036423568</v>
      </c>
      <c r="M31" s="248">
        <f ca="1">+L31/K31</f>
        <v>1.2019549680710204</v>
      </c>
    </row>
    <row r="32" spans="1:13" ht="13.5" thickBot="1">
      <c r="A32" s="14">
        <f t="shared" si="0"/>
        <v>27</v>
      </c>
      <c r="B32" s="28" t="s">
        <v>118</v>
      </c>
      <c r="C32" s="39">
        <f ca="1">+'Secondary Sch 25'!$D$22</f>
        <v>983442054.2900002</v>
      </c>
      <c r="D32" s="233">
        <f ca="1">+'Secondary Sch 25'!$E$22</f>
        <v>0.00265</v>
      </c>
      <c r="F32" s="251">
        <f ca="1">ROUND(((1+H40)*(C32*D32))/C32,5)</f>
        <v>0.00273</v>
      </c>
      <c r="G32" s="40">
        <f ca="1">+C32*D32</f>
        <v>2606121.4438685006</v>
      </c>
      <c r="H32" s="40">
        <f ca="1">+C32*F32</f>
        <v>2684796.8082117005</v>
      </c>
      <c r="I32" s="222" t="s">
        <v>110</v>
      </c>
      <c r="K32" s="252" t="s">
        <v>119</v>
      </c>
      <c r="L32" s="253" t="s">
        <v>120</v>
      </c>
      <c r="M32" s="254"/>
    </row>
    <row r="33" spans="1:9" ht="13.5" thickTop="1">
      <c r="A33" s="14">
        <f t="shared" si="0"/>
        <v>28</v>
      </c>
      <c r="C33" s="242"/>
      <c r="F33" s="37"/>
      <c r="G33" s="33"/>
      <c r="H33" s="33"/>
      <c r="I33" s="222"/>
    </row>
    <row r="34" spans="1:9" ht="13.5" thickBot="1">
      <c r="A34" s="14">
        <f t="shared" si="0"/>
        <v>29</v>
      </c>
      <c r="B34" s="2" t="s">
        <v>77</v>
      </c>
      <c r="D34" s="44"/>
      <c r="E34" s="44"/>
      <c r="F34" s="44"/>
      <c r="G34" s="40">
        <f ca="1">SUM(G7,G24,G30,G32)</f>
        <v>259771628.2068422</v>
      </c>
      <c r="H34" s="40">
        <f ca="1">SUM(H7,H24,H30,H32)</f>
        <v>267148474.47119844</v>
      </c>
      <c r="I34" s="222"/>
    </row>
    <row r="35" spans="1:9" ht="13.5" thickTop="1">
      <c r="A35" s="14">
        <f t="shared" si="0"/>
        <v>30</v>
      </c>
      <c r="D35" s="33"/>
      <c r="E35" s="33"/>
      <c r="F35" s="33"/>
      <c r="G35" s="33"/>
      <c r="H35" s="33"/>
      <c r="I35" s="222"/>
    </row>
    <row r="36" spans="1:9" ht="12.75">
      <c r="A36" s="14">
        <f t="shared" si="0"/>
        <v>31</v>
      </c>
      <c r="B36" s="255" t="s">
        <v>121</v>
      </c>
      <c r="C36" s="44"/>
      <c r="D36" s="33"/>
      <c r="E36" s="44"/>
      <c r="F36" s="33"/>
      <c r="H36" s="256">
        <f ca="1">+'Rate Spread'!$I$13</f>
        <v>7438150.153533512</v>
      </c>
      <c r="I36" s="222" t="s">
        <v>79</v>
      </c>
    </row>
    <row r="37" spans="1:8" ht="12.75">
      <c r="A37" s="14">
        <f t="shared" si="0"/>
        <v>32</v>
      </c>
      <c r="B37" s="255" t="s">
        <v>122</v>
      </c>
      <c r="C37" s="44"/>
      <c r="D37" s="159"/>
      <c r="F37" s="33"/>
      <c r="H37" s="33">
        <f ca="1">+G34+'Rate Design Sch 29'!G36</f>
        <v>260900473.45207682</v>
      </c>
    </row>
    <row r="38" spans="1:8" ht="12.75">
      <c r="A38" s="14">
        <f t="shared" si="0"/>
        <v>33</v>
      </c>
      <c r="B38" s="257" t="s">
        <v>123</v>
      </c>
      <c r="C38" s="44"/>
      <c r="D38" s="159"/>
      <c r="F38" s="33"/>
      <c r="H38" s="33">
        <f ca="1">SUM(H36:H37)</f>
        <v>268338623.60561034</v>
      </c>
    </row>
    <row r="39" spans="1:8" ht="12.75">
      <c r="A39" s="14">
        <f t="shared" si="0"/>
        <v>34</v>
      </c>
      <c r="B39" s="28"/>
      <c r="C39" s="44"/>
      <c r="D39" s="159"/>
      <c r="F39" s="33"/>
      <c r="H39" s="33"/>
    </row>
    <row r="40" spans="1:9" ht="12.75">
      <c r="A40" s="14">
        <f t="shared" si="0"/>
        <v>35</v>
      </c>
      <c r="B40" s="28" t="s">
        <v>124</v>
      </c>
      <c r="C40" s="44"/>
      <c r="D40" s="159"/>
      <c r="F40" s="33"/>
      <c r="H40" s="19">
        <f ca="1">+H36/H37</f>
        <v>0.028509531067983207</v>
      </c>
      <c r="I40" s="222" t="s">
        <v>125</v>
      </c>
    </row>
    <row r="41" spans="1:9" ht="12.75">
      <c r="A41" s="14">
        <f t="shared" si="0"/>
        <v>36</v>
      </c>
      <c r="B41" s="13" t="s">
        <v>126</v>
      </c>
      <c r="C41" s="217"/>
      <c r="D41" s="159"/>
      <c r="F41" s="33"/>
      <c r="H41" s="19">
        <f ca="1">+H40*1.5</f>
        <v>0.04276429660197481</v>
      </c>
      <c r="I41" s="224" t="s">
        <v>126</v>
      </c>
    </row>
    <row r="42" spans="1:8" ht="12.75">
      <c r="A42" s="14">
        <f t="shared" si="0"/>
        <v>37</v>
      </c>
      <c r="B42" s="28"/>
      <c r="C42" s="217"/>
      <c r="D42" s="159"/>
      <c r="F42" s="33"/>
      <c r="H42" s="19"/>
    </row>
    <row r="43" spans="1:7" ht="12.75">
      <c r="A43" s="14">
        <f t="shared" si="0"/>
        <v>38</v>
      </c>
      <c r="B43" s="13" t="s">
        <v>127</v>
      </c>
      <c r="C43" s="228"/>
      <c r="D43" s="159"/>
      <c r="G43" s="33"/>
    </row>
    <row r="44" spans="1:8" ht="12.75">
      <c r="A44" s="14">
        <f t="shared" si="0"/>
        <v>39</v>
      </c>
      <c r="B44" s="28" t="s">
        <v>128</v>
      </c>
      <c r="C44" s="233"/>
      <c r="D44" s="159"/>
      <c r="G44" s="33"/>
      <c r="H44" s="33">
        <f ca="1">+H34</f>
        <v>267148474.47119844</v>
      </c>
    </row>
    <row r="45" spans="1:8" ht="12.75">
      <c r="A45" s="14">
        <f t="shared" si="0"/>
        <v>40</v>
      </c>
      <c r="B45" s="13" t="s">
        <v>129</v>
      </c>
      <c r="G45" s="33"/>
      <c r="H45" s="33">
        <f ca="1">+'Rate Design Sch 29'!H36</f>
        <v>1188420.0863014993</v>
      </c>
    </row>
    <row r="46" spans="1:8" ht="12.75">
      <c r="A46" s="14">
        <f t="shared" si="0"/>
        <v>41</v>
      </c>
      <c r="B46" s="13" t="s">
        <v>130</v>
      </c>
      <c r="G46" s="33"/>
      <c r="H46" s="16">
        <f ca="1">SUM(H44:H45)</f>
        <v>268336894.55749995</v>
      </c>
    </row>
    <row r="47" spans="1:8" ht="12.75">
      <c r="A47" s="14">
        <f t="shared" si="0"/>
        <v>42</v>
      </c>
      <c r="B47" s="28" t="s">
        <v>131</v>
      </c>
      <c r="G47" s="33"/>
      <c r="H47" s="16">
        <f ca="1">SUM(H36:H37)</f>
        <v>268338623.60561034</v>
      </c>
    </row>
    <row r="48" spans="1:8" ht="13.5" thickBot="1">
      <c r="A48" s="14">
        <f t="shared" si="0"/>
        <v>43</v>
      </c>
      <c r="B48" s="28"/>
      <c r="G48" s="33"/>
      <c r="H48" s="20"/>
    </row>
    <row r="49" spans="1:8" ht="13.5" thickBot="1">
      <c r="A49" s="14">
        <f t="shared" si="0"/>
        <v>44</v>
      </c>
      <c r="B49" s="28" t="str">
        <f ca="1">+'Rate Design Sch 7'!$B$34</f>
        <v>Over (Under) Recover Target Rate Spread</v>
      </c>
      <c r="G49" s="33"/>
      <c r="H49" s="258">
        <f ca="1">+H46-H47</f>
        <v>-1729.04811039567</v>
      </c>
    </row>
    <row r="50" spans="1:8" ht="12.75">
      <c r="A50" s="14"/>
      <c r="G50" s="33"/>
      <c r="H50" s="33"/>
    </row>
    <row r="51" spans="1:8" ht="12.75">
      <c r="A51" s="14"/>
      <c r="B51" s="220"/>
      <c r="G51" s="33"/>
      <c r="H51" s="33"/>
    </row>
    <row r="52" spans="7:8" ht="12.75">
      <c r="G52" s="33"/>
      <c r="H52" s="33"/>
    </row>
    <row r="53" spans="7:8" ht="12.75">
      <c r="G53" s="33"/>
      <c r="H53" s="33"/>
    </row>
    <row r="54" spans="7:8" ht="12.75">
      <c r="G54" s="33"/>
      <c r="H54" s="33"/>
    </row>
    <row r="55" spans="7:8" ht="12.75">
      <c r="G55" s="33"/>
      <c r="H55" s="33"/>
    </row>
    <row r="56" spans="7:8" ht="12.75">
      <c r="G56" s="33"/>
      <c r="H56" s="33"/>
    </row>
    <row r="57" spans="7:8" ht="12.75">
      <c r="G57" s="33"/>
      <c r="H57" s="33"/>
    </row>
    <row r="58" spans="7:8" ht="12.75">
      <c r="G58" s="33"/>
      <c r="H58" s="33"/>
    </row>
    <row r="59" spans="7:8" ht="12.75">
      <c r="G59" s="33"/>
      <c r="H59" s="33"/>
    </row>
    <row r="60" spans="7:8" ht="12.75">
      <c r="G60" s="33"/>
      <c r="H60" s="33"/>
    </row>
    <row r="61" spans="7:8" ht="12.75">
      <c r="G61" s="33"/>
      <c r="H61" s="33"/>
    </row>
    <row r="62" spans="7:8" ht="12.75">
      <c r="G62" s="33"/>
      <c r="H62" s="33"/>
    </row>
    <row r="63" spans="7:8" ht="12.75">
      <c r="G63" s="33"/>
      <c r="H63" s="33"/>
    </row>
    <row r="64" spans="7:8" ht="12.75">
      <c r="G64" s="33"/>
      <c r="H64" s="33"/>
    </row>
    <row r="65" spans="7:8" ht="12.75">
      <c r="G65" s="33"/>
      <c r="H65" s="33"/>
    </row>
    <row r="66" spans="7:8" ht="12.75">
      <c r="G66" s="33"/>
      <c r="H66" s="33"/>
    </row>
    <row r="67" spans="7:8" ht="12.75">
      <c r="G67" s="33"/>
      <c r="H67" s="33"/>
    </row>
    <row r="68" spans="7:8" ht="12.75">
      <c r="G68" s="33"/>
      <c r="H68" s="33"/>
    </row>
    <row r="69" spans="7:8" ht="12.75">
      <c r="G69" s="33"/>
      <c r="H69" s="33"/>
    </row>
  </sheetData>
  <mergeCells count="3">
    <mergeCell ref="I27:I29"/>
    <mergeCell ref="I11:I12"/>
    <mergeCell ref="K26:M26"/>
  </mergeCells>
  <printOptions horizontalCentered="1"/>
  <pageMargins left="0.25" right="0.25" top="0.69" bottom="0.78" header="0.5" footer="0.5"/>
  <pageSetup fitToHeight="1" fitToWidth="1" horizontalDpi="300" verticalDpi="300" orientation="landscape" scale="75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workbookViewId="0" topLeftCell="B1">
      <selection activeCell="F5" sqref="F5"/>
    </sheetView>
  </sheetViews>
  <sheetFormatPr defaultColWidth="9.140625" defaultRowHeight="12.75"/>
  <cols>
    <col min="1" max="1" width="4.421875" style="2" bestFit="1" customWidth="1"/>
    <col min="2" max="2" width="37.28125" style="2" bestFit="1" customWidth="1"/>
    <col min="3" max="3" width="12.00390625" style="2" bestFit="1" customWidth="1"/>
    <col min="4" max="5" width="10.7109375" style="2" bestFit="1" customWidth="1"/>
    <col min="6" max="6" width="12.421875" style="2" bestFit="1" customWidth="1"/>
    <col min="7" max="7" width="16.140625" style="2" bestFit="1" customWidth="1"/>
    <col min="8" max="8" width="12.57421875" style="2" customWidth="1"/>
    <col min="9" max="9" width="36.421875" style="2" customWidth="1"/>
    <col min="10" max="10" width="12.28125" style="2" bestFit="1" customWidth="1"/>
    <col min="11" max="11" width="15.00390625" style="2" bestFit="1" customWidth="1"/>
    <col min="12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50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132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4" customFormat="1" ht="51">
      <c r="A5" s="211" t="str">
        <f ca="1">+'Rate Design Sch 7'!A5</f>
        <v>Line No.</v>
      </c>
      <c r="B5" s="212" t="str">
        <f ca="1">+'Rate Design Sch 7'!B5</f>
        <v>Description</v>
      </c>
      <c r="C5" s="211" t="str">
        <f ca="1">+'Rate Design Sch 7'!C5</f>
        <v>Bill
Determinants</v>
      </c>
      <c r="D5" s="211" t="str">
        <f ca="1">+'Rate Design Sch 7'!D5</f>
        <v>Base Rates
Effective 
9-1-07</v>
      </c>
      <c r="E5" s="211" t="str">
        <f ca="1">+'Rate Design Sch 7'!E5</f>
        <v>PCORC
Effective
9-1-07</v>
      </c>
      <c r="F5" s="211" t="str">
        <f ca="1">+'Rate Design Sch 7'!F5</f>
        <v>Staff Proposed
Rates
Effective 2008</v>
      </c>
      <c r="G5" s="211" t="str">
        <f ca="1">+'Rate Design Sch 7'!G5</f>
        <v>Proforma
Revenue
Effective
9-1-07</v>
      </c>
      <c r="H5" s="211" t="str">
        <f ca="1">+'Rate Design Sch 7'!H5</f>
        <v>Proposed
Revenue
Effective
2008</v>
      </c>
      <c r="I5" s="212" t="str">
        <f ca="1">+'Rate Design Sch 7'!I5</f>
        <v>Notes:</v>
      </c>
    </row>
    <row r="6" ht="12.75">
      <c r="A6" s="14">
        <v>1</v>
      </c>
    </row>
    <row r="7" spans="1:2" ht="12.75">
      <c r="A7" s="14">
        <f>+A6+1</f>
        <v>2</v>
      </c>
      <c r="B7" s="2" t="s">
        <v>60</v>
      </c>
    </row>
    <row r="8" spans="1:9" ht="12.75" customHeight="1">
      <c r="A8" s="14">
        <f aca="true" t="shared" si="0" ref="A8:A44">+A7+1</f>
        <v>3</v>
      </c>
      <c r="B8" s="31" t="s">
        <v>61</v>
      </c>
      <c r="C8" s="21">
        <f ca="1">+'Secondary Sch 29'!$D$10</f>
        <v>2769</v>
      </c>
      <c r="D8" s="154">
        <f ca="1">+'Secondary Sch 29'!$E$10</f>
        <v>6.8</v>
      </c>
      <c r="F8" s="239">
        <f ca="1">ROUND(G8*(1+H42)/C8,2)-0.01</f>
        <v>8.73</v>
      </c>
      <c r="G8" s="33">
        <f ca="1">+C8*D8</f>
        <v>18829.2</v>
      </c>
      <c r="H8" s="33">
        <f ca="1">+C8*F8</f>
        <v>24173.370000000003</v>
      </c>
      <c r="I8" s="366" t="s">
        <v>133</v>
      </c>
    </row>
    <row r="9" spans="1:9" ht="12.75">
      <c r="A9" s="14">
        <f t="shared" si="0"/>
        <v>4</v>
      </c>
      <c r="B9" s="31" t="s">
        <v>63</v>
      </c>
      <c r="C9" s="21">
        <f ca="1">+'Secondary Sch 29'!$D$11</f>
        <v>5595</v>
      </c>
      <c r="D9" s="154">
        <f ca="1">+'Secondary Sch 29'!$E$11</f>
        <v>16.79</v>
      </c>
      <c r="F9" s="239">
        <f ca="1">ROUND(G9*(1+H42)/C9,2)+0.04</f>
        <v>21.619999999999997</v>
      </c>
      <c r="G9" s="33">
        <f ca="1">+C9*D9</f>
        <v>93940.04999999999</v>
      </c>
      <c r="H9" s="33">
        <f ca="1">+C9*F9</f>
        <v>120963.89999999998</v>
      </c>
      <c r="I9" s="366"/>
    </row>
    <row r="10" spans="1:9" ht="13.5" thickBot="1">
      <c r="A10" s="14">
        <f t="shared" si="0"/>
        <v>5</v>
      </c>
      <c r="B10" s="2" t="s">
        <v>64</v>
      </c>
      <c r="C10" s="225">
        <f ca="1">SUM(C8:C9)</f>
        <v>8364</v>
      </c>
      <c r="E10" s="154"/>
      <c r="F10" s="37"/>
      <c r="G10" s="40">
        <f ca="1">SUM(G8:G9)</f>
        <v>112769.24999999999</v>
      </c>
      <c r="H10" s="40">
        <f ca="1">SUM(H8:H9)</f>
        <v>145137.27</v>
      </c>
      <c r="I10" s="366"/>
    </row>
    <row r="11" spans="1:9" ht="13.5" thickTop="1">
      <c r="A11" s="14">
        <f t="shared" si="0"/>
        <v>6</v>
      </c>
      <c r="F11" s="37"/>
      <c r="G11" s="33"/>
      <c r="H11" s="33"/>
      <c r="I11" s="222"/>
    </row>
    <row r="12" spans="1:9" ht="12.75">
      <c r="A12" s="14">
        <f t="shared" si="0"/>
        <v>7</v>
      </c>
      <c r="B12" s="2" t="s">
        <v>65</v>
      </c>
      <c r="F12" s="37"/>
      <c r="G12" s="33"/>
      <c r="H12" s="33"/>
      <c r="I12" s="222"/>
    </row>
    <row r="13" spans="1:9" ht="12.75" customHeight="1">
      <c r="A13" s="14">
        <f t="shared" si="0"/>
        <v>8</v>
      </c>
      <c r="B13" s="31" t="s">
        <v>99</v>
      </c>
      <c r="F13" s="37"/>
      <c r="G13" s="33"/>
      <c r="H13" s="33"/>
      <c r="I13" s="222"/>
    </row>
    <row r="14" spans="1:9" ht="12.75" customHeight="1">
      <c r="A14" s="14">
        <f t="shared" si="0"/>
        <v>9</v>
      </c>
      <c r="B14" s="160" t="s">
        <v>88</v>
      </c>
      <c r="C14" s="21">
        <f ca="1">+'Secondary Sch 29'!$B$14</f>
        <v>2098763.1476</v>
      </c>
      <c r="D14" s="159">
        <f ca="1">+'Secondary Sch 29'!$E$14</f>
        <v>0.081732</v>
      </c>
      <c r="E14" s="159">
        <f ca="1">+'Secondary Sch 29'!$E$36</f>
        <v>0.002566</v>
      </c>
      <c r="F14" s="223">
        <f ca="1">ROUND((1+H38)*SUM('Rate Design Sch 25'!D11:E11),6)</f>
        <v>0.087584</v>
      </c>
      <c r="G14" s="33">
        <f ca="1">+C14*SUM(D14:E14)</f>
        <v>176921.53581638477</v>
      </c>
      <c r="H14" s="33">
        <f ca="1">+C14*F14</f>
        <v>183818.07151939836</v>
      </c>
      <c r="I14" s="360" t="s">
        <v>134</v>
      </c>
    </row>
    <row r="15" spans="1:9" ht="12.75">
      <c r="A15" s="14">
        <f t="shared" si="0"/>
        <v>10</v>
      </c>
      <c r="B15" s="160" t="s">
        <v>91</v>
      </c>
      <c r="C15" s="21">
        <f ca="1">+'Secondary Sch 29'!$B$16</f>
        <v>11933176.224100001</v>
      </c>
      <c r="D15" s="159">
        <f ca="1">+'Secondary Sch 29'!$E$16</f>
        <v>0.057121</v>
      </c>
      <c r="E15" s="159">
        <f ca="1">+E14</f>
        <v>0.002566</v>
      </c>
      <c r="F15" s="223">
        <f ca="1">ROUND(SUM(D15:E15)*(1+H38),6)</f>
        <v>0.061389</v>
      </c>
      <c r="G15" s="33">
        <f ca="1">+C15*SUM(D15:E15)</f>
        <v>712255.4892878567</v>
      </c>
      <c r="H15" s="33">
        <f ca="1">+C15*F15</f>
        <v>732565.7552212749</v>
      </c>
      <c r="I15" s="360"/>
    </row>
    <row r="16" spans="1:9" ht="12.75">
      <c r="A16" s="14">
        <f t="shared" si="0"/>
        <v>11</v>
      </c>
      <c r="B16" s="31" t="s">
        <v>101</v>
      </c>
      <c r="C16" s="15">
        <f ca="1">SUM(C14:C15)</f>
        <v>14031939.3717</v>
      </c>
      <c r="D16" s="159"/>
      <c r="F16" s="37"/>
      <c r="G16" s="33"/>
      <c r="H16" s="33"/>
      <c r="I16" s="222"/>
    </row>
    <row r="17" spans="1:9" ht="12.75">
      <c r="A17" s="14">
        <f t="shared" si="0"/>
        <v>12</v>
      </c>
      <c r="B17" s="31" t="s">
        <v>102</v>
      </c>
      <c r="C17" s="21"/>
      <c r="F17" s="37"/>
      <c r="G17" s="33"/>
      <c r="H17" s="33"/>
      <c r="I17" s="222"/>
    </row>
    <row r="18" spans="1:9" ht="12.75" customHeight="1">
      <c r="A18" s="14">
        <f t="shared" si="0"/>
        <v>13</v>
      </c>
      <c r="B18" s="160" t="s">
        <v>88</v>
      </c>
      <c r="C18" s="21">
        <f ca="1">+'Secondary Sch 29'!$B$15</f>
        <v>112240.4688</v>
      </c>
      <c r="D18" s="159">
        <f ca="1">+'Secondary Sch 29'!$E$15</f>
        <v>0.06486</v>
      </c>
      <c r="E18" s="159">
        <f ca="1">+E15</f>
        <v>0.002566</v>
      </c>
      <c r="F18" s="223">
        <f ca="1">SUM(D18:E18)</f>
        <v>0.067426</v>
      </c>
      <c r="G18" s="33">
        <f ca="1">+C18*SUM(D18:E18)</f>
        <v>7567.9258493088</v>
      </c>
      <c r="H18" s="33">
        <f ca="1">+C18*F18</f>
        <v>7567.9258493088</v>
      </c>
      <c r="I18" s="360" t="s">
        <v>135</v>
      </c>
    </row>
    <row r="19" spans="1:9" ht="12.75">
      <c r="A19" s="14">
        <f t="shared" si="0"/>
        <v>14</v>
      </c>
      <c r="B19" s="160" t="s">
        <v>91</v>
      </c>
      <c r="C19" s="21">
        <f ca="1">+'Secondary Sch 29'!$B$17</f>
        <v>661158.7308</v>
      </c>
      <c r="D19" s="159">
        <f ca="1">+'Secondary Sch 29'!$E$17</f>
        <v>0.050493</v>
      </c>
      <c r="E19" s="159">
        <f ca="1">+E18</f>
        <v>0.002566</v>
      </c>
      <c r="F19" s="223">
        <f ca="1">SUM(D19:E19)</f>
        <v>0.053059</v>
      </c>
      <c r="G19" s="33">
        <f ca="1">+C19*SUM(D19:E19)</f>
        <v>35080.4210975172</v>
      </c>
      <c r="H19" s="33">
        <f ca="1">+C19*F19</f>
        <v>35080.4210975172</v>
      </c>
      <c r="I19" s="366"/>
    </row>
    <row r="20" spans="1:9" ht="12.75">
      <c r="A20" s="14">
        <f t="shared" si="0"/>
        <v>15</v>
      </c>
      <c r="B20" s="158" t="s">
        <v>136</v>
      </c>
      <c r="C20" s="21">
        <f ca="1">+'Secondary Sch 29'!$C$15</f>
        <v>-2796</v>
      </c>
      <c r="D20" s="159">
        <f ca="1">+'Secondary Sch 29'!$E$15</f>
        <v>0.06486</v>
      </c>
      <c r="E20" s="159">
        <f ca="1">+E19</f>
        <v>0.002566</v>
      </c>
      <c r="F20" s="223">
        <f ca="1">+F18</f>
        <v>0.067426</v>
      </c>
      <c r="G20" s="33">
        <f ca="1">+C20*SUM(D20:E20)</f>
        <v>-188.523096</v>
      </c>
      <c r="H20" s="33">
        <f ca="1">+C20*F20</f>
        <v>-188.523096</v>
      </c>
      <c r="I20" s="366"/>
    </row>
    <row r="21" spans="1:9" ht="12.75">
      <c r="A21" s="14">
        <f t="shared" si="0"/>
        <v>16</v>
      </c>
      <c r="B21" s="158" t="s">
        <v>137</v>
      </c>
      <c r="C21" s="21">
        <f ca="1">+'Secondary Sch 29'!$C$17</f>
        <v>-16544</v>
      </c>
      <c r="D21" s="159">
        <f ca="1">+'Secondary Sch 29'!$E$17</f>
        <v>0.050493</v>
      </c>
      <c r="E21" s="159">
        <f ca="1">+E20</f>
        <v>0.002566</v>
      </c>
      <c r="F21" s="223">
        <f ca="1">+F19</f>
        <v>0.053059</v>
      </c>
      <c r="G21" s="33">
        <f ca="1">+C21*SUM(D21:E21)</f>
        <v>-877.808096</v>
      </c>
      <c r="H21" s="33">
        <f ca="1">+C21*F21</f>
        <v>-877.808096</v>
      </c>
      <c r="I21" s="366"/>
    </row>
    <row r="22" spans="1:9" ht="12.75">
      <c r="A22" s="14">
        <f t="shared" si="0"/>
        <v>17</v>
      </c>
      <c r="B22" s="31" t="s">
        <v>104</v>
      </c>
      <c r="C22" s="15">
        <f ca="1">SUM(C18:C21)</f>
        <v>754059.1996</v>
      </c>
      <c r="D22" s="159"/>
      <c r="E22" s="159"/>
      <c r="F22" s="159"/>
      <c r="G22" s="159"/>
      <c r="H22" s="159"/>
      <c r="I22" s="222"/>
    </row>
    <row r="23" spans="1:9" ht="12.75">
      <c r="A23" s="14">
        <f t="shared" si="0"/>
        <v>18</v>
      </c>
      <c r="B23" s="28" t="s">
        <v>106</v>
      </c>
      <c r="C23" s="218">
        <f ca="1">SUM(C22,C16)</f>
        <v>14785998.5713</v>
      </c>
      <c r="D23" s="159"/>
      <c r="E23" s="159"/>
      <c r="F23" s="37"/>
      <c r="G23" s="16">
        <f ca="1">SUM(G18:G21,G14:G15)</f>
        <v>930759.0408590676</v>
      </c>
      <c r="H23" s="16">
        <f ca="1">SUM(H18:H21,H14:H15)</f>
        <v>957965.8424954993</v>
      </c>
      <c r="I23" s="219"/>
    </row>
    <row r="24" spans="1:9" ht="12.75">
      <c r="A24" s="14">
        <f t="shared" si="0"/>
        <v>19</v>
      </c>
      <c r="F24" s="37"/>
      <c r="G24" s="33"/>
      <c r="H24" s="33"/>
      <c r="I24" s="222"/>
    </row>
    <row r="25" spans="1:9" ht="12.75">
      <c r="A25" s="14">
        <f t="shared" si="0"/>
        <v>20</v>
      </c>
      <c r="B25" s="28" t="s">
        <v>74</v>
      </c>
      <c r="C25" s="15">
        <f ca="1">+'Secondary Sch 29'!$D$28</f>
        <v>158706</v>
      </c>
      <c r="D25" s="159">
        <f ca="1">+'Secondary Sch 29'!$E$28</f>
        <v>0.06515087756951293</v>
      </c>
      <c r="F25" s="223">
        <f ca="1">ROUND(SUM(D25:E25),6)</f>
        <v>0.065151</v>
      </c>
      <c r="G25" s="33">
        <f ca="1">+C25*SUM(D25:D25)</f>
        <v>10339.83517554712</v>
      </c>
      <c r="H25" s="33">
        <f ca="1">+C25*SUM(F25)</f>
        <v>10339.854606</v>
      </c>
      <c r="I25" s="222" t="s">
        <v>135</v>
      </c>
    </row>
    <row r="26" spans="1:9" ht="13.5" thickBot="1">
      <c r="A26" s="14">
        <f t="shared" si="0"/>
        <v>21</v>
      </c>
      <c r="B26" s="28" t="s">
        <v>76</v>
      </c>
      <c r="C26" s="225">
        <f ca="1">SUM(C25,C23)</f>
        <v>14944704.5713</v>
      </c>
      <c r="F26" s="37"/>
      <c r="G26" s="40">
        <f ca="1">SUM(G25,G23)</f>
        <v>941098.8760346147</v>
      </c>
      <c r="H26" s="40">
        <f ca="1">SUM(H25,H23)</f>
        <v>968305.6971014993</v>
      </c>
      <c r="I26" s="222"/>
    </row>
    <row r="27" spans="1:9" ht="13.5" thickTop="1">
      <c r="A27" s="14">
        <f t="shared" si="0"/>
        <v>22</v>
      </c>
      <c r="C27" s="242"/>
      <c r="F27" s="37"/>
      <c r="G27" s="33"/>
      <c r="H27" s="33"/>
      <c r="I27" s="222"/>
    </row>
    <row r="28" spans="1:9" ht="12.75">
      <c r="A28" s="14">
        <f t="shared" si="0"/>
        <v>23</v>
      </c>
      <c r="B28" s="28" t="s">
        <v>111</v>
      </c>
      <c r="F28" s="37"/>
      <c r="G28" s="33"/>
      <c r="H28" s="33"/>
      <c r="I28" s="224"/>
    </row>
    <row r="29" spans="1:9" ht="12.75" customHeight="1">
      <c r="A29" s="14">
        <f t="shared" si="0"/>
        <v>24</v>
      </c>
      <c r="B29" s="31" t="s">
        <v>113</v>
      </c>
      <c r="C29" s="21">
        <v>21989.26</v>
      </c>
      <c r="D29" s="154">
        <v>0</v>
      </c>
      <c r="F29" s="243">
        <v>0</v>
      </c>
      <c r="G29" s="33">
        <f>+C29*D29</f>
        <v>0</v>
      </c>
      <c r="H29" s="33">
        <f>+C29*F29</f>
        <v>0</v>
      </c>
      <c r="I29" s="360" t="s">
        <v>135</v>
      </c>
    </row>
    <row r="30" spans="1:9" ht="12.75">
      <c r="A30" s="14">
        <f t="shared" si="0"/>
        <v>25</v>
      </c>
      <c r="B30" s="31" t="s">
        <v>115</v>
      </c>
      <c r="C30" s="21">
        <f ca="1">+'Secondary Sch 29'!$D$20</f>
        <v>4652</v>
      </c>
      <c r="D30" s="154">
        <f ca="1">+'Secondary Sch 29'!$E$20</f>
        <v>8.55</v>
      </c>
      <c r="F30" s="243">
        <f ca="1">ROUND(D30,2)</f>
        <v>8.55</v>
      </c>
      <c r="G30" s="33">
        <f ca="1">+C30*D30</f>
        <v>39774.600000000006</v>
      </c>
      <c r="H30" s="33">
        <f ca="1">+C30*F30</f>
        <v>39774.600000000006</v>
      </c>
      <c r="I30" s="360"/>
    </row>
    <row r="31" spans="1:9" ht="12.75">
      <c r="A31" s="14">
        <f t="shared" si="0"/>
        <v>26</v>
      </c>
      <c r="B31" s="31" t="s">
        <v>116</v>
      </c>
      <c r="C31" s="21">
        <f ca="1">+'Secondary Sch 29'!$D$21</f>
        <v>7778</v>
      </c>
      <c r="D31" s="154">
        <f ca="1">+'Secondary Sch 29'!$E$21</f>
        <v>4.21</v>
      </c>
      <c r="F31" s="243">
        <f ca="1">ROUND(D31,2)</f>
        <v>4.21</v>
      </c>
      <c r="G31" s="33">
        <f ca="1">+C31*D31</f>
        <v>32745.38</v>
      </c>
      <c r="H31" s="33">
        <f ca="1">+C31*F31</f>
        <v>32745.38</v>
      </c>
      <c r="I31" s="360"/>
    </row>
    <row r="32" spans="1:9" ht="13.5" thickBot="1">
      <c r="A32" s="14">
        <f t="shared" si="0"/>
        <v>27</v>
      </c>
      <c r="B32" s="13" t="s">
        <v>117</v>
      </c>
      <c r="C32" s="225">
        <f ca="1">SUM(C29:C31)</f>
        <v>34419.259999999995</v>
      </c>
      <c r="F32" s="37"/>
      <c r="G32" s="40">
        <f ca="1">SUM(G29:G31)</f>
        <v>72519.98000000001</v>
      </c>
      <c r="H32" s="40">
        <f ca="1">SUM(H29:H31)</f>
        <v>72519.98000000001</v>
      </c>
      <c r="I32" s="222"/>
    </row>
    <row r="33" spans="1:9" ht="13.5" customHeight="1" thickTop="1">
      <c r="A33" s="14">
        <f t="shared" si="0"/>
        <v>28</v>
      </c>
      <c r="C33" s="242"/>
      <c r="F33" s="37"/>
      <c r="G33" s="33"/>
      <c r="H33" s="33"/>
      <c r="I33" s="222"/>
    </row>
    <row r="34" spans="1:9" ht="13.5" thickBot="1">
      <c r="A34" s="14">
        <f t="shared" si="0"/>
        <v>29</v>
      </c>
      <c r="B34" s="28" t="s">
        <v>118</v>
      </c>
      <c r="C34" s="39">
        <f ca="1">+'Secondary Sch 29'!$D$24</f>
        <v>903360</v>
      </c>
      <c r="D34" s="233">
        <f ca="1">+'Secondary Sch 29'!$E$24</f>
        <v>0.00272</v>
      </c>
      <c r="F34" s="251">
        <f ca="1">ROUND(D34,5)</f>
        <v>0.00272</v>
      </c>
      <c r="G34" s="40">
        <f ca="1">+C34*D34</f>
        <v>2457.1392</v>
      </c>
      <c r="H34" s="40">
        <f ca="1">+C34*F34</f>
        <v>2457.1392</v>
      </c>
      <c r="I34" s="216" t="s">
        <v>135</v>
      </c>
    </row>
    <row r="35" spans="1:9" ht="13.5" thickTop="1">
      <c r="A35" s="14">
        <f t="shared" si="0"/>
        <v>30</v>
      </c>
      <c r="C35" s="242"/>
      <c r="F35" s="37"/>
      <c r="G35" s="33"/>
      <c r="H35" s="33"/>
      <c r="I35" s="222"/>
    </row>
    <row r="36" spans="1:9" ht="13.5" thickBot="1">
      <c r="A36" s="14">
        <f t="shared" si="0"/>
        <v>31</v>
      </c>
      <c r="B36" s="2" t="s">
        <v>77</v>
      </c>
      <c r="D36" s="44"/>
      <c r="E36" s="44"/>
      <c r="F36" s="44"/>
      <c r="G36" s="40">
        <f ca="1">SUM(G10,G26,G32,G34)</f>
        <v>1128845.2452346147</v>
      </c>
      <c r="H36" s="40">
        <f ca="1">SUM(H10,H26,H32,H34)</f>
        <v>1188420.0863014993</v>
      </c>
      <c r="I36" s="222"/>
    </row>
    <row r="37" spans="1:9" ht="13.5" thickTop="1">
      <c r="A37" s="14">
        <f t="shared" si="0"/>
        <v>32</v>
      </c>
      <c r="D37" s="33"/>
      <c r="E37" s="33"/>
      <c r="F37" s="33"/>
      <c r="G37" s="33"/>
      <c r="I37" s="222"/>
    </row>
    <row r="38" spans="1:9" ht="12.75">
      <c r="A38" s="14">
        <f t="shared" si="0"/>
        <v>33</v>
      </c>
      <c r="B38" s="28" t="s">
        <v>138</v>
      </c>
      <c r="D38" s="33"/>
      <c r="E38" s="33"/>
      <c r="F38" s="33"/>
      <c r="G38" s="33"/>
      <c r="H38" s="259">
        <f ca="1">+'Rate Design Sch 25'!H40</f>
        <v>0.028509531067983207</v>
      </c>
      <c r="I38" s="222" t="s">
        <v>125</v>
      </c>
    </row>
    <row r="39" spans="1:8" ht="12.75">
      <c r="A39" s="14">
        <f>+A38+1</f>
        <v>34</v>
      </c>
      <c r="B39" s="28" t="s">
        <v>139</v>
      </c>
      <c r="C39" s="44"/>
      <c r="D39" s="33"/>
      <c r="E39" s="44"/>
      <c r="F39" s="33"/>
      <c r="H39" s="33">
        <f ca="1">+G36*(1+H38)</f>
        <v>1161028.0938245761</v>
      </c>
    </row>
    <row r="40" spans="1:8" ht="12.75">
      <c r="A40" s="14">
        <f t="shared" si="0"/>
        <v>35</v>
      </c>
      <c r="B40" s="28" t="s">
        <v>140</v>
      </c>
      <c r="C40" s="44"/>
      <c r="D40" s="159"/>
      <c r="F40" s="33"/>
      <c r="H40" s="33">
        <f ca="1">+H38*G36</f>
        <v>32182.84858996137</v>
      </c>
    </row>
    <row r="41" spans="1:8" ht="12.75">
      <c r="A41" s="14">
        <f t="shared" si="0"/>
        <v>36</v>
      </c>
      <c r="B41" s="13" t="s">
        <v>141</v>
      </c>
      <c r="G41" s="33"/>
      <c r="H41" s="33">
        <f ca="1">+G10</f>
        <v>112769.24999999999</v>
      </c>
    </row>
    <row r="42" spans="1:8" ht="12.75">
      <c r="A42" s="14">
        <f t="shared" si="0"/>
        <v>37</v>
      </c>
      <c r="B42" s="28" t="s">
        <v>142</v>
      </c>
      <c r="G42" s="33"/>
      <c r="H42" s="18">
        <f ca="1">+H40/H41</f>
        <v>0.2853867396472121</v>
      </c>
    </row>
    <row r="43" spans="1:8" ht="12.75">
      <c r="A43" s="14">
        <f t="shared" si="0"/>
        <v>38</v>
      </c>
      <c r="B43" s="13"/>
      <c r="G43" s="33"/>
      <c r="H43" s="33"/>
    </row>
    <row r="44" spans="1:8" ht="12.75">
      <c r="A44" s="14">
        <f t="shared" si="0"/>
        <v>39</v>
      </c>
      <c r="B44" s="13" t="s">
        <v>143</v>
      </c>
      <c r="G44" s="33"/>
      <c r="H44" s="19">
        <f ca="1">(H36-G36)/G36</f>
        <v>0.05277502945454917</v>
      </c>
    </row>
    <row r="45" spans="7:8" ht="12.75">
      <c r="G45" s="33"/>
      <c r="H45" s="33"/>
    </row>
    <row r="46" spans="7:8" ht="12.75">
      <c r="G46" s="33"/>
      <c r="H46" s="19"/>
    </row>
    <row r="47" spans="7:8" ht="12.75">
      <c r="G47" s="33"/>
      <c r="H47" s="33"/>
    </row>
    <row r="48" spans="7:8" ht="12.75">
      <c r="G48" s="33"/>
      <c r="H48" s="33"/>
    </row>
    <row r="49" spans="7:8" ht="12.75">
      <c r="G49" s="33"/>
      <c r="H49" s="33"/>
    </row>
    <row r="50" spans="7:8" ht="12.75">
      <c r="G50" s="33"/>
      <c r="H50" s="33"/>
    </row>
    <row r="51" spans="7:8" ht="12.75">
      <c r="G51" s="33"/>
      <c r="H51" s="33"/>
    </row>
    <row r="52" spans="7:8" ht="12.75">
      <c r="G52" s="33"/>
      <c r="H52" s="33"/>
    </row>
    <row r="53" spans="7:8" ht="12.75">
      <c r="G53" s="33"/>
      <c r="H53" s="33"/>
    </row>
    <row r="54" spans="7:8" ht="12.75">
      <c r="G54" s="33"/>
      <c r="H54" s="33"/>
    </row>
    <row r="55" spans="7:8" ht="12.75">
      <c r="G55" s="33"/>
      <c r="H55" s="33"/>
    </row>
    <row r="56" spans="7:8" ht="12.75">
      <c r="G56" s="33"/>
      <c r="H56" s="33"/>
    </row>
    <row r="57" spans="7:8" ht="12.75">
      <c r="G57" s="33"/>
      <c r="H57" s="33"/>
    </row>
    <row r="58" spans="7:8" ht="12.75">
      <c r="G58" s="33"/>
      <c r="H58" s="33"/>
    </row>
    <row r="59" spans="7:8" ht="12.75">
      <c r="G59" s="33"/>
      <c r="H59" s="33"/>
    </row>
    <row r="60" spans="7:8" ht="12.75">
      <c r="G60" s="33"/>
      <c r="H60" s="33"/>
    </row>
    <row r="61" spans="7:8" ht="12.75">
      <c r="G61" s="33"/>
      <c r="H61" s="33"/>
    </row>
    <row r="62" spans="7:8" ht="12.75">
      <c r="G62" s="33"/>
      <c r="H62" s="33"/>
    </row>
    <row r="63" spans="7:8" ht="12.75">
      <c r="G63" s="33"/>
      <c r="H63" s="33"/>
    </row>
    <row r="64" spans="7:8" ht="12.75">
      <c r="G64" s="33"/>
      <c r="H64" s="33"/>
    </row>
    <row r="65" spans="7:8" ht="12.75">
      <c r="G65" s="33"/>
      <c r="H65" s="33"/>
    </row>
  </sheetData>
  <mergeCells count="4">
    <mergeCell ref="I29:I31"/>
    <mergeCell ref="I18:I21"/>
    <mergeCell ref="I8:I10"/>
    <mergeCell ref="I14:I15"/>
  </mergeCells>
  <printOptions horizontalCentered="1"/>
  <pageMargins left="0.25" right="0.25" top="0.69" bottom="0.78" header="0.5" footer="0.5"/>
  <pageSetup fitToHeight="1" fitToWidth="1" horizontalDpi="300" verticalDpi="300" orientation="landscape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B1">
      <selection activeCell="F7" sqref="F7"/>
    </sheetView>
  </sheetViews>
  <sheetFormatPr defaultColWidth="9.140625" defaultRowHeight="12.75"/>
  <cols>
    <col min="1" max="1" width="4.421875" style="2" bestFit="1" customWidth="1"/>
    <col min="2" max="2" width="36.00390625" style="2" bestFit="1" customWidth="1"/>
    <col min="3" max="3" width="14.00390625" style="2" bestFit="1" customWidth="1"/>
    <col min="4" max="4" width="11.7109375" style="2" customWidth="1"/>
    <col min="5" max="5" width="12.140625" style="2" customWidth="1"/>
    <col min="6" max="6" width="10.8515625" style="2" bestFit="1" customWidth="1"/>
    <col min="7" max="8" width="13.421875" style="2" bestFit="1" customWidth="1"/>
    <col min="9" max="9" width="28.28125" style="2" bestFit="1" customWidth="1"/>
    <col min="10" max="10" width="12.28125" style="2" bestFit="1" customWidth="1"/>
    <col min="11" max="11" width="15.00390625" style="2" bestFit="1" customWidth="1"/>
    <col min="12" max="13" width="12.28125" style="2" bestFit="1" customWidth="1"/>
    <col min="14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50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144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4" customFormat="1" ht="63.75">
      <c r="A5" s="211" t="str">
        <f ca="1">+'Rate Design Sch 7'!A5</f>
        <v>Line No.</v>
      </c>
      <c r="B5" s="212" t="str">
        <f ca="1">+'Rate Design Sch 7'!B5</f>
        <v>Description</v>
      </c>
      <c r="C5" s="211" t="str">
        <f ca="1">+'Rate Design Sch 7'!C5</f>
        <v>Bill
Determinants</v>
      </c>
      <c r="D5" s="211" t="str">
        <f ca="1">+'Rate Design Sch 7'!D5</f>
        <v>Base Rates
Effective 
9-1-07</v>
      </c>
      <c r="E5" s="211" t="str">
        <f ca="1">+'Rate Design Sch 7'!E5</f>
        <v>PCORC
Effective
9-1-07</v>
      </c>
      <c r="F5" s="211" t="str">
        <f ca="1">+'Rate Design Sch 7'!F5</f>
        <v>Staff Proposed
Rates
Effective 2008</v>
      </c>
      <c r="G5" s="211" t="str">
        <f ca="1">+'Rate Design Sch 7'!G5</f>
        <v>Proforma
Revenue
Effective
9-1-07</v>
      </c>
      <c r="H5" s="211" t="str">
        <f ca="1">+'Rate Design Sch 7'!H5</f>
        <v>Proposed
Revenue
Effective
2008</v>
      </c>
      <c r="I5" s="212" t="str">
        <f ca="1">+'Rate Design Sch 7'!I5</f>
        <v>Notes:</v>
      </c>
    </row>
    <row r="6" spans="1:9" s="14" customFormat="1" ht="12.75">
      <c r="A6" s="14">
        <v>1</v>
      </c>
      <c r="B6" s="234"/>
      <c r="C6" s="235"/>
      <c r="D6" s="236"/>
      <c r="E6" s="236"/>
      <c r="F6" s="236"/>
      <c r="G6" s="236"/>
      <c r="H6" s="235"/>
      <c r="I6" s="237"/>
    </row>
    <row r="7" spans="1:13" ht="13.5" thickBot="1">
      <c r="A7" s="14">
        <f aca="true" t="shared" si="0" ref="A7:A37">+A6+1</f>
        <v>2</v>
      </c>
      <c r="B7" s="2" t="s">
        <v>60</v>
      </c>
      <c r="C7" s="39">
        <f ca="1">+'Secondary Sch 26'!$D$10</f>
        <v>9387</v>
      </c>
      <c r="D7" s="154">
        <f ca="1">+'Secondary Sch 26'!$E$10</f>
        <v>48</v>
      </c>
      <c r="E7" s="154"/>
      <c r="F7" s="239">
        <v>135</v>
      </c>
      <c r="G7" s="40">
        <f ca="1">+C7*D7</f>
        <v>450576</v>
      </c>
      <c r="H7" s="40">
        <f ca="1">+C7*F7</f>
        <v>1267245</v>
      </c>
      <c r="I7" s="222" t="s">
        <v>98</v>
      </c>
      <c r="J7" s="238"/>
      <c r="K7" s="260">
        <v>151.74</v>
      </c>
      <c r="L7" s="14"/>
      <c r="M7" s="14"/>
    </row>
    <row r="8" spans="1:9" ht="13.5" thickTop="1">
      <c r="A8" s="14">
        <f t="shared" si="0"/>
        <v>3</v>
      </c>
      <c r="F8" s="37"/>
      <c r="G8" s="33"/>
      <c r="H8" s="33"/>
      <c r="I8" s="222"/>
    </row>
    <row r="9" spans="1:9" ht="12.75">
      <c r="A9" s="14">
        <f t="shared" si="0"/>
        <v>4</v>
      </c>
      <c r="B9" s="2" t="s">
        <v>65</v>
      </c>
      <c r="F9" s="37"/>
      <c r="G9" s="33"/>
      <c r="H9" s="33"/>
      <c r="I9" s="222"/>
    </row>
    <row r="10" spans="1:9" ht="12.75">
      <c r="A10" s="14">
        <f t="shared" si="0"/>
        <v>5</v>
      </c>
      <c r="B10" s="26" t="s">
        <v>145</v>
      </c>
      <c r="C10" s="21">
        <f ca="1">+'Secondary Sch 26'!$B$12</f>
        <v>2079689442.06</v>
      </c>
      <c r="F10" s="37"/>
      <c r="G10" s="33"/>
      <c r="H10" s="33"/>
      <c r="I10" s="222"/>
    </row>
    <row r="11" spans="1:9" ht="12.75">
      <c r="A11" s="14">
        <f t="shared" si="0"/>
        <v>6</v>
      </c>
      <c r="B11" s="26" t="s">
        <v>70</v>
      </c>
      <c r="C11" s="21">
        <f ca="1">+'Secondary Sch 26'!$C$12</f>
        <v>8749920.44027593</v>
      </c>
      <c r="F11" s="37"/>
      <c r="G11" s="33"/>
      <c r="H11" s="33"/>
      <c r="I11" s="222"/>
    </row>
    <row r="12" spans="1:9" ht="12.75">
      <c r="A12" s="14">
        <f t="shared" si="0"/>
        <v>7</v>
      </c>
      <c r="B12" s="28" t="s">
        <v>106</v>
      </c>
      <c r="C12" s="218">
        <f ca="1">SUM(C10:C11)</f>
        <v>2088439362.5002759</v>
      </c>
      <c r="D12" s="159">
        <f ca="1">+'Secondary Sch 26'!$E$12</f>
        <v>0.057795</v>
      </c>
      <c r="E12" s="159">
        <f ca="1">+'Secondary Sch 26'!$E$30</f>
        <v>0.002918</v>
      </c>
      <c r="F12" s="223">
        <f ca="1">ROUND((H28-SUM(H7,H21,H23,H14))/C12,6)-0.000001</f>
        <v>0.061087999999999996</v>
      </c>
      <c r="G12" s="33">
        <f ca="1">+C12*SUM(D12:E12)</f>
        <v>126795419.01547924</v>
      </c>
      <c r="H12" s="33">
        <f ca="1">+C12*F12</f>
        <v>127578583.77641684</v>
      </c>
      <c r="I12" s="224" t="s">
        <v>146</v>
      </c>
    </row>
    <row r="13" spans="1:9" ht="12.75">
      <c r="A13" s="14">
        <f t="shared" si="0"/>
        <v>8</v>
      </c>
      <c r="F13" s="37"/>
      <c r="G13" s="33"/>
      <c r="H13" s="33"/>
      <c r="I13" s="222"/>
    </row>
    <row r="14" spans="1:9" ht="12.75">
      <c r="A14" s="14">
        <f t="shared" si="0"/>
        <v>9</v>
      </c>
      <c r="B14" s="28" t="s">
        <v>74</v>
      </c>
      <c r="C14" s="23">
        <f ca="1">+'Secondary Sch 26'!$D$22</f>
        <v>9136102</v>
      </c>
      <c r="D14" s="159">
        <f ca="1">+'Secondary Sch 26'!$E$22</f>
        <v>0.0729303897635715</v>
      </c>
      <c r="F14" s="241">
        <f ca="1">ROUND(D14*(1+H29),6)</f>
        <v>0.07501</v>
      </c>
      <c r="G14" s="33">
        <f ca="1">+C14*SUM(D14:D14)</f>
        <v>666299.4797797451</v>
      </c>
      <c r="H14" s="33">
        <f ca="1">+C14*SUM(F14)</f>
        <v>685299.01102</v>
      </c>
      <c r="I14" s="222" t="s">
        <v>110</v>
      </c>
    </row>
    <row r="15" spans="1:9" ht="12.75">
      <c r="A15" s="14">
        <f t="shared" si="0"/>
        <v>10</v>
      </c>
      <c r="B15" s="13"/>
      <c r="C15" s="23"/>
      <c r="D15" s="159"/>
      <c r="F15" s="241"/>
      <c r="G15" s="33"/>
      <c r="H15" s="33"/>
      <c r="I15" s="222"/>
    </row>
    <row r="16" spans="1:9" ht="13.5" thickBot="1">
      <c r="A16" s="14">
        <f t="shared" si="0"/>
        <v>11</v>
      </c>
      <c r="B16" s="28" t="s">
        <v>76</v>
      </c>
      <c r="C16" s="225">
        <f ca="1">SUM(C14,C12)</f>
        <v>2097575464.5002759</v>
      </c>
      <c r="F16" s="37"/>
      <c r="G16" s="40">
        <f ca="1">SUM(G14,G12)</f>
        <v>127461718.49525899</v>
      </c>
      <c r="H16" s="40">
        <f ca="1">SUM(H14,H12)</f>
        <v>128263882.78743684</v>
      </c>
      <c r="I16" s="222"/>
    </row>
    <row r="17" spans="1:13" ht="13.5" thickTop="1">
      <c r="A17" s="14">
        <f t="shared" si="0"/>
        <v>12</v>
      </c>
      <c r="C17" s="242"/>
      <c r="F17" s="37"/>
      <c r="G17" s="33"/>
      <c r="H17" s="33"/>
      <c r="I17" s="222"/>
      <c r="K17" s="18"/>
      <c r="M17" s="18"/>
    </row>
    <row r="18" spans="1:9" ht="12.75">
      <c r="A18" s="14">
        <f t="shared" si="0"/>
        <v>13</v>
      </c>
      <c r="B18" s="28" t="s">
        <v>111</v>
      </c>
      <c r="F18" s="37"/>
      <c r="G18" s="33"/>
      <c r="H18" s="33"/>
      <c r="I18" s="222"/>
    </row>
    <row r="19" spans="1:9" ht="12.75">
      <c r="A19" s="14">
        <f t="shared" si="0"/>
        <v>14</v>
      </c>
      <c r="B19" s="26" t="s">
        <v>147</v>
      </c>
      <c r="C19" s="23">
        <f ca="1">+'Secondary Sch 26'!$D$14</f>
        <v>2361739.33</v>
      </c>
      <c r="D19" s="154">
        <f ca="1">+'Secondary Sch 26'!$E$14</f>
        <v>7.5</v>
      </c>
      <c r="F19" s="245">
        <f ca="1">ROUND((1+C35)*'Rate Design Sch 31'!F19,2)</f>
        <v>8.22</v>
      </c>
      <c r="G19" s="33">
        <f ca="1">+C19*D19</f>
        <v>17713044.975</v>
      </c>
      <c r="H19" s="33">
        <f ca="1">+C19*F19</f>
        <v>19413497.292600002</v>
      </c>
      <c r="I19" s="362" t="s">
        <v>148</v>
      </c>
    </row>
    <row r="20" spans="1:9" ht="12.75">
      <c r="A20" s="14">
        <f t="shared" si="0"/>
        <v>15</v>
      </c>
      <c r="B20" s="26" t="s">
        <v>149</v>
      </c>
      <c r="C20" s="23">
        <f ca="1">+'Secondary Sch 26'!$D$15</f>
        <v>2466057.47</v>
      </c>
      <c r="D20" s="154">
        <f ca="1">+'Secondary Sch 26'!$E$15</f>
        <v>4.99</v>
      </c>
      <c r="F20" s="245">
        <f ca="1">ROUND((1+C35)*'Rate Design Sch 31'!F20,2)</f>
        <v>5.47</v>
      </c>
      <c r="G20" s="33">
        <f ca="1">+C20*D20</f>
        <v>12305626.775300002</v>
      </c>
      <c r="H20" s="33">
        <f ca="1">+C20*F20</f>
        <v>13489334.3609</v>
      </c>
      <c r="I20" s="362"/>
    </row>
    <row r="21" spans="1:9" ht="13.5" thickBot="1">
      <c r="A21" s="14">
        <f t="shared" si="0"/>
        <v>16</v>
      </c>
      <c r="B21" s="13" t="s">
        <v>117</v>
      </c>
      <c r="C21" s="225">
        <f ca="1">SUM(C19:C20)</f>
        <v>4827796.800000001</v>
      </c>
      <c r="F21" s="37"/>
      <c r="G21" s="40">
        <f ca="1">SUM(G19:G20)</f>
        <v>30018671.750300005</v>
      </c>
      <c r="H21" s="40">
        <f ca="1">SUM(H19:H20)</f>
        <v>32902831.653500002</v>
      </c>
      <c r="I21" s="222"/>
    </row>
    <row r="22" spans="1:9" ht="13.5" thickTop="1">
      <c r="A22" s="14">
        <f t="shared" si="0"/>
        <v>17</v>
      </c>
      <c r="C22" s="242"/>
      <c r="F22" s="37"/>
      <c r="G22" s="33"/>
      <c r="H22" s="33"/>
      <c r="I22" s="222"/>
    </row>
    <row r="23" spans="1:9" ht="13.5" thickBot="1">
      <c r="A23" s="14">
        <f t="shared" si="0"/>
        <v>18</v>
      </c>
      <c r="B23" s="28" t="s">
        <v>118</v>
      </c>
      <c r="C23" s="39">
        <f ca="1">+'Secondary Sch 26'!$D$18</f>
        <v>988805243.3100001</v>
      </c>
      <c r="D23" s="233">
        <f ca="1">+'Secondary Sch 26'!$E$18</f>
        <v>0.00115</v>
      </c>
      <c r="F23" s="251">
        <f ca="1">ROUND(((1+H29)*(C23*D23))/C23,5)</f>
        <v>0.00118</v>
      </c>
      <c r="G23" s="40">
        <f ca="1">+C23*D23</f>
        <v>1137126.0298065</v>
      </c>
      <c r="H23" s="40">
        <f ca="1">+C23*F23</f>
        <v>1166790.1871058</v>
      </c>
      <c r="I23" s="222" t="s">
        <v>110</v>
      </c>
    </row>
    <row r="24" spans="1:9" ht="13.5" thickTop="1">
      <c r="A24" s="14">
        <f t="shared" si="0"/>
        <v>19</v>
      </c>
      <c r="C24" s="242"/>
      <c r="F24" s="37"/>
      <c r="G24" s="33"/>
      <c r="H24" s="33"/>
      <c r="I24" s="222"/>
    </row>
    <row r="25" spans="1:9" ht="13.5" thickBot="1">
      <c r="A25" s="14">
        <f t="shared" si="0"/>
        <v>20</v>
      </c>
      <c r="B25" s="2" t="s">
        <v>77</v>
      </c>
      <c r="D25" s="44"/>
      <c r="E25" s="44"/>
      <c r="F25" s="44"/>
      <c r="G25" s="40">
        <f ca="1">SUM(G7,G16,G21,G23)</f>
        <v>159068092.27536547</v>
      </c>
      <c r="H25" s="40">
        <f ca="1">SUM(H7,H16,H21,H23)</f>
        <v>163600749.62804264</v>
      </c>
      <c r="I25" s="222"/>
    </row>
    <row r="26" spans="1:9" ht="13.5" thickTop="1">
      <c r="A26" s="14">
        <f t="shared" si="0"/>
        <v>21</v>
      </c>
      <c r="D26" s="33"/>
      <c r="E26" s="33"/>
      <c r="F26" s="33"/>
      <c r="G26" s="33"/>
      <c r="H26" s="33"/>
      <c r="I26" s="222"/>
    </row>
    <row r="27" spans="1:9" ht="12.75">
      <c r="A27" s="14">
        <f t="shared" si="0"/>
        <v>22</v>
      </c>
      <c r="B27" s="257" t="s">
        <v>150</v>
      </c>
      <c r="C27" s="44"/>
      <c r="D27" s="33"/>
      <c r="E27" s="44"/>
      <c r="F27" s="33"/>
      <c r="H27" s="256">
        <f ca="1">+'Rate Spread'!$I$14</f>
        <v>4534956.718649352</v>
      </c>
      <c r="I27" s="222" t="s">
        <v>79</v>
      </c>
    </row>
    <row r="28" spans="1:8" ht="12.75">
      <c r="A28" s="14">
        <f t="shared" si="0"/>
        <v>23</v>
      </c>
      <c r="B28" s="28" t="s">
        <v>151</v>
      </c>
      <c r="C28" s="44"/>
      <c r="D28" s="159"/>
      <c r="F28" s="33"/>
      <c r="H28" s="33">
        <f ca="1">+G25+H27</f>
        <v>163603048.99401483</v>
      </c>
    </row>
    <row r="29" spans="1:9" ht="12.75">
      <c r="A29" s="14">
        <f t="shared" si="0"/>
        <v>24</v>
      </c>
      <c r="B29" s="28" t="s">
        <v>124</v>
      </c>
      <c r="C29" s="44"/>
      <c r="D29" s="159"/>
      <c r="F29" s="33"/>
      <c r="H29" s="19">
        <f ca="1">+H27/G25</f>
        <v>0.02850953106798321</v>
      </c>
      <c r="I29" s="222" t="s">
        <v>125</v>
      </c>
    </row>
    <row r="30" spans="1:8" ht="13.5" thickBot="1">
      <c r="A30" s="14">
        <f t="shared" si="0"/>
        <v>25</v>
      </c>
      <c r="B30" s="28"/>
      <c r="G30" s="33"/>
      <c r="H30" s="20"/>
    </row>
    <row r="31" spans="1:8" ht="13.5" thickBot="1">
      <c r="A31" s="14">
        <f t="shared" si="0"/>
        <v>26</v>
      </c>
      <c r="B31" s="13" t="str">
        <f ca="1">+'Rate Design Sch 25'!B49</f>
        <v>Over (Under) Recover Target Rate Spread</v>
      </c>
      <c r="G31" s="33"/>
      <c r="H31" s="229">
        <f ca="1">+H25-H28</f>
        <v>-2299.3659721910954</v>
      </c>
    </row>
    <row r="32" spans="1:8" ht="12.75">
      <c r="A32" s="14">
        <f t="shared" si="0"/>
        <v>27</v>
      </c>
      <c r="G32" s="33"/>
      <c r="H32" s="33"/>
    </row>
    <row r="33" spans="1:5" ht="12.75">
      <c r="A33" s="14">
        <f t="shared" si="0"/>
        <v>28</v>
      </c>
      <c r="B33" s="367" t="s">
        <v>152</v>
      </c>
      <c r="C33" s="367"/>
      <c r="D33" s="367"/>
      <c r="E33" s="367"/>
    </row>
    <row r="34" spans="1:3" ht="12.75">
      <c r="A34" s="14">
        <f t="shared" si="0"/>
        <v>29</v>
      </c>
      <c r="B34" s="28" t="s">
        <v>153</v>
      </c>
      <c r="C34" s="154">
        <f ca="1">'Rate Design Sch 31'!F7-F7</f>
        <v>170</v>
      </c>
    </row>
    <row r="35" spans="1:6" ht="12.75">
      <c r="A35" s="14">
        <f t="shared" si="0"/>
        <v>30</v>
      </c>
      <c r="B35" s="28" t="s">
        <v>154</v>
      </c>
      <c r="C35" s="18">
        <v>0.03</v>
      </c>
      <c r="D35" s="45"/>
      <c r="E35" s="220">
        <f ca="1">ROUND(+C35*(H21/C21),2)</f>
        <v>0.2</v>
      </c>
      <c r="F35" s="220"/>
    </row>
    <row r="36" spans="1:6" ht="12.75">
      <c r="A36" s="14">
        <f t="shared" si="0"/>
        <v>31</v>
      </c>
      <c r="B36" s="28" t="s">
        <v>155</v>
      </c>
      <c r="C36" s="18">
        <v>0.03</v>
      </c>
      <c r="D36" s="45"/>
      <c r="E36" s="159">
        <f ca="1">ROUND(+C36*F12,6)</f>
        <v>0.001833</v>
      </c>
      <c r="F36" s="159"/>
    </row>
    <row r="37" spans="1:8" ht="12.75">
      <c r="A37" s="14">
        <f t="shared" si="0"/>
        <v>32</v>
      </c>
      <c r="G37" s="33"/>
      <c r="H37" s="33"/>
    </row>
    <row r="38" spans="7:8" ht="12.75">
      <c r="G38" s="33"/>
      <c r="H38" s="33"/>
    </row>
    <row r="39" spans="7:8" ht="12.75">
      <c r="G39" s="33"/>
      <c r="H39" s="33"/>
    </row>
    <row r="40" spans="7:8" ht="12.75">
      <c r="G40" s="33"/>
      <c r="H40" s="33"/>
    </row>
    <row r="41" spans="7:8" ht="12.75">
      <c r="G41" s="33"/>
      <c r="H41" s="33"/>
    </row>
    <row r="42" spans="7:8" ht="12.75">
      <c r="G42" s="33"/>
      <c r="H42" s="33"/>
    </row>
    <row r="43" spans="7:8" ht="12.75">
      <c r="G43" s="33"/>
      <c r="H43" s="33"/>
    </row>
    <row r="44" spans="7:8" ht="12.75">
      <c r="G44" s="33"/>
      <c r="H44" s="33"/>
    </row>
    <row r="45" spans="7:8" ht="12.75">
      <c r="G45" s="33"/>
      <c r="H45" s="33"/>
    </row>
    <row r="46" spans="7:8" ht="12.75">
      <c r="G46" s="33"/>
      <c r="H46" s="33"/>
    </row>
    <row r="47" spans="7:8" ht="12.75">
      <c r="G47" s="33"/>
      <c r="H47" s="33"/>
    </row>
    <row r="48" spans="7:8" ht="12.75">
      <c r="G48" s="33"/>
      <c r="H48" s="33"/>
    </row>
    <row r="49" spans="7:8" ht="12.75">
      <c r="G49" s="33"/>
      <c r="H49" s="33"/>
    </row>
    <row r="50" spans="7:8" ht="12.75">
      <c r="G50" s="33"/>
      <c r="H50" s="33"/>
    </row>
    <row r="51" spans="7:8" ht="12.75">
      <c r="G51" s="33"/>
      <c r="H51" s="33"/>
    </row>
    <row r="52" spans="7:8" ht="12.75">
      <c r="G52" s="33"/>
      <c r="H52" s="33"/>
    </row>
    <row r="53" spans="7:8" ht="12.75">
      <c r="G53" s="33"/>
      <c r="H53" s="33"/>
    </row>
    <row r="54" spans="7:8" ht="12.75">
      <c r="G54" s="33"/>
      <c r="H54" s="33"/>
    </row>
    <row r="55" spans="7:8" ht="12.75">
      <c r="G55" s="33"/>
      <c r="H55" s="33"/>
    </row>
    <row r="56" spans="7:8" ht="12.75">
      <c r="G56" s="33"/>
      <c r="H56" s="33"/>
    </row>
  </sheetData>
  <mergeCells count="2">
    <mergeCell ref="I19:I20"/>
    <mergeCell ref="B33:E33"/>
  </mergeCells>
  <printOptions horizontalCentered="1"/>
  <pageMargins left="0.25" right="0.25" top="0.69" bottom="0.78" header="0.5" footer="0.5"/>
  <pageSetup fitToHeight="1" fitToWidth="1" horizontalDpi="300" verticalDpi="300" orientation="landscape" scale="92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C2">
      <selection activeCell="F7" sqref="F7"/>
    </sheetView>
  </sheetViews>
  <sheetFormatPr defaultColWidth="27.7109375" defaultRowHeight="12.75"/>
  <cols>
    <col min="1" max="1" width="5.7109375" style="2" customWidth="1"/>
    <col min="2" max="2" width="40.7109375" style="2" bestFit="1" customWidth="1"/>
    <col min="3" max="3" width="14.00390625" style="2" bestFit="1" customWidth="1"/>
    <col min="4" max="5" width="10.7109375" style="2" bestFit="1" customWidth="1"/>
    <col min="6" max="6" width="12.421875" style="2" bestFit="1" customWidth="1"/>
    <col min="7" max="7" width="12.28125" style="2" bestFit="1" customWidth="1"/>
    <col min="8" max="8" width="13.421875" style="2" bestFit="1" customWidth="1"/>
    <col min="9" max="9" width="30.140625" style="2" bestFit="1" customWidth="1"/>
    <col min="10" max="10" width="10.00390625" style="2" customWidth="1"/>
    <col min="11" max="13" width="12.28125" style="2" bestFit="1" customWidth="1"/>
    <col min="14" max="16384" width="27.710937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156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14" customFormat="1" ht="51">
      <c r="A5" s="211" t="str">
        <f ca="1">+'Rate Design Sch 7'!A5</f>
        <v>Line No.</v>
      </c>
      <c r="B5" s="212" t="str">
        <f ca="1">+'Rate Design Sch 7'!B5</f>
        <v>Description</v>
      </c>
      <c r="C5" s="211" t="str">
        <f ca="1">+'Rate Design Sch 7'!C5</f>
        <v>Bill
Determinants</v>
      </c>
      <c r="D5" s="211" t="str">
        <f ca="1">+'Rate Design Sch 7'!D5</f>
        <v>Base Rates
Effective 
9-1-07</v>
      </c>
      <c r="E5" s="211" t="str">
        <f ca="1">+'Rate Design Sch 7'!E5</f>
        <v>PCORC
Effective
9-1-07</v>
      </c>
      <c r="F5" s="211" t="str">
        <f ca="1">+'Rate Design Sch 7'!F5</f>
        <v>Staff Proposed
Rates
Effective 2008</v>
      </c>
      <c r="G5" s="211" t="str">
        <f ca="1">+'Rate Design Sch 7'!G5</f>
        <v>Proforma
Revenue
Effective
9-1-07</v>
      </c>
      <c r="H5" s="211" t="str">
        <f ca="1">+'Rate Design Sch 7'!H5</f>
        <v>Proposed
Revenue
Effective
2008</v>
      </c>
      <c r="I5" s="212" t="str">
        <f ca="1">+'Rate Design Sch 7'!I5</f>
        <v>Notes:</v>
      </c>
      <c r="J5" s="261"/>
    </row>
    <row r="6" spans="1:10" s="14" customFormat="1" ht="12.75">
      <c r="A6" s="14">
        <v>1</v>
      </c>
      <c r="B6" s="234"/>
      <c r="C6" s="235"/>
      <c r="D6" s="236"/>
      <c r="E6" s="236"/>
      <c r="F6" s="236"/>
      <c r="G6" s="236"/>
      <c r="H6" s="235"/>
      <c r="I6" s="237"/>
      <c r="J6" s="261"/>
    </row>
    <row r="7" spans="1:10" ht="13.5" thickBot="1">
      <c r="A7" s="14">
        <f aca="true" t="shared" si="0" ref="A7:A39">+A6+1</f>
        <v>2</v>
      </c>
      <c r="B7" s="2" t="s">
        <v>60</v>
      </c>
      <c r="C7" s="39">
        <f ca="1">+'Primary Sch 31'!$D$10</f>
        <v>5893</v>
      </c>
      <c r="D7" s="154">
        <f ca="1">+'Primary Sch 31'!$E$10</f>
        <v>295</v>
      </c>
      <c r="E7" s="154"/>
      <c r="F7" s="239">
        <v>305</v>
      </c>
      <c r="G7" s="40">
        <f ca="1">+C7*D7</f>
        <v>1738435</v>
      </c>
      <c r="H7" s="40">
        <f ca="1">+C7*F7</f>
        <v>1797365</v>
      </c>
      <c r="I7" s="224" t="s">
        <v>98</v>
      </c>
      <c r="J7" s="261"/>
    </row>
    <row r="8" spans="1:10" ht="13.5" thickTop="1">
      <c r="A8" s="14">
        <f t="shared" si="0"/>
        <v>3</v>
      </c>
      <c r="F8" s="37"/>
      <c r="G8" s="33"/>
      <c r="H8" s="33"/>
      <c r="I8" s="222"/>
      <c r="J8" s="261"/>
    </row>
    <row r="9" spans="1:10" ht="12.75">
      <c r="A9" s="14">
        <f t="shared" si="0"/>
        <v>4</v>
      </c>
      <c r="B9" s="2" t="s">
        <v>65</v>
      </c>
      <c r="F9" s="37"/>
      <c r="G9" s="33"/>
      <c r="H9" s="33"/>
      <c r="I9" s="222"/>
      <c r="J9" s="261"/>
    </row>
    <row r="10" spans="1:10" ht="12.75">
      <c r="A10" s="14">
        <f t="shared" si="0"/>
        <v>5</v>
      </c>
      <c r="B10" s="26" t="s">
        <v>145</v>
      </c>
      <c r="C10" s="21">
        <f ca="1">+'Primary Sch 31'!$B$12</f>
        <v>1369024424.4800003</v>
      </c>
      <c r="F10" s="37"/>
      <c r="G10" s="33"/>
      <c r="H10" s="33"/>
      <c r="I10" s="222"/>
      <c r="J10" s="261"/>
    </row>
    <row r="11" spans="1:10" ht="12.75">
      <c r="A11" s="14">
        <f t="shared" si="0"/>
        <v>6</v>
      </c>
      <c r="B11" s="26" t="s">
        <v>70</v>
      </c>
      <c r="C11" s="21">
        <f ca="1">+'Primary Sch 31'!$C$12</f>
        <v>-4318073.453684403</v>
      </c>
      <c r="F11" s="37"/>
      <c r="G11" s="33"/>
      <c r="H11" s="33"/>
      <c r="I11" s="222"/>
      <c r="J11" s="261"/>
    </row>
    <row r="12" spans="1:10" ht="12.75">
      <c r="A12" s="14">
        <f t="shared" si="0"/>
        <v>7</v>
      </c>
      <c r="B12" s="28" t="s">
        <v>106</v>
      </c>
      <c r="C12" s="218">
        <f ca="1">SUM(C10:C11)</f>
        <v>1364706351.026316</v>
      </c>
      <c r="D12" s="159">
        <f ca="1">+'Primary Sch 31'!$E$12</f>
        <v>0.051902</v>
      </c>
      <c r="E12" s="159">
        <f ca="1">+'Primary Sch 31'!$E$31</f>
        <v>0.003063</v>
      </c>
      <c r="F12" s="241">
        <f ca="1">ROUND((H29-SUM(H23,H21,H7,H14)-'Rate Design Sch 35'!H23)/SUM(C12),6)-0</f>
        <v>0.057682</v>
      </c>
      <c r="G12" s="33">
        <f ca="1">+C12*SUM(D12:E12)</f>
        <v>75011084.58416146</v>
      </c>
      <c r="H12" s="33">
        <f ca="1">+C12*F12</f>
        <v>78718991.73989995</v>
      </c>
      <c r="I12" s="224" t="s">
        <v>146</v>
      </c>
      <c r="J12" s="261"/>
    </row>
    <row r="13" spans="1:10" ht="12.75">
      <c r="A13" s="14">
        <f t="shared" si="0"/>
        <v>8</v>
      </c>
      <c r="F13" s="37"/>
      <c r="G13" s="33"/>
      <c r="H13" s="33"/>
      <c r="I13" s="222"/>
      <c r="J13" s="261"/>
    </row>
    <row r="14" spans="1:10" ht="12.75">
      <c r="A14" s="14">
        <f t="shared" si="0"/>
        <v>9</v>
      </c>
      <c r="B14" s="28" t="s">
        <v>74</v>
      </c>
      <c r="C14" s="23">
        <f ca="1">+'Primary Sch 31'!$D$22</f>
        <v>5847669</v>
      </c>
      <c r="D14" s="159">
        <f ca="1">+'Primary Sch 31'!$E$22</f>
        <v>0.06962346876701592</v>
      </c>
      <c r="F14" s="241">
        <f ca="1">ROUND(D14*(1+H31),6)</f>
        <v>0.073593</v>
      </c>
      <c r="G14" s="33">
        <f ca="1">+C14*SUM(D14:D14)</f>
        <v>407134.9999813472</v>
      </c>
      <c r="H14" s="33">
        <f ca="1">+C14*SUM(F14)</f>
        <v>430347.50471700006</v>
      </c>
      <c r="I14" s="222" t="s">
        <v>110</v>
      </c>
      <c r="J14" s="261"/>
    </row>
    <row r="15" spans="1:10" ht="12.75">
      <c r="A15" s="14">
        <f t="shared" si="0"/>
        <v>10</v>
      </c>
      <c r="B15" s="13"/>
      <c r="C15" s="23"/>
      <c r="D15" s="159"/>
      <c r="F15" s="37"/>
      <c r="G15" s="33"/>
      <c r="H15" s="33"/>
      <c r="I15" s="222"/>
      <c r="J15" s="261"/>
    </row>
    <row r="16" spans="1:10" ht="13.5" thickBot="1">
      <c r="A16" s="14">
        <f t="shared" si="0"/>
        <v>11</v>
      </c>
      <c r="B16" s="28" t="s">
        <v>76</v>
      </c>
      <c r="C16" s="225">
        <f ca="1">SUM(C14,C12)</f>
        <v>1370554020.026316</v>
      </c>
      <c r="F16" s="37"/>
      <c r="G16" s="40">
        <f ca="1">SUM(G14,G12)</f>
        <v>75418219.5841428</v>
      </c>
      <c r="H16" s="40">
        <f ca="1">SUM(H14,H12)</f>
        <v>79149339.24461696</v>
      </c>
      <c r="I16" s="222"/>
      <c r="J16" s="261"/>
    </row>
    <row r="17" spans="1:10" ht="13.5" thickTop="1">
      <c r="A17" s="14">
        <f t="shared" si="0"/>
        <v>12</v>
      </c>
      <c r="C17" s="242"/>
      <c r="F17" s="37"/>
      <c r="G17" s="33"/>
      <c r="H17" s="33"/>
      <c r="I17" s="222"/>
      <c r="J17" s="222"/>
    </row>
    <row r="18" spans="1:10" ht="12.75">
      <c r="A18" s="14">
        <f t="shared" si="0"/>
        <v>13</v>
      </c>
      <c r="B18" s="28" t="s">
        <v>111</v>
      </c>
      <c r="F18" s="37"/>
      <c r="G18" s="33"/>
      <c r="H18" s="33"/>
      <c r="I18" s="222"/>
      <c r="J18" s="222"/>
    </row>
    <row r="19" spans="1:10" ht="13.5" thickBot="1">
      <c r="A19" s="14">
        <f t="shared" si="0"/>
        <v>14</v>
      </c>
      <c r="B19" s="26" t="s">
        <v>147</v>
      </c>
      <c r="C19" s="39">
        <f ca="1">+'Primary Sch 31'!$D$14</f>
        <v>1685522.6</v>
      </c>
      <c r="D19" s="154">
        <f ca="1">+'Primary Sch 31'!$E$14</f>
        <v>7.35</v>
      </c>
      <c r="F19" s="245">
        <f ca="1">ROUND(((1+H32)*(C19*D19))/C19,2)</f>
        <v>7.98</v>
      </c>
      <c r="G19" s="33">
        <f ca="1">+C19*D19</f>
        <v>12388591.11</v>
      </c>
      <c r="H19" s="33">
        <f ca="1">+C19*F19</f>
        <v>13450470.348000001</v>
      </c>
      <c r="I19" s="362" t="s">
        <v>157</v>
      </c>
      <c r="J19" s="222"/>
    </row>
    <row r="20" spans="1:13" ht="14.25" thickBot="1" thickTop="1">
      <c r="A20" s="14">
        <f t="shared" si="0"/>
        <v>15</v>
      </c>
      <c r="B20" s="26" t="s">
        <v>149</v>
      </c>
      <c r="C20" s="39">
        <f ca="1">+'Primary Sch 31'!$D$15</f>
        <v>1822271.76</v>
      </c>
      <c r="D20" s="154">
        <f ca="1">+'Primary Sch 31'!$E$15</f>
        <v>4.89</v>
      </c>
      <c r="F20" s="245">
        <f ca="1">ROUND(((1+H32)*(C20*D20))/C20,2)</f>
        <v>5.31</v>
      </c>
      <c r="G20" s="33">
        <f ca="1">+C20*D20</f>
        <v>8910908.906399999</v>
      </c>
      <c r="H20" s="33">
        <f ca="1">+C20*F20</f>
        <v>9676263.045599999</v>
      </c>
      <c r="I20" s="362"/>
      <c r="J20" s="222"/>
      <c r="K20" s="363" t="s">
        <v>112</v>
      </c>
      <c r="L20" s="364"/>
      <c r="M20" s="365"/>
    </row>
    <row r="21" spans="1:13" ht="14.25" thickBot="1" thickTop="1">
      <c r="A21" s="14">
        <f t="shared" si="0"/>
        <v>16</v>
      </c>
      <c r="B21" s="13" t="s">
        <v>117</v>
      </c>
      <c r="C21" s="225">
        <f ca="1">SUM(C19:C20)</f>
        <v>3507794.3600000003</v>
      </c>
      <c r="F21" s="37"/>
      <c r="G21" s="40">
        <f ca="1">SUM(G19:G20)</f>
        <v>21299500.0164</v>
      </c>
      <c r="H21" s="40">
        <f ca="1">SUM(H19:H20)</f>
        <v>23126733.393600002</v>
      </c>
      <c r="I21" s="222"/>
      <c r="J21" s="222"/>
      <c r="K21" s="244">
        <v>31478840</v>
      </c>
      <c r="L21" s="156">
        <f ca="1">SUM(G21,G23,'Rate Design Sch 35'!G19,'Rate Design Sch 35'!G21,'Rate Design Sch 43'!G17,'Rate Design Sch 43'!G19)</f>
        <v>25644906.7404162</v>
      </c>
      <c r="M21" s="262">
        <f ca="1">SUM(H21,H23,'Rate Design Sch 35'!H19,'Rate Design Sch 35'!H21,'Rate Design Sch 43'!H17,'Rate Design Sch 43'!H19)</f>
        <v>27816368.5320367</v>
      </c>
    </row>
    <row r="22" spans="1:13" ht="13.5" thickTop="1">
      <c r="A22" s="14">
        <f t="shared" si="0"/>
        <v>17</v>
      </c>
      <c r="C22" s="242"/>
      <c r="F22" s="37"/>
      <c r="G22" s="33"/>
      <c r="H22" s="33"/>
      <c r="I22" s="222"/>
      <c r="J22" s="222"/>
      <c r="K22" s="246"/>
      <c r="L22" s="263">
        <f ca="1">+K21/L21</f>
        <v>1.2274889637399056</v>
      </c>
      <c r="M22" s="264">
        <f ca="1">+K21/M21</f>
        <v>1.1316660535233114</v>
      </c>
    </row>
    <row r="23" spans="1:13" ht="13.5" thickBot="1">
      <c r="A23" s="14">
        <f t="shared" si="0"/>
        <v>18</v>
      </c>
      <c r="B23" s="28" t="s">
        <v>118</v>
      </c>
      <c r="C23" s="39">
        <f ca="1">+'Primary Sch 31'!$D$18</f>
        <v>820937822.1300001</v>
      </c>
      <c r="D23" s="233">
        <f ca="1">+'Primary Sch 31'!$E$18</f>
        <v>0.00094</v>
      </c>
      <c r="F23" s="251">
        <f ca="1">ROUND(((1+H31)*(G23))/C23,5)</f>
        <v>0.00099</v>
      </c>
      <c r="G23" s="40">
        <f ca="1">+C23*D23</f>
        <v>771681.5528022001</v>
      </c>
      <c r="H23" s="40">
        <f ca="1">+C23*F23</f>
        <v>812728.4439087001</v>
      </c>
      <c r="I23" s="222" t="s">
        <v>110</v>
      </c>
      <c r="J23" s="222"/>
      <c r="K23" s="252"/>
      <c r="L23" s="253" t="s">
        <v>119</v>
      </c>
      <c r="M23" s="265" t="s">
        <v>120</v>
      </c>
    </row>
    <row r="24" spans="1:10" ht="13.5" thickTop="1">
      <c r="A24" s="14">
        <f t="shared" si="0"/>
        <v>19</v>
      </c>
      <c r="C24" s="242"/>
      <c r="F24" s="37"/>
      <c r="G24" s="33"/>
      <c r="H24" s="33"/>
      <c r="I24" s="222"/>
      <c r="J24" s="222"/>
    </row>
    <row r="25" spans="1:10" ht="13.5" thickBot="1">
      <c r="A25" s="14">
        <f t="shared" si="0"/>
        <v>20</v>
      </c>
      <c r="B25" s="2" t="s">
        <v>77</v>
      </c>
      <c r="D25" s="44"/>
      <c r="E25" s="44"/>
      <c r="F25" s="44"/>
      <c r="G25" s="40">
        <f ca="1">SUM(G7,G16,G21,G23)</f>
        <v>99227836.153345</v>
      </c>
      <c r="H25" s="40">
        <f ca="1">SUM(H7,H16,H21,H23)</f>
        <v>104886166.08212566</v>
      </c>
      <c r="I25" s="222"/>
      <c r="J25" s="222"/>
    </row>
    <row r="26" spans="1:10" ht="13.5" thickTop="1">
      <c r="A26" s="14">
        <f t="shared" si="0"/>
        <v>21</v>
      </c>
      <c r="D26" s="33"/>
      <c r="E26" s="33"/>
      <c r="F26" s="33"/>
      <c r="G26" s="33"/>
      <c r="H26" s="33"/>
      <c r="I26" s="222"/>
      <c r="J26" s="222"/>
    </row>
    <row r="27" spans="1:10" ht="12.75">
      <c r="A27" s="14">
        <f t="shared" si="0"/>
        <v>22</v>
      </c>
      <c r="B27" s="257" t="s">
        <v>158</v>
      </c>
      <c r="C27" s="44"/>
      <c r="D27" s="33"/>
      <c r="E27" s="44"/>
      <c r="F27" s="33"/>
      <c r="H27" s="266">
        <f ca="1">+'Rate Spread'!$I$18</f>
        <v>5671986.046856718</v>
      </c>
      <c r="I27" s="222" t="s">
        <v>79</v>
      </c>
      <c r="J27" s="222"/>
    </row>
    <row r="28" spans="1:10" ht="12.75">
      <c r="A28" s="14">
        <f t="shared" si="0"/>
        <v>23</v>
      </c>
      <c r="B28" s="257" t="s">
        <v>159</v>
      </c>
      <c r="C28" s="44"/>
      <c r="D28" s="159"/>
      <c r="F28" s="33"/>
      <c r="H28" s="33">
        <f ca="1">+G25+'Rate Design Sch 35'!G23</f>
        <v>99475260.2792979</v>
      </c>
      <c r="J28" s="222"/>
    </row>
    <row r="29" spans="1:8" ht="12.75">
      <c r="A29" s="14">
        <f t="shared" si="0"/>
        <v>24</v>
      </c>
      <c r="B29" s="28" t="s">
        <v>160</v>
      </c>
      <c r="G29" s="33"/>
      <c r="H29" s="16">
        <f ca="1">SUM(H27:H28)</f>
        <v>105147246.32615462</v>
      </c>
    </row>
    <row r="30" spans="1:10" ht="12.75">
      <c r="A30" s="14">
        <f t="shared" si="0"/>
        <v>25</v>
      </c>
      <c r="B30" s="257"/>
      <c r="C30" s="44"/>
      <c r="D30" s="159"/>
      <c r="F30" s="33"/>
      <c r="H30" s="33"/>
      <c r="J30" s="222"/>
    </row>
    <row r="31" spans="1:10" ht="12.75">
      <c r="A31" s="14">
        <f t="shared" si="0"/>
        <v>26</v>
      </c>
      <c r="B31" s="28" t="s">
        <v>124</v>
      </c>
      <c r="C31" s="44"/>
      <c r="D31" s="159"/>
      <c r="F31" s="33"/>
      <c r="H31" s="259">
        <f ca="1">+H27/H28</f>
        <v>0.05701906213596641</v>
      </c>
      <c r="I31" s="267" t="s">
        <v>125</v>
      </c>
      <c r="J31" s="222"/>
    </row>
    <row r="32" spans="1:10" ht="12.75">
      <c r="A32" s="14">
        <f t="shared" si="0"/>
        <v>27</v>
      </c>
      <c r="B32" s="28" t="s">
        <v>161</v>
      </c>
      <c r="C32" s="217"/>
      <c r="D32" s="159"/>
      <c r="F32" s="33"/>
      <c r="H32" s="268">
        <f ca="1">+H31*1.5</f>
        <v>0.08552859320394961</v>
      </c>
      <c r="I32" s="267" t="s">
        <v>126</v>
      </c>
      <c r="J32" s="222"/>
    </row>
    <row r="33" spans="1:10" ht="12.75">
      <c r="A33" s="14">
        <f t="shared" si="0"/>
        <v>28</v>
      </c>
      <c r="J33" s="222"/>
    </row>
    <row r="34" spans="1:9" ht="12.75">
      <c r="A34" s="14">
        <f t="shared" si="0"/>
        <v>29</v>
      </c>
      <c r="B34" s="13" t="s">
        <v>127</v>
      </c>
      <c r="C34" s="228"/>
      <c r="D34" s="159"/>
      <c r="G34" s="33"/>
      <c r="I34" s="217"/>
    </row>
    <row r="35" spans="1:10" ht="12.75">
      <c r="A35" s="14">
        <f t="shared" si="0"/>
        <v>30</v>
      </c>
      <c r="B35" s="28" t="s">
        <v>162</v>
      </c>
      <c r="C35" s="233"/>
      <c r="D35" s="159"/>
      <c r="G35" s="33"/>
      <c r="H35" s="33">
        <f ca="1">+H25</f>
        <v>104886166.08212566</v>
      </c>
      <c r="I35" s="33"/>
      <c r="J35" s="33"/>
    </row>
    <row r="36" spans="1:10" ht="12.75">
      <c r="A36" s="14">
        <f t="shared" si="0"/>
        <v>31</v>
      </c>
      <c r="B36" s="28" t="s">
        <v>163</v>
      </c>
      <c r="G36" s="33"/>
      <c r="H36" s="33">
        <f ca="1">+'Rate Design Sch 35'!H23</f>
        <v>261533.60218200003</v>
      </c>
      <c r="I36" s="33"/>
      <c r="J36" s="33"/>
    </row>
    <row r="37" spans="1:8" ht="12.75">
      <c r="A37" s="14">
        <f t="shared" si="0"/>
        <v>32</v>
      </c>
      <c r="B37" s="28" t="s">
        <v>164</v>
      </c>
      <c r="G37" s="33"/>
      <c r="H37" s="16">
        <f ca="1">SUM(H35:H36)</f>
        <v>105147699.68430766</v>
      </c>
    </row>
    <row r="38" spans="1:8" ht="13.5" thickBot="1">
      <c r="A38" s="14">
        <f t="shared" si="0"/>
        <v>33</v>
      </c>
      <c r="B38" s="28"/>
      <c r="G38" s="33"/>
      <c r="H38" s="20"/>
    </row>
    <row r="39" spans="1:8" ht="13.5" thickBot="1">
      <c r="A39" s="14">
        <f t="shared" si="0"/>
        <v>34</v>
      </c>
      <c r="B39" s="13" t="s">
        <v>127</v>
      </c>
      <c r="G39" s="33"/>
      <c r="H39" s="258">
        <f ca="1">+H37-H29</f>
        <v>453.35815304517746</v>
      </c>
    </row>
    <row r="40" spans="1:8" ht="12.75">
      <c r="A40" s="14"/>
      <c r="G40" s="33"/>
      <c r="H40" s="33"/>
    </row>
    <row r="41" spans="7:8" ht="12.75">
      <c r="G41" s="33"/>
      <c r="H41" s="33"/>
    </row>
    <row r="42" spans="7:8" ht="12.75">
      <c r="G42" s="33"/>
      <c r="H42" s="33"/>
    </row>
    <row r="43" spans="7:8" ht="12.75">
      <c r="G43" s="33"/>
      <c r="H43" s="33"/>
    </row>
    <row r="44" spans="7:8" ht="12.75">
      <c r="G44" s="33"/>
      <c r="H44" s="33"/>
    </row>
    <row r="45" spans="7:8" ht="12.75">
      <c r="G45" s="33"/>
      <c r="H45" s="33"/>
    </row>
    <row r="46" spans="7:8" ht="12.75">
      <c r="G46" s="33"/>
      <c r="H46" s="33"/>
    </row>
    <row r="47" spans="7:8" ht="12.75">
      <c r="G47" s="33"/>
      <c r="H47" s="33"/>
    </row>
    <row r="48" spans="7:8" ht="12.75">
      <c r="G48" s="33"/>
      <c r="H48" s="33"/>
    </row>
    <row r="49" spans="7:8" ht="12.75">
      <c r="G49" s="33"/>
      <c r="H49" s="33"/>
    </row>
    <row r="50" spans="7:8" ht="12.75">
      <c r="G50" s="33"/>
      <c r="H50" s="33"/>
    </row>
    <row r="51" spans="7:8" ht="12.75">
      <c r="G51" s="33"/>
      <c r="H51" s="33"/>
    </row>
    <row r="52" spans="7:8" ht="12.75">
      <c r="G52" s="33"/>
      <c r="H52" s="33"/>
    </row>
    <row r="53" spans="7:8" ht="12.75">
      <c r="G53" s="33"/>
      <c r="H53" s="33"/>
    </row>
    <row r="54" spans="7:8" ht="12.75">
      <c r="G54" s="33"/>
      <c r="H54" s="33"/>
    </row>
    <row r="55" spans="7:8" ht="12.75">
      <c r="G55" s="33"/>
      <c r="H55" s="33"/>
    </row>
    <row r="56" spans="7:8" ht="12.75">
      <c r="G56" s="33"/>
      <c r="H56" s="33"/>
    </row>
    <row r="57" spans="7:8" ht="12.75">
      <c r="G57" s="33"/>
      <c r="H57" s="33"/>
    </row>
    <row r="58" spans="7:8" ht="12.75">
      <c r="G58" s="33"/>
      <c r="H58" s="33"/>
    </row>
  </sheetData>
  <mergeCells count="2">
    <mergeCell ref="I19:I20"/>
    <mergeCell ref="K20:M20"/>
  </mergeCells>
  <printOptions horizontalCentered="1"/>
  <pageMargins left="0.25" right="0.25" top="0.69" bottom="0.78" header="0.5" footer="0.5"/>
  <pageSetup fitToHeight="1" fitToWidth="1" horizontalDpi="300" verticalDpi="300" orientation="landscape" scale="87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C4">
      <selection activeCell="F7" sqref="F7"/>
    </sheetView>
  </sheetViews>
  <sheetFormatPr defaultColWidth="26.140625" defaultRowHeight="12.75"/>
  <cols>
    <col min="1" max="1" width="5.00390625" style="2" customWidth="1"/>
    <col min="2" max="2" width="40.7109375" style="2" bestFit="1" customWidth="1"/>
    <col min="3" max="3" width="12.00390625" style="2" bestFit="1" customWidth="1"/>
    <col min="4" max="5" width="10.7109375" style="2" bestFit="1" customWidth="1"/>
    <col min="6" max="6" width="12.421875" style="2" bestFit="1" customWidth="1"/>
    <col min="7" max="7" width="16.140625" style="2" bestFit="1" customWidth="1"/>
    <col min="8" max="8" width="12.421875" style="2" bestFit="1" customWidth="1"/>
    <col min="9" max="9" width="46.8515625" style="2" bestFit="1" customWidth="1"/>
    <col min="10" max="16384" width="26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50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165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4" customFormat="1" ht="51">
      <c r="A5" s="211" t="str">
        <f ca="1">+'Rate Design Sch 7'!A5</f>
        <v>Line No.</v>
      </c>
      <c r="B5" s="212" t="str">
        <f ca="1">+'Rate Design Sch 7'!B5</f>
        <v>Description</v>
      </c>
      <c r="C5" s="211" t="str">
        <f ca="1">+'Rate Design Sch 7'!C5</f>
        <v>Bill
Determinants</v>
      </c>
      <c r="D5" s="211" t="str">
        <f ca="1">+'Rate Design Sch 7'!D5</f>
        <v>Base Rates
Effective 
9-1-07</v>
      </c>
      <c r="E5" s="211" t="str">
        <f ca="1">+'Rate Design Sch 7'!E5</f>
        <v>PCORC
Effective
9-1-07</v>
      </c>
      <c r="F5" s="211" t="str">
        <f ca="1">+'Rate Design Sch 7'!F5</f>
        <v>Staff Proposed
Rates
Effective 2008</v>
      </c>
      <c r="G5" s="211" t="str">
        <f ca="1">+'Rate Design Sch 7'!G5</f>
        <v>Proforma
Revenue
Effective
9-1-07</v>
      </c>
      <c r="H5" s="211" t="str">
        <f ca="1">+'Rate Design Sch 7'!H5</f>
        <v>Proposed
Revenue
Effective
2008</v>
      </c>
      <c r="I5" s="212" t="str">
        <f ca="1">+'Rate Design Sch 7'!I5</f>
        <v>Notes:</v>
      </c>
    </row>
    <row r="6" spans="1:9" s="14" customFormat="1" ht="12.75">
      <c r="A6" s="14">
        <v>1</v>
      </c>
      <c r="B6" s="234"/>
      <c r="C6" s="235"/>
      <c r="D6" s="236"/>
      <c r="E6" s="236"/>
      <c r="F6" s="236"/>
      <c r="G6" s="236"/>
      <c r="H6" s="235"/>
      <c r="I6" s="237"/>
    </row>
    <row r="7" spans="1:9" ht="13.5" thickBot="1">
      <c r="A7" s="14">
        <f aca="true" t="shared" si="0" ref="A7:A29">+A6+1</f>
        <v>2</v>
      </c>
      <c r="B7" s="2" t="s">
        <v>60</v>
      </c>
      <c r="C7" s="39">
        <f ca="1">+'Primary Sch 35'!$B$10</f>
        <v>12</v>
      </c>
      <c r="D7" s="154">
        <f ca="1">+'Primary Sch 35'!$C$10</f>
        <v>295</v>
      </c>
      <c r="E7" s="154"/>
      <c r="F7" s="239">
        <f ca="1">+'Rate Design Sch 31'!F7</f>
        <v>305</v>
      </c>
      <c r="G7" s="40">
        <f ca="1">+C7*D7</f>
        <v>3540</v>
      </c>
      <c r="H7" s="40">
        <f ca="1">+C7*F7</f>
        <v>3660</v>
      </c>
      <c r="I7" s="222" t="s">
        <v>166</v>
      </c>
    </row>
    <row r="8" spans="1:9" ht="13.5" thickTop="1">
      <c r="A8" s="14">
        <f t="shared" si="0"/>
        <v>3</v>
      </c>
      <c r="F8" s="37"/>
      <c r="G8" s="33"/>
      <c r="H8" s="33"/>
      <c r="I8" s="222"/>
    </row>
    <row r="9" spans="1:9" ht="12.75">
      <c r="A9" s="14">
        <f t="shared" si="0"/>
        <v>4</v>
      </c>
      <c r="B9" s="2" t="s">
        <v>65</v>
      </c>
      <c r="F9" s="37"/>
      <c r="G9" s="33"/>
      <c r="H9" s="33"/>
      <c r="I9" s="222"/>
    </row>
    <row r="10" spans="1:9" ht="12.75">
      <c r="A10" s="14">
        <f t="shared" si="0"/>
        <v>5</v>
      </c>
      <c r="B10" s="28" t="s">
        <v>106</v>
      </c>
      <c r="C10" s="23">
        <f ca="1">+'Primary Sch 35'!$B$12</f>
        <v>4820400</v>
      </c>
      <c r="D10" s="159">
        <f ca="1">+'Primary Sch 35'!$C$12</f>
        <v>0.041345</v>
      </c>
      <c r="E10" s="159">
        <f ca="1">+'Primary Sch 35'!$C$31</f>
        <v>0.0030930000000000003</v>
      </c>
      <c r="F10" s="241">
        <f ca="1">ROUND((H29-SUM(H21,H19,H7,H12))/SUM(C10),6)</f>
        <v>0.046843</v>
      </c>
      <c r="G10" s="33">
        <f ca="1">+C10*SUM(D10:E10)</f>
        <v>214208.93519999998</v>
      </c>
      <c r="H10" s="33">
        <f ca="1">+C10*F10</f>
        <v>225801.9972</v>
      </c>
      <c r="I10" s="222" t="s">
        <v>167</v>
      </c>
    </row>
    <row r="11" spans="1:9" ht="12.75">
      <c r="A11" s="14">
        <f t="shared" si="0"/>
        <v>6</v>
      </c>
      <c r="F11" s="37"/>
      <c r="G11" s="33"/>
      <c r="H11" s="33"/>
      <c r="I11" s="222"/>
    </row>
    <row r="12" spans="1:9" ht="12.75">
      <c r="A12" s="14">
        <f t="shared" si="0"/>
        <v>7</v>
      </c>
      <c r="B12" s="28" t="s">
        <v>74</v>
      </c>
      <c r="C12" s="23">
        <f ca="1">+'Primary Sch 35'!$B$22</f>
        <v>43818</v>
      </c>
      <c r="D12" s="159">
        <f ca="1">+'Primary Sch 35'!$C$22</f>
        <v>0.04976189586238959</v>
      </c>
      <c r="F12" s="241">
        <f ca="1">ROUND(D12*(1+H25),6)</f>
        <v>0.052599</v>
      </c>
      <c r="G12" s="33">
        <f ca="1">+C12*SUM(D12:D12)</f>
        <v>2180.466752898187</v>
      </c>
      <c r="H12" s="33">
        <f ca="1">+C12*SUM(F12)</f>
        <v>2304.782982</v>
      </c>
      <c r="I12" s="222" t="s">
        <v>110</v>
      </c>
    </row>
    <row r="13" spans="1:9" ht="12.75">
      <c r="A13" s="14">
        <f t="shared" si="0"/>
        <v>8</v>
      </c>
      <c r="B13" s="13"/>
      <c r="C13" s="23"/>
      <c r="D13" s="159"/>
      <c r="F13" s="37"/>
      <c r="G13" s="33"/>
      <c r="H13" s="33"/>
      <c r="I13" s="222"/>
    </row>
    <row r="14" spans="1:9" ht="13.5" thickBot="1">
      <c r="A14" s="14">
        <f t="shared" si="0"/>
        <v>9</v>
      </c>
      <c r="B14" s="28" t="s">
        <v>76</v>
      </c>
      <c r="C14" s="225">
        <f ca="1">SUM(C12,C10)</f>
        <v>4864218</v>
      </c>
      <c r="F14" s="37"/>
      <c r="G14" s="40">
        <f ca="1">SUM(G12,G10)</f>
        <v>216389.40195289816</v>
      </c>
      <c r="H14" s="40">
        <f ca="1">SUM(H12,H10)</f>
        <v>228106.78018200002</v>
      </c>
      <c r="I14" s="222"/>
    </row>
    <row r="15" spans="1:9" ht="13.5" thickTop="1">
      <c r="A15" s="14">
        <f t="shared" si="0"/>
        <v>10</v>
      </c>
      <c r="C15" s="242"/>
      <c r="F15" s="37"/>
      <c r="G15" s="33"/>
      <c r="H15" s="33"/>
      <c r="I15" s="222"/>
    </row>
    <row r="16" spans="1:9" ht="12.75">
      <c r="A16" s="14">
        <f t="shared" si="0"/>
        <v>11</v>
      </c>
      <c r="B16" s="28" t="s">
        <v>111</v>
      </c>
      <c r="F16" s="37"/>
      <c r="G16" s="33"/>
      <c r="H16" s="33"/>
      <c r="I16" s="222"/>
    </row>
    <row r="17" spans="1:9" ht="12.75" customHeight="1">
      <c r="A17" s="14">
        <f t="shared" si="0"/>
        <v>12</v>
      </c>
      <c r="B17" s="26" t="s">
        <v>147</v>
      </c>
      <c r="C17" s="23">
        <f ca="1">+'Primary Sch 35'!$B$14</f>
        <v>1057.2</v>
      </c>
      <c r="D17" s="154">
        <f ca="1">+'Primary Sch 35'!$C$14</f>
        <v>3.82</v>
      </c>
      <c r="F17" s="245">
        <f ca="1">ROUND(((C17*D17)*(1+H26))/C17,2)</f>
        <v>4.15</v>
      </c>
      <c r="G17" s="33">
        <f ca="1">+C17*D17</f>
        <v>4038.504</v>
      </c>
      <c r="H17" s="33">
        <f ca="1">+C17*F17</f>
        <v>4387.380000000001</v>
      </c>
      <c r="I17" s="360" t="s">
        <v>168</v>
      </c>
    </row>
    <row r="18" spans="1:9" ht="12.75">
      <c r="A18" s="14">
        <f t="shared" si="0"/>
        <v>13</v>
      </c>
      <c r="B18" s="26" t="s">
        <v>149</v>
      </c>
      <c r="C18" s="23">
        <f ca="1">+'Primary Sch 35'!$B$15</f>
        <v>7998.6</v>
      </c>
      <c r="D18" s="154">
        <f ca="1">+'Primary Sch 35'!$C$15</f>
        <v>2.54</v>
      </c>
      <c r="F18" s="245">
        <f ca="1">ROUND(((C18*D18)*(1+H26))/C18,2)</f>
        <v>2.76</v>
      </c>
      <c r="G18" s="33">
        <f ca="1">+C18*D18</f>
        <v>20316.444</v>
      </c>
      <c r="H18" s="33">
        <f ca="1">+C18*F18</f>
        <v>22076.136</v>
      </c>
      <c r="I18" s="360"/>
    </row>
    <row r="19" spans="1:9" ht="13.5" thickBot="1">
      <c r="A19" s="14">
        <f t="shared" si="0"/>
        <v>14</v>
      </c>
      <c r="B19" s="13" t="s">
        <v>117</v>
      </c>
      <c r="C19" s="225">
        <f ca="1">SUM(C17:C18)</f>
        <v>9055.800000000001</v>
      </c>
      <c r="F19" s="37"/>
      <c r="G19" s="40">
        <f ca="1">SUM(G17:G18)</f>
        <v>24354.948</v>
      </c>
      <c r="H19" s="40">
        <f ca="1">SUM(H17:H18)</f>
        <v>26463.516</v>
      </c>
      <c r="I19" s="222"/>
    </row>
    <row r="20" spans="1:9" ht="13.5" thickTop="1">
      <c r="A20" s="14">
        <f t="shared" si="0"/>
        <v>15</v>
      </c>
      <c r="C20" s="242"/>
      <c r="F20" s="37"/>
      <c r="G20" s="33"/>
      <c r="H20" s="33"/>
      <c r="I20" s="222"/>
    </row>
    <row r="21" spans="1:9" ht="13.5" thickBot="1">
      <c r="A21" s="14">
        <f t="shared" si="0"/>
        <v>16</v>
      </c>
      <c r="B21" s="28" t="s">
        <v>118</v>
      </c>
      <c r="C21" s="39">
        <f ca="1">+'Primary Sch 35'!$B$18</f>
        <v>3270600</v>
      </c>
      <c r="D21" s="233">
        <f ca="1">+'Primary Sch 35'!$C$18</f>
        <v>0.00096</v>
      </c>
      <c r="F21" s="251">
        <f ca="1">ROUND(((C21*D21)*(1+H25))/C21,5)</f>
        <v>0.00101</v>
      </c>
      <c r="G21" s="40">
        <f ca="1">+C21*D21</f>
        <v>3139.7760000000003</v>
      </c>
      <c r="H21" s="40">
        <f ca="1">+C21*F21</f>
        <v>3303.306</v>
      </c>
      <c r="I21" s="269" t="s">
        <v>110</v>
      </c>
    </row>
    <row r="22" spans="1:9" ht="13.5" thickTop="1">
      <c r="A22" s="14">
        <f t="shared" si="0"/>
        <v>17</v>
      </c>
      <c r="C22" s="242"/>
      <c r="F22" s="37"/>
      <c r="G22" s="33"/>
      <c r="H22" s="33"/>
      <c r="I22" s="222"/>
    </row>
    <row r="23" spans="1:9" ht="13.5" thickBot="1">
      <c r="A23" s="14">
        <f t="shared" si="0"/>
        <v>18</v>
      </c>
      <c r="B23" s="2" t="s">
        <v>77</v>
      </c>
      <c r="D23" s="44"/>
      <c r="E23" s="44"/>
      <c r="F23" s="44"/>
      <c r="G23" s="40">
        <f ca="1">SUM(G7,G14,G19,G21)</f>
        <v>247424.12595289818</v>
      </c>
      <c r="H23" s="40">
        <f ca="1">SUM(H7,H14,H19,H21)</f>
        <v>261533.60218200003</v>
      </c>
      <c r="I23" s="222"/>
    </row>
    <row r="24" spans="1:9" ht="13.5" thickTop="1">
      <c r="A24" s="14">
        <f t="shared" si="0"/>
        <v>19</v>
      </c>
      <c r="D24" s="33"/>
      <c r="E24" s="33"/>
      <c r="F24" s="33"/>
      <c r="G24" s="33"/>
      <c r="H24" s="33"/>
      <c r="I24" s="222"/>
    </row>
    <row r="25" spans="1:9" ht="12.75">
      <c r="A25" s="14">
        <f t="shared" si="0"/>
        <v>20</v>
      </c>
      <c r="B25" s="257" t="s">
        <v>158</v>
      </c>
      <c r="C25" s="44"/>
      <c r="D25" s="33"/>
      <c r="E25" s="44"/>
      <c r="F25" s="33"/>
      <c r="H25" s="270">
        <f ca="1">+'Rate Design Sch 31'!H31</f>
        <v>0.05701906213596641</v>
      </c>
      <c r="I25" s="267" t="s">
        <v>125</v>
      </c>
    </row>
    <row r="26" spans="1:9" ht="12.75">
      <c r="A26" s="14">
        <f t="shared" si="0"/>
        <v>21</v>
      </c>
      <c r="B26" s="28" t="s">
        <v>169</v>
      </c>
      <c r="C26" s="44"/>
      <c r="D26" s="159"/>
      <c r="F26" s="33"/>
      <c r="H26" s="19">
        <f ca="1">+H25*1.5</f>
        <v>0.08552859320394961</v>
      </c>
      <c r="I26" s="267" t="s">
        <v>126</v>
      </c>
    </row>
    <row r="27" spans="1:6" ht="12.75">
      <c r="A27" s="14">
        <f t="shared" si="0"/>
        <v>22</v>
      </c>
      <c r="B27" s="28"/>
      <c r="C27" s="44"/>
      <c r="D27" s="159"/>
      <c r="F27" s="33"/>
    </row>
    <row r="28" spans="1:8" ht="12.75">
      <c r="A28" s="14">
        <f t="shared" si="0"/>
        <v>23</v>
      </c>
      <c r="B28" s="28" t="s">
        <v>170</v>
      </c>
      <c r="C28" s="44"/>
      <c r="D28" s="159"/>
      <c r="F28" s="33"/>
      <c r="H28" s="33">
        <f ca="1">+G23*(H25)</f>
        <v>14107.89161164548</v>
      </c>
    </row>
    <row r="29" spans="1:8" ht="12.75">
      <c r="A29" s="14">
        <f t="shared" si="0"/>
        <v>24</v>
      </c>
      <c r="B29" s="28" t="s">
        <v>171</v>
      </c>
      <c r="C29" s="44"/>
      <c r="D29" s="159"/>
      <c r="F29" s="33"/>
      <c r="H29" s="33">
        <f ca="1">+H28+G23</f>
        <v>261532.01756454367</v>
      </c>
    </row>
    <row r="30" ht="12.75">
      <c r="G30" s="33"/>
    </row>
    <row r="31" spans="7:8" ht="12.75">
      <c r="G31" s="33"/>
      <c r="H31" s="33"/>
    </row>
    <row r="32" spans="7:8" ht="12.75">
      <c r="G32" s="33"/>
      <c r="H32" s="33"/>
    </row>
    <row r="33" spans="7:8" ht="12.75">
      <c r="G33" s="33"/>
      <c r="H33" s="33"/>
    </row>
    <row r="34" spans="7:8" ht="12.75">
      <c r="G34" s="33"/>
      <c r="H34" s="33"/>
    </row>
    <row r="35" spans="7:8" ht="12.75">
      <c r="G35" s="33"/>
      <c r="H35" s="33"/>
    </row>
    <row r="36" spans="7:8" ht="12.75">
      <c r="G36" s="33"/>
      <c r="H36" s="33"/>
    </row>
    <row r="37" spans="7:8" ht="12.75">
      <c r="G37" s="33"/>
      <c r="H37" s="33"/>
    </row>
    <row r="38" spans="7:8" ht="12.75">
      <c r="G38" s="33"/>
      <c r="H38" s="33"/>
    </row>
    <row r="39" spans="7:8" ht="12.75">
      <c r="G39" s="33"/>
      <c r="H39" s="33"/>
    </row>
    <row r="40" spans="7:8" ht="12.75">
      <c r="G40" s="33"/>
      <c r="H40" s="33"/>
    </row>
    <row r="41" spans="7:8" ht="12.75">
      <c r="G41" s="33"/>
      <c r="H41" s="33"/>
    </row>
    <row r="42" spans="7:8" ht="12.75">
      <c r="G42" s="33"/>
      <c r="H42" s="33"/>
    </row>
    <row r="43" spans="7:8" ht="12.75">
      <c r="G43" s="33"/>
      <c r="H43" s="33"/>
    </row>
    <row r="44" spans="7:8" ht="12.75">
      <c r="G44" s="33"/>
      <c r="H44" s="33"/>
    </row>
    <row r="45" spans="7:8" ht="12.75">
      <c r="G45" s="33"/>
      <c r="H45" s="33"/>
    </row>
    <row r="46" spans="7:8" ht="12.75">
      <c r="G46" s="33"/>
      <c r="H46" s="33"/>
    </row>
    <row r="47" spans="7:8" ht="12.75">
      <c r="G47" s="33"/>
      <c r="H47" s="33"/>
    </row>
    <row r="48" spans="7:8" ht="12.75">
      <c r="G48" s="33"/>
      <c r="H48" s="33"/>
    </row>
  </sheetData>
  <mergeCells count="1">
    <mergeCell ref="I17:I18"/>
  </mergeCells>
  <printOptions horizontalCentered="1"/>
  <pageMargins left="0.25" right="0.25" top="0.69" bottom="0.78" header="0.5" footer="0.5"/>
  <pageSetup fitToHeight="1" fitToWidth="1" horizontalDpi="300" verticalDpi="300" orientation="landscape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C1">
      <selection activeCell="F7" sqref="F7"/>
    </sheetView>
  </sheetViews>
  <sheetFormatPr defaultColWidth="9.140625" defaultRowHeight="12.75"/>
  <cols>
    <col min="1" max="1" width="4.421875" style="2" bestFit="1" customWidth="1"/>
    <col min="2" max="2" width="47.421875" style="2" bestFit="1" customWidth="1"/>
    <col min="3" max="3" width="12.28125" style="2" bestFit="1" customWidth="1"/>
    <col min="4" max="5" width="10.7109375" style="2" bestFit="1" customWidth="1"/>
    <col min="6" max="6" width="12.421875" style="2" bestFit="1" customWidth="1"/>
    <col min="7" max="7" width="16.140625" style="2" bestFit="1" customWidth="1"/>
    <col min="8" max="8" width="12.421875" style="2" bestFit="1" customWidth="1"/>
    <col min="9" max="9" width="31.7109375" style="2" customWidth="1"/>
    <col min="10" max="10" width="12.28125" style="2" bestFit="1" customWidth="1"/>
    <col min="11" max="11" width="15.00390625" style="2" bestFit="1" customWidth="1"/>
    <col min="12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50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172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4" customFormat="1" ht="51">
      <c r="A5" s="211" t="str">
        <f ca="1">+'Rate Design Sch 7'!A5</f>
        <v>Line No.</v>
      </c>
      <c r="B5" s="212" t="str">
        <f ca="1">+'Rate Design Sch 7'!B5</f>
        <v>Description</v>
      </c>
      <c r="C5" s="211" t="str">
        <f ca="1">+'Rate Design Sch 7'!C5</f>
        <v>Bill
Determinants</v>
      </c>
      <c r="D5" s="211" t="str">
        <f ca="1">+'Rate Design Sch 7'!D5</f>
        <v>Base Rates
Effective 
9-1-07</v>
      </c>
      <c r="E5" s="211" t="str">
        <f ca="1">+'Rate Design Sch 7'!E5</f>
        <v>PCORC
Effective
9-1-07</v>
      </c>
      <c r="F5" s="211" t="str">
        <f ca="1">+'Rate Design Sch 7'!F5</f>
        <v>Staff Proposed
Rates
Effective 2008</v>
      </c>
      <c r="G5" s="211" t="str">
        <f ca="1">+'Rate Design Sch 7'!G5</f>
        <v>Proforma
Revenue
Effective
9-1-07</v>
      </c>
      <c r="H5" s="211" t="str">
        <f ca="1">+'Rate Design Sch 7'!H5</f>
        <v>Proposed
Revenue
Effective
2008</v>
      </c>
      <c r="I5" s="212" t="str">
        <f ca="1">+'Rate Design Sch 7'!I5</f>
        <v>Notes:</v>
      </c>
    </row>
    <row r="6" spans="1:9" s="14" customFormat="1" ht="12.75">
      <c r="A6" s="14">
        <v>1</v>
      </c>
      <c r="B6" s="234"/>
      <c r="C6" s="235"/>
      <c r="D6" s="236"/>
      <c r="E6" s="236"/>
      <c r="F6" s="236"/>
      <c r="G6" s="236"/>
      <c r="H6" s="235"/>
      <c r="I6" s="237"/>
    </row>
    <row r="7" spans="1:9" ht="13.5" thickBot="1">
      <c r="A7" s="14">
        <f aca="true" t="shared" si="0" ref="A7:A29">+A6+1</f>
        <v>2</v>
      </c>
      <c r="B7" s="2" t="s">
        <v>60</v>
      </c>
      <c r="C7" s="39">
        <f ca="1">+'Primary Sch 43'!$D$10</f>
        <v>2202</v>
      </c>
      <c r="D7" s="154">
        <f ca="1">+'Primary Sch 43'!$E$10</f>
        <v>295</v>
      </c>
      <c r="E7" s="154"/>
      <c r="F7" s="239">
        <f ca="1">+'Rate Design Sch 31'!F7</f>
        <v>305</v>
      </c>
      <c r="G7" s="40">
        <f ca="1">+C7*D7</f>
        <v>649590</v>
      </c>
      <c r="H7" s="40">
        <f ca="1">+C7*F7</f>
        <v>671610</v>
      </c>
      <c r="I7" s="222" t="s">
        <v>166</v>
      </c>
    </row>
    <row r="8" spans="1:9" ht="13.5" thickTop="1">
      <c r="A8" s="14">
        <f t="shared" si="0"/>
        <v>3</v>
      </c>
      <c r="F8" s="37"/>
      <c r="G8" s="33"/>
      <c r="H8" s="33"/>
      <c r="I8" s="222"/>
    </row>
    <row r="9" spans="1:9" ht="12.75">
      <c r="A9" s="14">
        <f t="shared" si="0"/>
        <v>4</v>
      </c>
      <c r="B9" s="2" t="s">
        <v>65</v>
      </c>
      <c r="F9" s="37"/>
      <c r="G9" s="33"/>
      <c r="H9" s="33"/>
      <c r="I9" s="222"/>
    </row>
    <row r="10" spans="1:9" ht="12.75">
      <c r="A10" s="14">
        <f t="shared" si="0"/>
        <v>5</v>
      </c>
      <c r="B10" s="13" t="s">
        <v>5</v>
      </c>
      <c r="C10" s="21">
        <f ca="1">+'Primary Sch 43'!$B$12</f>
        <v>167594812.19</v>
      </c>
      <c r="D10" s="159"/>
      <c r="E10" s="159"/>
      <c r="F10" s="37"/>
      <c r="G10" s="33"/>
      <c r="H10" s="33"/>
      <c r="I10" s="222"/>
    </row>
    <row r="11" spans="1:9" ht="12.75">
      <c r="A11" s="14">
        <f t="shared" si="0"/>
        <v>6</v>
      </c>
      <c r="B11" s="2" t="s">
        <v>70</v>
      </c>
      <c r="C11" s="21">
        <f ca="1">+'Primary Sch 43'!$C$12</f>
        <v>-1684428</v>
      </c>
      <c r="F11" s="37"/>
      <c r="G11" s="33"/>
      <c r="H11" s="33"/>
      <c r="I11" s="222"/>
    </row>
    <row r="12" spans="1:9" ht="12.75">
      <c r="A12" s="14">
        <f t="shared" si="0"/>
        <v>7</v>
      </c>
      <c r="B12" s="28" t="s">
        <v>106</v>
      </c>
      <c r="C12" s="218">
        <f ca="1">SUM(C10:C11)</f>
        <v>165910384.19</v>
      </c>
      <c r="D12" s="159">
        <f ca="1">+'Primary Sch 43'!$E$12</f>
        <v>0.049375</v>
      </c>
      <c r="E12" s="159">
        <f ca="1">+'Primary Sch 43'!$E$31</f>
        <v>0.0025859999999999998</v>
      </c>
      <c r="F12" s="241">
        <f ca="1">ROUND((H24-SUM(H17,H19,H7,H14))/SUM(C12),6)-0</f>
        <v>0.054419</v>
      </c>
      <c r="G12" s="33">
        <f ca="1">+C12*SUM(D12:E12)</f>
        <v>8620869.47289659</v>
      </c>
      <c r="H12" s="33">
        <f ca="1">+C12*F12</f>
        <v>9028677.19723561</v>
      </c>
      <c r="I12" s="222" t="s">
        <v>167</v>
      </c>
    </row>
    <row r="13" spans="1:8" ht="12.75">
      <c r="A13" s="14">
        <f t="shared" si="0"/>
        <v>8</v>
      </c>
      <c r="B13" s="28"/>
      <c r="C13" s="242"/>
      <c r="D13" s="159"/>
      <c r="E13" s="159"/>
      <c r="F13" s="159"/>
      <c r="G13" s="33"/>
      <c r="H13" s="33"/>
    </row>
    <row r="14" spans="1:9" ht="12.75">
      <c r="A14" s="14">
        <f t="shared" si="0"/>
        <v>9</v>
      </c>
      <c r="B14" s="28" t="s">
        <v>74</v>
      </c>
      <c r="C14" s="23">
        <f ca="1">+'Primary Sch 43'!$D$20</f>
        <v>399862</v>
      </c>
      <c r="D14" s="159">
        <f ca="1">+'Primary Sch 43'!$E$20</f>
        <v>0.08209288809606893</v>
      </c>
      <c r="F14" s="241">
        <f ca="1">ROUND(+D14*(1+H25),6)</f>
        <v>0.086774</v>
      </c>
      <c r="G14" s="33">
        <f ca="1">+C14*SUM(D14:D14)</f>
        <v>32825.82641987032</v>
      </c>
      <c r="H14" s="33">
        <f ca="1">+C14*SUM(F14)</f>
        <v>34697.625188</v>
      </c>
      <c r="I14" s="222" t="s">
        <v>125</v>
      </c>
    </row>
    <row r="15" spans="1:9" ht="13.5" thickBot="1">
      <c r="A15" s="14">
        <f t="shared" si="0"/>
        <v>10</v>
      </c>
      <c r="B15" s="28" t="s">
        <v>76</v>
      </c>
      <c r="C15" s="225">
        <f ca="1">SUM(C14,C12)</f>
        <v>166310246.19</v>
      </c>
      <c r="F15" s="37"/>
      <c r="G15" s="40">
        <f ca="1">SUM(G12:G14)</f>
        <v>8653695.29931646</v>
      </c>
      <c r="H15" s="40">
        <f ca="1">SUM(H12:H14)</f>
        <v>9063374.82242361</v>
      </c>
      <c r="I15" s="222"/>
    </row>
    <row r="16" spans="1:9" ht="13.5" thickTop="1">
      <c r="A16" s="14">
        <f t="shared" si="0"/>
        <v>11</v>
      </c>
      <c r="C16" s="242"/>
      <c r="F16" s="37"/>
      <c r="G16" s="33"/>
      <c r="H16" s="33"/>
      <c r="I16" s="222"/>
    </row>
    <row r="17" spans="1:11" ht="12.75" customHeight="1" thickBot="1">
      <c r="A17" s="14">
        <f t="shared" si="0"/>
        <v>12</v>
      </c>
      <c r="B17" s="28" t="s">
        <v>173</v>
      </c>
      <c r="C17" s="39">
        <f ca="1">+'Primary Sch 43'!$D$14</f>
        <v>825740</v>
      </c>
      <c r="D17" s="154">
        <f ca="1">+'Primary Sch 43'!$E$14</f>
        <v>4.04</v>
      </c>
      <c r="F17" s="245">
        <f ca="1">ROUND(((C17*D17)*(1+H27))/C17,2)</f>
        <v>4.39</v>
      </c>
      <c r="G17" s="40">
        <f ca="1">+C17*D17</f>
        <v>3335989.6</v>
      </c>
      <c r="H17" s="40">
        <f ca="1">+C17*F17</f>
        <v>3624998.5999999996</v>
      </c>
      <c r="I17" s="224" t="s">
        <v>174</v>
      </c>
      <c r="K17" s="33">
        <v>4608379.936903871</v>
      </c>
    </row>
    <row r="18" spans="1:8" ht="13.5" thickTop="1">
      <c r="A18" s="14">
        <f t="shared" si="0"/>
        <v>13</v>
      </c>
      <c r="C18" s="242"/>
      <c r="F18" s="37"/>
      <c r="G18" s="33"/>
      <c r="H18" s="33"/>
    </row>
    <row r="19" spans="1:9" ht="13.5" thickBot="1">
      <c r="A19" s="14">
        <f t="shared" si="0"/>
        <v>14</v>
      </c>
      <c r="B19" s="28" t="s">
        <v>118</v>
      </c>
      <c r="C19" s="39">
        <f ca="1">+'Primary Sch 43'!$D$16</f>
        <v>79336168.76</v>
      </c>
      <c r="D19" s="233">
        <f ca="1">+'Primary Sch 43'!$E$16</f>
        <v>0.00265</v>
      </c>
      <c r="F19" s="251">
        <f ca="1">ROUND(((C19*D19)*(1+H26))/C19,5)</f>
        <v>0.0028</v>
      </c>
      <c r="G19" s="40">
        <f ca="1">+C19*D19</f>
        <v>210240.847214</v>
      </c>
      <c r="H19" s="40">
        <f ca="1">+C19*F19</f>
        <v>222141.272528</v>
      </c>
      <c r="I19" s="360" t="s">
        <v>175</v>
      </c>
    </row>
    <row r="20" spans="1:9" ht="13.5" thickTop="1">
      <c r="A20" s="14">
        <f t="shared" si="0"/>
        <v>15</v>
      </c>
      <c r="C20" s="242"/>
      <c r="F20" s="37"/>
      <c r="G20" s="33"/>
      <c r="H20" s="33"/>
      <c r="I20" s="360"/>
    </row>
    <row r="21" spans="1:9" ht="13.5" thickBot="1">
      <c r="A21" s="14">
        <f t="shared" si="0"/>
        <v>16</v>
      </c>
      <c r="B21" s="2" t="s">
        <v>77</v>
      </c>
      <c r="D21" s="44"/>
      <c r="E21" s="44"/>
      <c r="F21" s="44"/>
      <c r="G21" s="40">
        <f ca="1">SUM(G7,G15,G17,G19)</f>
        <v>12849515.74653046</v>
      </c>
      <c r="H21" s="40">
        <f ca="1">SUM(H7,H15,H17,H19)</f>
        <v>13582124.69495161</v>
      </c>
      <c r="I21" s="222"/>
    </row>
    <row r="22" spans="1:9" ht="13.5" thickTop="1">
      <c r="A22" s="14">
        <f t="shared" si="0"/>
        <v>17</v>
      </c>
      <c r="D22" s="33"/>
      <c r="E22" s="33"/>
      <c r="F22" s="33"/>
      <c r="G22" s="33"/>
      <c r="H22" s="33"/>
      <c r="I22" s="222"/>
    </row>
    <row r="23" spans="1:9" ht="12.75">
      <c r="A23" s="14">
        <f t="shared" si="0"/>
        <v>18</v>
      </c>
      <c r="B23" s="257" t="s">
        <v>176</v>
      </c>
      <c r="C23" s="44"/>
      <c r="D23" s="33"/>
      <c r="E23" s="44"/>
      <c r="F23" s="33"/>
      <c r="H23" s="33">
        <f ca="1">+'Rate Spread'!$I$19</f>
        <v>732667.3367684992</v>
      </c>
      <c r="I23" s="222" t="s">
        <v>79</v>
      </c>
    </row>
    <row r="24" spans="1:8" ht="12.75">
      <c r="A24" s="14">
        <f t="shared" si="0"/>
        <v>19</v>
      </c>
      <c r="B24" s="28" t="s">
        <v>177</v>
      </c>
      <c r="C24" s="44"/>
      <c r="D24" s="159"/>
      <c r="F24" s="33"/>
      <c r="H24" s="33">
        <f ca="1">+H23+G21</f>
        <v>13582183.083298959</v>
      </c>
    </row>
    <row r="25" spans="1:9" ht="12.75">
      <c r="A25" s="14">
        <f t="shared" si="0"/>
        <v>20</v>
      </c>
      <c r="B25" s="257" t="s">
        <v>178</v>
      </c>
      <c r="C25" s="44"/>
      <c r="D25" s="159"/>
      <c r="F25" s="33"/>
      <c r="H25" s="19">
        <f ca="1">+H23/G21</f>
        <v>0.05701906213596642</v>
      </c>
      <c r="I25" s="224" t="s">
        <v>179</v>
      </c>
    </row>
    <row r="26" spans="1:9" ht="12.75">
      <c r="A26" s="14">
        <f t="shared" si="0"/>
        <v>21</v>
      </c>
      <c r="B26" s="28" t="s">
        <v>180</v>
      </c>
      <c r="G26" s="33"/>
      <c r="H26" s="19">
        <f ca="1">+'Rate Design Sch 31'!H31</f>
        <v>0.05701906213596641</v>
      </c>
      <c r="I26" s="222" t="s">
        <v>181</v>
      </c>
    </row>
    <row r="27" spans="1:9" ht="12.75">
      <c r="A27" s="14">
        <f t="shared" si="0"/>
        <v>22</v>
      </c>
      <c r="B27" s="28" t="s">
        <v>182</v>
      </c>
      <c r="G27" s="33"/>
      <c r="H27" s="19">
        <f ca="1">+H26*1.5</f>
        <v>0.08552859320394961</v>
      </c>
      <c r="I27" s="224" t="s">
        <v>183</v>
      </c>
    </row>
    <row r="28" spans="1:7" ht="13.5" thickBot="1">
      <c r="A28" s="14">
        <f t="shared" si="0"/>
        <v>23</v>
      </c>
      <c r="G28" s="33"/>
    </row>
    <row r="29" spans="1:8" ht="13.5" thickBot="1">
      <c r="A29" s="14">
        <f t="shared" si="0"/>
        <v>24</v>
      </c>
      <c r="B29" s="28" t="str">
        <f ca="1">+'Rate Design Sch 7'!$B$34</f>
        <v>Over (Under) Recover Target Rate Spread</v>
      </c>
      <c r="G29" s="33"/>
      <c r="H29" s="229">
        <f ca="1">+H21-H24</f>
        <v>-58.388347348198295</v>
      </c>
    </row>
    <row r="30" spans="7:8" ht="12.75">
      <c r="G30" s="33"/>
      <c r="H30" s="33"/>
    </row>
    <row r="31" spans="7:8" ht="12.75">
      <c r="G31" s="33"/>
      <c r="H31" s="33"/>
    </row>
    <row r="32" spans="7:8" ht="12.75">
      <c r="G32" s="33"/>
      <c r="H32" s="33"/>
    </row>
    <row r="33" spans="7:8" ht="12.75">
      <c r="G33" s="33"/>
      <c r="H33" s="33"/>
    </row>
    <row r="34" spans="7:8" ht="12.75">
      <c r="G34" s="33"/>
      <c r="H34" s="33"/>
    </row>
    <row r="35" spans="7:8" ht="12.75">
      <c r="G35" s="33"/>
      <c r="H35" s="33"/>
    </row>
    <row r="36" spans="7:8" ht="12.75">
      <c r="G36" s="33"/>
      <c r="H36" s="33"/>
    </row>
    <row r="37" spans="7:8" ht="12.75">
      <c r="G37" s="33"/>
      <c r="H37" s="33"/>
    </row>
    <row r="38" spans="7:8" ht="12.75">
      <c r="G38" s="33"/>
      <c r="H38" s="33"/>
    </row>
    <row r="39" spans="7:8" ht="12.75">
      <c r="G39" s="33"/>
      <c r="H39" s="33"/>
    </row>
    <row r="40" spans="7:8" ht="12.75">
      <c r="G40" s="33"/>
      <c r="H40" s="33"/>
    </row>
    <row r="41" spans="7:8" ht="12.75">
      <c r="G41" s="33"/>
      <c r="H41" s="33"/>
    </row>
    <row r="42" spans="7:8" ht="12.75">
      <c r="G42" s="33"/>
      <c r="H42" s="33"/>
    </row>
    <row r="43" spans="7:8" ht="12.75">
      <c r="G43" s="33"/>
      <c r="H43" s="33"/>
    </row>
    <row r="44" spans="7:8" ht="12.75">
      <c r="G44" s="33"/>
      <c r="H44" s="33"/>
    </row>
  </sheetData>
  <mergeCells count="1">
    <mergeCell ref="I19:I20"/>
  </mergeCells>
  <printOptions horizontalCentered="1"/>
  <pageMargins left="0.25" right="0.25" top="0.69" bottom="0.78" header="0.5" footer="0.5"/>
  <pageSetup fitToHeight="1" fitToWidth="1" horizontalDpi="300" verticalDpi="300" orientation="landscape" scale="85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C15" sqref="C15"/>
    </sheetView>
  </sheetViews>
  <sheetFormatPr defaultColWidth="9.140625" defaultRowHeight="12.75"/>
  <cols>
    <col min="1" max="1" width="4.421875" style="2" bestFit="1" customWidth="1"/>
    <col min="2" max="2" width="36.140625" style="2" bestFit="1" customWidth="1"/>
    <col min="3" max="3" width="14.00390625" style="2" bestFit="1" customWidth="1"/>
    <col min="4" max="4" width="11.7109375" style="2" customWidth="1"/>
    <col min="5" max="5" width="12.140625" style="2" customWidth="1"/>
    <col min="6" max="6" width="14.8515625" style="2" bestFit="1" customWidth="1"/>
    <col min="7" max="7" width="16.140625" style="2" bestFit="1" customWidth="1"/>
    <col min="8" max="8" width="13.421875" style="2" bestFit="1" customWidth="1"/>
    <col min="9" max="9" width="38.57421875" style="2" bestFit="1" customWidth="1"/>
    <col min="10" max="10" width="12.28125" style="2" bestFit="1" customWidth="1"/>
    <col min="11" max="11" width="14.00390625" style="2" bestFit="1" customWidth="1"/>
    <col min="12" max="12" width="11.28125" style="2" bestFit="1" customWidth="1"/>
    <col min="13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50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184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4" customFormat="1" ht="51">
      <c r="A5" s="211" t="str">
        <f ca="1">+'Rate Design Sch 7'!A5</f>
        <v>Line No.</v>
      </c>
      <c r="B5" s="212" t="str">
        <f ca="1">+'Rate Design Sch 7'!B5</f>
        <v>Description</v>
      </c>
      <c r="C5" s="211" t="str">
        <f ca="1">+'Rate Design Sch 7'!C5</f>
        <v>Bill
Determinants</v>
      </c>
      <c r="D5" s="211" t="str">
        <f ca="1">+'Rate Design Sch 7'!D5</f>
        <v>Base Rates
Effective 
9-1-07</v>
      </c>
      <c r="E5" s="211" t="str">
        <f ca="1">+'Rate Design Sch 7'!E5</f>
        <v>PCORC
Effective
9-1-07</v>
      </c>
      <c r="F5" s="211" t="str">
        <f ca="1">+'Rate Design Sch 7'!F5</f>
        <v>Staff Proposed
Rates
Effective 2008</v>
      </c>
      <c r="G5" s="211" t="str">
        <f ca="1">+'Rate Design Sch 7'!G5</f>
        <v>Proforma
Revenue
Effective
9-1-07</v>
      </c>
      <c r="H5" s="211" t="str">
        <f ca="1">+'Rate Design Sch 7'!H5</f>
        <v>Proposed
Revenue
Effective
2008</v>
      </c>
      <c r="I5" s="212" t="str">
        <f ca="1">+'Rate Design Sch 7'!I5</f>
        <v>Notes:</v>
      </c>
    </row>
    <row r="6" spans="1:9" s="14" customFormat="1" ht="12.75">
      <c r="A6" s="14">
        <v>1</v>
      </c>
      <c r="B6" s="234"/>
      <c r="C6" s="235"/>
      <c r="D6" s="236"/>
      <c r="E6" s="236"/>
      <c r="F6" s="236"/>
      <c r="G6" s="236"/>
      <c r="H6" s="235"/>
      <c r="I6" s="237"/>
    </row>
    <row r="7" spans="1:9" ht="12.75">
      <c r="A7" s="14">
        <f>+A6+1</f>
        <v>2</v>
      </c>
      <c r="B7" s="2" t="s">
        <v>65</v>
      </c>
      <c r="F7" s="37"/>
      <c r="G7" s="33"/>
      <c r="H7" s="33"/>
      <c r="I7" s="222"/>
    </row>
    <row r="8" spans="1:9" ht="12.75">
      <c r="A8" s="14">
        <f aca="true" t="shared" si="0" ref="A8:A18">+A7+1</f>
        <v>3</v>
      </c>
      <c r="B8" s="28" t="s">
        <v>106</v>
      </c>
      <c r="C8" s="23">
        <f ca="1">+'HV Sch 46'!$B$10</f>
        <v>51158005</v>
      </c>
      <c r="D8" s="159">
        <f ca="1">+'HV Sch 46'!$C$10</f>
        <v>0.046901</v>
      </c>
      <c r="E8" s="159">
        <f ca="1">+'HV Sch 46'!$C$32</f>
        <v>0.002768</v>
      </c>
      <c r="F8" s="241">
        <f ca="1">+'Rate Design Sch 49'!F8</f>
        <v>0.051976</v>
      </c>
      <c r="G8" s="33">
        <f ca="1">+C8*SUM(D8:E8)</f>
        <v>2540966.950345</v>
      </c>
      <c r="H8" s="33">
        <f ca="1">+C8*F8</f>
        <v>2658988.46788</v>
      </c>
      <c r="I8" s="222" t="s">
        <v>185</v>
      </c>
    </row>
    <row r="9" spans="1:8" ht="12.75">
      <c r="A9" s="14">
        <f t="shared" si="0"/>
        <v>4</v>
      </c>
      <c r="B9" s="28"/>
      <c r="C9" s="242"/>
      <c r="D9" s="159"/>
      <c r="E9" s="159"/>
      <c r="F9" s="159"/>
      <c r="G9" s="33"/>
      <c r="H9" s="33"/>
    </row>
    <row r="10" spans="1:9" ht="12.75">
      <c r="A10" s="14">
        <f t="shared" si="0"/>
        <v>5</v>
      </c>
      <c r="B10" s="28" t="s">
        <v>74</v>
      </c>
      <c r="C10" s="23">
        <f ca="1">+'HV Sch 46'!$B$16</f>
        <v>206407</v>
      </c>
      <c r="D10" s="159">
        <f ca="1">+'HV Sch 46'!$C$16</f>
        <v>0.05570290574882803</v>
      </c>
      <c r="F10" s="241">
        <f ca="1">ROUND(D10*(1+H17),6)</f>
        <v>0.058879</v>
      </c>
      <c r="G10" s="33">
        <f ca="1">+C10*SUM(D10:D10)</f>
        <v>11497.469666898347</v>
      </c>
      <c r="H10" s="33">
        <f ca="1">+C10*SUM(F10)</f>
        <v>12153.037753</v>
      </c>
      <c r="I10" s="222" t="s">
        <v>125</v>
      </c>
    </row>
    <row r="11" spans="1:9" ht="13.5" thickBot="1">
      <c r="A11" s="14">
        <f t="shared" si="0"/>
        <v>6</v>
      </c>
      <c r="B11" s="28" t="s">
        <v>186</v>
      </c>
      <c r="C11" s="225">
        <f ca="1">SUM(C10,C8)</f>
        <v>51364412</v>
      </c>
      <c r="F11" s="37"/>
      <c r="G11" s="40">
        <f ca="1">SUM(G8:G10)</f>
        <v>2552464.420011898</v>
      </c>
      <c r="H11" s="40">
        <f ca="1">SUM(H8:H10)</f>
        <v>2671141.505633</v>
      </c>
      <c r="I11" s="222"/>
    </row>
    <row r="12" spans="1:12" ht="14.25" thickBot="1" thickTop="1">
      <c r="A12" s="14">
        <f t="shared" si="0"/>
        <v>7</v>
      </c>
      <c r="C12" s="242"/>
      <c r="F12" s="37"/>
      <c r="G12" s="33"/>
      <c r="H12" s="33"/>
      <c r="I12" s="222"/>
      <c r="K12" s="363" t="s">
        <v>112</v>
      </c>
      <c r="L12" s="365"/>
    </row>
    <row r="13" spans="1:12" ht="12.75" customHeight="1" thickBot="1">
      <c r="A13" s="14">
        <f t="shared" si="0"/>
        <v>8</v>
      </c>
      <c r="B13" s="28" t="s">
        <v>187</v>
      </c>
      <c r="C13" s="39">
        <f ca="1">+'HV Sch 46'!$B$12</f>
        <v>167256</v>
      </c>
      <c r="D13" s="154">
        <f ca="1">+'HV Sch 46'!$C$12</f>
        <v>1.78</v>
      </c>
      <c r="F13" s="245">
        <f ca="1">ROUND(((C13*D13)*(1+H18))/C13,2)</f>
        <v>1.93</v>
      </c>
      <c r="G13" s="40">
        <f ca="1">+C13*D13</f>
        <v>297715.68</v>
      </c>
      <c r="H13" s="40">
        <f ca="1">+C13*F13</f>
        <v>322804.08</v>
      </c>
      <c r="I13" s="216" t="s">
        <v>188</v>
      </c>
      <c r="K13" s="244">
        <v>7216312.485095834</v>
      </c>
      <c r="L13" s="55"/>
    </row>
    <row r="14" spans="1:12" ht="13.5" thickTop="1">
      <c r="A14" s="14">
        <f t="shared" si="0"/>
        <v>9</v>
      </c>
      <c r="C14" s="242"/>
      <c r="F14" s="37"/>
      <c r="G14" s="33"/>
      <c r="H14" s="33"/>
      <c r="I14" s="222"/>
      <c r="K14" s="249">
        <f ca="1">+G13+'Rate Design Sch 49'!G13</f>
        <v>4252327.2616</v>
      </c>
      <c r="L14" s="262">
        <f ca="1">+H13+'Rate Design Sch 49'!H13</f>
        <v>4617461.8804</v>
      </c>
    </row>
    <row r="15" spans="1:12" ht="13.5" thickBot="1">
      <c r="A15" s="14">
        <f t="shared" si="0"/>
        <v>10</v>
      </c>
      <c r="B15" s="2" t="s">
        <v>77</v>
      </c>
      <c r="D15" s="44"/>
      <c r="E15" s="44"/>
      <c r="F15" s="44"/>
      <c r="G15" s="40">
        <f ca="1">SUM(G11,G13)</f>
        <v>2850180.100011898</v>
      </c>
      <c r="H15" s="40">
        <f ca="1">SUM(H11,H13)</f>
        <v>2993945.585633</v>
      </c>
      <c r="I15" s="222"/>
      <c r="K15" s="271">
        <f ca="1">+K13/K14</f>
        <v>1.6970266024117326</v>
      </c>
      <c r="L15" s="264">
        <f ca="1">+K13/L14</f>
        <v>1.5628309820439064</v>
      </c>
    </row>
    <row r="16" spans="1:12" ht="14.25" thickBot="1" thickTop="1">
      <c r="A16" s="14">
        <f t="shared" si="0"/>
        <v>11</v>
      </c>
      <c r="D16" s="33"/>
      <c r="E16" s="33"/>
      <c r="F16" s="33"/>
      <c r="G16" s="33"/>
      <c r="H16" s="33"/>
      <c r="I16" s="222"/>
      <c r="K16" s="252" t="s">
        <v>119</v>
      </c>
      <c r="L16" s="265" t="s">
        <v>120</v>
      </c>
    </row>
    <row r="17" spans="1:9" ht="12.75">
      <c r="A17" s="14">
        <f t="shared" si="0"/>
        <v>12</v>
      </c>
      <c r="B17" s="28" t="s">
        <v>189</v>
      </c>
      <c r="C17" s="44"/>
      <c r="D17" s="159"/>
      <c r="F17" s="33"/>
      <c r="H17" s="259">
        <f ca="1">+'Rate Design Sch 49'!H20</f>
        <v>0.057019062135966414</v>
      </c>
      <c r="I17" s="222" t="s">
        <v>125</v>
      </c>
    </row>
    <row r="18" spans="1:9" ht="12.75">
      <c r="A18" s="14">
        <f t="shared" si="0"/>
        <v>13</v>
      </c>
      <c r="B18" s="28" t="s">
        <v>190</v>
      </c>
      <c r="G18" s="33"/>
      <c r="H18" s="259">
        <f ca="1">+H17*1.5</f>
        <v>0.08552859320394962</v>
      </c>
      <c r="I18" s="224" t="s">
        <v>126</v>
      </c>
    </row>
    <row r="19" ht="12.75">
      <c r="A19" s="14"/>
    </row>
    <row r="20" spans="1:2" ht="12.75">
      <c r="A20" s="14"/>
      <c r="B20" s="13"/>
    </row>
    <row r="21" spans="7:8" ht="12.75">
      <c r="G21" s="33"/>
      <c r="H21" s="33"/>
    </row>
    <row r="22" spans="7:8" ht="12.75">
      <c r="G22" s="33"/>
      <c r="H22" s="33"/>
    </row>
    <row r="23" spans="7:8" ht="12.75">
      <c r="G23" s="33"/>
      <c r="H23" s="33"/>
    </row>
    <row r="24" spans="7:8" ht="12.75">
      <c r="G24" s="33"/>
      <c r="H24" s="33"/>
    </row>
    <row r="25" spans="7:8" ht="12.75">
      <c r="G25" s="33"/>
      <c r="H25" s="33"/>
    </row>
    <row r="26" spans="7:8" ht="12.75">
      <c r="G26" s="33"/>
      <c r="H26" s="33"/>
    </row>
    <row r="27" spans="7:8" ht="12.75">
      <c r="G27" s="33"/>
      <c r="H27" s="33"/>
    </row>
    <row r="28" spans="7:8" ht="12.75">
      <c r="G28" s="33"/>
      <c r="H28" s="33"/>
    </row>
    <row r="29" spans="7:8" ht="12.75">
      <c r="G29" s="33"/>
      <c r="H29" s="33"/>
    </row>
    <row r="30" spans="7:8" ht="12.75">
      <c r="G30" s="33"/>
      <c r="H30" s="33"/>
    </row>
    <row r="31" spans="7:8" ht="12.75">
      <c r="G31" s="33"/>
      <c r="H31" s="33"/>
    </row>
    <row r="32" spans="7:8" ht="12.75">
      <c r="G32" s="33"/>
      <c r="H32" s="33"/>
    </row>
    <row r="33" spans="7:8" ht="12.75">
      <c r="G33" s="33"/>
      <c r="H33" s="33"/>
    </row>
    <row r="34" spans="7:8" ht="12.75">
      <c r="G34" s="33"/>
      <c r="H34" s="33"/>
    </row>
    <row r="35" spans="7:8" ht="12.75">
      <c r="G35" s="33"/>
      <c r="H35" s="33"/>
    </row>
  </sheetData>
  <mergeCells count="1">
    <mergeCell ref="K12:L12"/>
  </mergeCells>
  <printOptions horizontalCentered="1"/>
  <pageMargins left="0.25" right="0.25" top="0.69" bottom="0.78" header="0.5" footer="0.5"/>
  <pageSetup fitToHeight="1" fitToWidth="1" horizontalDpi="300" verticalDpi="300" orientation="landscape" scale="85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E1">
      <selection activeCell="G6" sqref="G6"/>
    </sheetView>
  </sheetViews>
  <sheetFormatPr defaultColWidth="9.140625" defaultRowHeight="12.75"/>
  <cols>
    <col min="1" max="1" width="4.421875" style="2" bestFit="1" customWidth="1"/>
    <col min="2" max="2" width="36.140625" style="2" bestFit="1" customWidth="1"/>
    <col min="3" max="3" width="12.28125" style="2" bestFit="1" customWidth="1"/>
    <col min="4" max="5" width="10.7109375" style="2" bestFit="1" customWidth="1"/>
    <col min="6" max="6" width="12.421875" style="2" bestFit="1" customWidth="1"/>
    <col min="7" max="7" width="16.140625" style="2" bestFit="1" customWidth="1"/>
    <col min="8" max="8" width="12.421875" style="2" bestFit="1" customWidth="1"/>
    <col min="9" max="9" width="47.421875" style="2" bestFit="1" customWidth="1"/>
    <col min="10" max="10" width="12.28125" style="2" bestFit="1" customWidth="1"/>
    <col min="11" max="11" width="15.00390625" style="2" bestFit="1" customWidth="1"/>
    <col min="12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50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483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4" customFormat="1" ht="51">
      <c r="A5" s="211" t="str">
        <f ca="1">+'Rate Design Sch 7'!A5</f>
        <v>Line No.</v>
      </c>
      <c r="B5" s="212" t="str">
        <f ca="1">+'Rate Design Sch 7'!B5</f>
        <v>Description</v>
      </c>
      <c r="C5" s="211" t="str">
        <f ca="1">+'Rate Design Sch 7'!C5</f>
        <v>Bill
Determinants</v>
      </c>
      <c r="D5" s="211" t="str">
        <f ca="1">+'Rate Design Sch 7'!D5</f>
        <v>Base Rates
Effective 
9-1-07</v>
      </c>
      <c r="E5" s="211" t="str">
        <f ca="1">+'Rate Design Sch 7'!E5</f>
        <v>PCORC
Effective
9-1-07</v>
      </c>
      <c r="F5" s="211" t="str">
        <f ca="1">+'Rate Design Sch 7'!F5</f>
        <v>Staff Proposed
Rates
Effective 2008</v>
      </c>
      <c r="G5" s="211" t="str">
        <f ca="1">+'Rate Design Sch 7'!G5</f>
        <v>Proforma
Revenue
Effective
9-1-07</v>
      </c>
      <c r="H5" s="211" t="str">
        <f ca="1">+'Rate Design Sch 7'!H5</f>
        <v>Proposed
Revenue
Effective
2008</v>
      </c>
      <c r="I5" s="212" t="str">
        <f ca="1">+'Rate Design Sch 7'!I5</f>
        <v>Notes:</v>
      </c>
    </row>
    <row r="6" spans="1:9" s="14" customFormat="1" ht="12.75">
      <c r="A6" s="14">
        <v>1</v>
      </c>
      <c r="B6" s="234"/>
      <c r="C6" s="235"/>
      <c r="D6" s="236"/>
      <c r="E6" s="236"/>
      <c r="F6" s="236"/>
      <c r="G6" s="236"/>
      <c r="H6" s="235"/>
      <c r="I6" s="237"/>
    </row>
    <row r="7" spans="1:9" ht="12.75">
      <c r="A7" s="14">
        <f aca="true" t="shared" si="0" ref="A7:A26">+A6+1</f>
        <v>2</v>
      </c>
      <c r="B7" s="2" t="s">
        <v>65</v>
      </c>
      <c r="F7" s="37"/>
      <c r="G7" s="33"/>
      <c r="H7" s="33"/>
      <c r="I7" s="222"/>
    </row>
    <row r="8" spans="1:9" ht="12.75">
      <c r="A8" s="14">
        <f t="shared" si="0"/>
        <v>3</v>
      </c>
      <c r="B8" s="28" t="s">
        <v>106</v>
      </c>
      <c r="C8" s="23">
        <f ca="1">+'HV Sch 49'!$B$10</f>
        <v>506155235</v>
      </c>
      <c r="D8" s="159">
        <f ca="1">+'HV Sch 49'!$C$10</f>
        <v>0.046901</v>
      </c>
      <c r="E8" s="159">
        <f ca="1">+'HV Sch 49'!$C$28</f>
        <v>0.002451</v>
      </c>
      <c r="F8" s="241">
        <f ca="1">ROUND((H18-SUM(H13,H10,'Rate Design Sch 46'!H10,'Rate Design Sch 46'!H13))/SUM(C8,'Rate Design Sch 46'!C8),6)-0.000001</f>
        <v>0.051976</v>
      </c>
      <c r="G8" s="33">
        <f ca="1">+C8*SUM(D8:E8)</f>
        <v>24979773.15772</v>
      </c>
      <c r="H8" s="33">
        <f ca="1">+C8*F8</f>
        <v>26307924.49436</v>
      </c>
      <c r="I8" s="224" t="s">
        <v>191</v>
      </c>
    </row>
    <row r="9" spans="1:8" ht="12.75">
      <c r="A9" s="14">
        <f t="shared" si="0"/>
        <v>4</v>
      </c>
      <c r="B9" s="28"/>
      <c r="C9" s="242"/>
      <c r="D9" s="159"/>
      <c r="E9" s="159"/>
      <c r="F9" s="159"/>
      <c r="G9" s="33"/>
      <c r="H9" s="33"/>
    </row>
    <row r="10" spans="1:9" ht="12.75">
      <c r="A10" s="14">
        <f t="shared" si="0"/>
        <v>5</v>
      </c>
      <c r="B10" s="28" t="s">
        <v>74</v>
      </c>
      <c r="C10" s="23">
        <f ca="1">+'HV Sch 49'!$B$16</f>
        <v>1937771</v>
      </c>
      <c r="D10" s="159">
        <f ca="1">+'HV Sch 49'!$C$16</f>
        <v>0.05748518591327201</v>
      </c>
      <c r="F10" s="241">
        <f ca="1">ROUND(D10*(1+H20),6)</f>
        <v>0.060763</v>
      </c>
      <c r="G10" s="33">
        <f ca="1">+C10*SUM(D10:D10)</f>
        <v>111393.12619234702</v>
      </c>
      <c r="H10" s="33">
        <f ca="1">+C10*SUM(F10)</f>
        <v>117744.779273</v>
      </c>
      <c r="I10" s="222" t="s">
        <v>125</v>
      </c>
    </row>
    <row r="11" spans="1:9" ht="13.5" thickBot="1">
      <c r="A11" s="14">
        <f t="shared" si="0"/>
        <v>6</v>
      </c>
      <c r="B11" s="28" t="s">
        <v>186</v>
      </c>
      <c r="C11" s="225">
        <f ca="1">SUM(C10,C8)</f>
        <v>508093006</v>
      </c>
      <c r="F11" s="37"/>
      <c r="G11" s="40">
        <f ca="1">SUM(G8:G10)</f>
        <v>25091166.283912346</v>
      </c>
      <c r="H11" s="40">
        <f ca="1">SUM(H8:H10)</f>
        <v>26425669.273633</v>
      </c>
      <c r="I11" s="222"/>
    </row>
    <row r="12" spans="1:9" ht="13.5" thickTop="1">
      <c r="A12" s="14">
        <f t="shared" si="0"/>
        <v>7</v>
      </c>
      <c r="C12" s="242"/>
      <c r="F12" s="37"/>
      <c r="G12" s="33"/>
      <c r="H12" s="33"/>
      <c r="I12" s="222"/>
    </row>
    <row r="13" spans="1:9" ht="12.75" customHeight="1" thickBot="1">
      <c r="A13" s="14">
        <f t="shared" si="0"/>
        <v>8</v>
      </c>
      <c r="B13" s="28" t="s">
        <v>187</v>
      </c>
      <c r="C13" s="39">
        <f ca="1">+'HV Sch 49'!$B$12</f>
        <v>1259430.44</v>
      </c>
      <c r="D13" s="154">
        <f ca="1">+'HV Sch 49'!$C$12</f>
        <v>3.14</v>
      </c>
      <c r="F13" s="245">
        <f ca="1">ROUND(((C13*D13)*(1+H21))/C13,2)</f>
        <v>3.41</v>
      </c>
      <c r="G13" s="40">
        <f ca="1">+C13*D13</f>
        <v>3954611.5816</v>
      </c>
      <c r="H13" s="40">
        <f ca="1">+C13*F13</f>
        <v>4294657.8004</v>
      </c>
      <c r="I13" s="216" t="s">
        <v>188</v>
      </c>
    </row>
    <row r="14" spans="1:9" ht="13.5" thickTop="1">
      <c r="A14" s="14">
        <f t="shared" si="0"/>
        <v>9</v>
      </c>
      <c r="C14" s="242"/>
      <c r="F14" s="37"/>
      <c r="G14" s="33"/>
      <c r="H14" s="33"/>
      <c r="I14" s="222"/>
    </row>
    <row r="15" spans="1:9" ht="13.5" thickBot="1">
      <c r="A15" s="14">
        <f t="shared" si="0"/>
        <v>10</v>
      </c>
      <c r="B15" s="2" t="s">
        <v>77</v>
      </c>
      <c r="D15" s="44"/>
      <c r="E15" s="44"/>
      <c r="F15" s="44"/>
      <c r="G15" s="40">
        <f ca="1">SUM(G11,G13)</f>
        <v>29045777.865512345</v>
      </c>
      <c r="H15" s="40">
        <f ca="1">SUM(H11,H13)</f>
        <v>30720327.074033</v>
      </c>
      <c r="I15" s="222"/>
    </row>
    <row r="16" spans="1:9" ht="13.5" thickTop="1">
      <c r="A16" s="14">
        <f t="shared" si="0"/>
        <v>11</v>
      </c>
      <c r="D16" s="33"/>
      <c r="E16" s="33"/>
      <c r="F16" s="33"/>
      <c r="G16" s="33"/>
      <c r="H16" s="33"/>
      <c r="I16" s="222"/>
    </row>
    <row r="17" spans="1:9" ht="12.75">
      <c r="A17" s="14">
        <f t="shared" si="0"/>
        <v>12</v>
      </c>
      <c r="B17" s="28" t="s">
        <v>192</v>
      </c>
      <c r="C17" s="44"/>
      <c r="D17" s="33"/>
      <c r="E17" s="44"/>
      <c r="F17" s="33"/>
      <c r="H17" s="33">
        <f ca="1">+'Rate Spread'!$I$24</f>
        <v>1818677.6091223997</v>
      </c>
      <c r="I17" s="272" t="s">
        <v>79</v>
      </c>
    </row>
    <row r="18" spans="1:8" ht="12.75">
      <c r="A18" s="14">
        <f t="shared" si="0"/>
        <v>13</v>
      </c>
      <c r="B18" s="28" t="s">
        <v>193</v>
      </c>
      <c r="C18" s="44"/>
      <c r="D18" s="159"/>
      <c r="F18" s="33"/>
      <c r="H18" s="33">
        <f ca="1">+H17+G15+'Rate Design Sch 46'!G15</f>
        <v>33714635.574646644</v>
      </c>
    </row>
    <row r="19" spans="1:6" ht="12.75">
      <c r="A19" s="14">
        <f t="shared" si="0"/>
        <v>14</v>
      </c>
      <c r="B19" s="28"/>
      <c r="C19" s="44"/>
      <c r="D19" s="159"/>
      <c r="F19" s="33"/>
    </row>
    <row r="20" spans="1:9" ht="12.75">
      <c r="A20" s="14">
        <f t="shared" si="0"/>
        <v>15</v>
      </c>
      <c r="B20" s="28" t="s">
        <v>189</v>
      </c>
      <c r="C20" s="44"/>
      <c r="D20" s="159"/>
      <c r="F20" s="33"/>
      <c r="H20" s="19">
        <f ca="1">+H17/(G15+'Rate Design Sch 46'!G15)</f>
        <v>0.057019062135966414</v>
      </c>
      <c r="I20" s="222" t="s">
        <v>125</v>
      </c>
    </row>
    <row r="21" spans="1:9" ht="12.75">
      <c r="A21" s="14">
        <f t="shared" si="0"/>
        <v>16</v>
      </c>
      <c r="B21" s="28" t="s">
        <v>190</v>
      </c>
      <c r="G21" s="33"/>
      <c r="H21" s="19">
        <f ca="1">+H20*1.5</f>
        <v>0.08552859320394962</v>
      </c>
      <c r="I21" s="216" t="s">
        <v>188</v>
      </c>
    </row>
    <row r="22" spans="1:8" ht="12.75">
      <c r="A22" s="14">
        <f t="shared" si="0"/>
        <v>17</v>
      </c>
      <c r="G22" s="33"/>
      <c r="H22" s="33"/>
    </row>
    <row r="23" spans="1:8" ht="12.75">
      <c r="A23" s="14">
        <f t="shared" si="0"/>
        <v>18</v>
      </c>
      <c r="B23" s="13" t="s">
        <v>194</v>
      </c>
      <c r="G23" s="33"/>
      <c r="H23" s="33">
        <f ca="1">+'Rate Design Sch 46'!H15</f>
        <v>2993945.585633</v>
      </c>
    </row>
    <row r="24" spans="1:8" ht="12.75">
      <c r="A24" s="14">
        <f t="shared" si="0"/>
        <v>19</v>
      </c>
      <c r="B24" s="13" t="s">
        <v>195</v>
      </c>
      <c r="G24" s="33"/>
      <c r="H24" s="33">
        <f ca="1">+H15</f>
        <v>30720327.074033</v>
      </c>
    </row>
    <row r="25" spans="1:8" ht="13.5" thickBot="1">
      <c r="A25" s="14">
        <f t="shared" si="0"/>
        <v>20</v>
      </c>
      <c r="B25" s="28" t="s">
        <v>196</v>
      </c>
      <c r="G25" s="33"/>
      <c r="H25" s="33">
        <f ca="1">SUM(H23:H24)</f>
        <v>33714272.659666</v>
      </c>
    </row>
    <row r="26" spans="1:8" ht="13.5" thickBot="1">
      <c r="A26" s="14">
        <f t="shared" si="0"/>
        <v>21</v>
      </c>
      <c r="B26" s="28" t="str">
        <f ca="1">+'Rate Design Sch 7'!$B$34</f>
        <v>Over (Under) Recover Target Rate Spread</v>
      </c>
      <c r="G26" s="33"/>
      <c r="H26" s="258">
        <f ca="1">+H25-H18</f>
        <v>-362.91498064249754</v>
      </c>
    </row>
    <row r="27" spans="7:8" ht="12.75">
      <c r="G27" s="33"/>
      <c r="H27" s="33"/>
    </row>
    <row r="28" spans="7:8" ht="12.75">
      <c r="G28" s="33"/>
      <c r="H28" s="33"/>
    </row>
    <row r="29" spans="7:8" ht="12.75">
      <c r="G29" s="33"/>
      <c r="H29" s="33"/>
    </row>
    <row r="30" spans="7:8" ht="12.75">
      <c r="G30" s="33"/>
      <c r="H30" s="33"/>
    </row>
    <row r="31" spans="7:8" ht="12.75">
      <c r="G31" s="33"/>
      <c r="H31" s="33"/>
    </row>
    <row r="32" spans="7:8" ht="12.75">
      <c r="G32" s="33"/>
      <c r="H32" s="33"/>
    </row>
    <row r="33" spans="7:8" ht="12.75">
      <c r="G33" s="33"/>
      <c r="H33" s="33"/>
    </row>
    <row r="34" spans="7:8" ht="12.75">
      <c r="G34" s="33"/>
      <c r="H34" s="33"/>
    </row>
    <row r="35" spans="7:8" ht="12.75">
      <c r="G35" s="33"/>
      <c r="H35" s="33"/>
    </row>
    <row r="36" spans="7:8" ht="12.75">
      <c r="G36" s="33"/>
      <c r="H36" s="33"/>
    </row>
  </sheetData>
  <printOptions horizontalCentered="1"/>
  <pageMargins left="0.25" right="0.25" top="0.69" bottom="0.78" header="0.5" footer="0.5"/>
  <pageSetup fitToHeight="1" fitToWidth="1" horizontalDpi="300" verticalDpi="3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C4">
      <selection activeCell="G14" sqref="G14"/>
    </sheetView>
  </sheetViews>
  <sheetFormatPr defaultColWidth="9.140625" defaultRowHeight="12.75"/>
  <cols>
    <col min="1" max="1" width="23.8515625" style="62" bestFit="1" customWidth="1"/>
    <col min="2" max="2" width="14.00390625" style="62" bestFit="1" customWidth="1"/>
    <col min="3" max="3" width="11.8515625" style="62" bestFit="1" customWidth="1"/>
    <col min="4" max="4" width="14.00390625" style="62" bestFit="1" customWidth="1"/>
    <col min="5" max="5" width="10.7109375" style="62" bestFit="1" customWidth="1"/>
    <col min="6" max="6" width="16.00390625" style="62" bestFit="1" customWidth="1"/>
    <col min="7" max="7" width="10.7109375" style="62" bestFit="1" customWidth="1"/>
    <col min="8" max="8" width="13.421875" style="62" bestFit="1" customWidth="1"/>
    <col min="9" max="9" width="12.8515625" style="62" bestFit="1" customWidth="1"/>
    <col min="10" max="10" width="7.8515625" style="62" bestFit="1" customWidth="1"/>
    <col min="11" max="11" width="9.140625" style="62" customWidth="1"/>
    <col min="12" max="12" width="12.28125" style="62" bestFit="1" customWidth="1"/>
    <col min="13" max="16384" width="9.140625" style="62" customWidth="1"/>
  </cols>
  <sheetData>
    <row r="1" spans="1:10" ht="12.75">
      <c r="A1" s="61" t="str">
        <f ca="1">+'Residential Sch 7'!A1</f>
        <v>Puget Sound Energy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 t="str">
        <f ca="1">+'Residential Sch 7'!A2</f>
        <v>Proforma and Proposed Revenue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tr">
        <f ca="1">+'Residential Sch 7'!A3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1" t="s">
        <v>255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2.75">
      <c r="A5" s="61" t="s">
        <v>256</v>
      </c>
      <c r="B5" s="61"/>
      <c r="C5" s="61"/>
      <c r="D5" s="61"/>
      <c r="E5" s="61"/>
      <c r="F5" s="61"/>
      <c r="G5" s="61"/>
      <c r="H5" s="61"/>
      <c r="I5" s="61"/>
      <c r="J5" s="61"/>
    </row>
    <row r="7" spans="2:10" ht="12.75">
      <c r="B7" s="98" t="s">
        <v>238</v>
      </c>
      <c r="C7" s="99"/>
      <c r="D7" s="100"/>
      <c r="E7" s="101" t="str">
        <f ca="1">+'Residential Sch 7'!E7</f>
        <v>Proforma</v>
      </c>
      <c r="F7" s="102"/>
      <c r="G7" s="103" t="str">
        <f ca="1">+'Residential Sch 7'!G7</f>
        <v>Proposed</v>
      </c>
      <c r="H7" s="102"/>
      <c r="I7" s="104"/>
      <c r="J7" s="104"/>
    </row>
    <row r="8" spans="3:10" ht="12.75">
      <c r="C8" s="93" t="s">
        <v>239</v>
      </c>
      <c r="D8" s="105"/>
      <c r="E8" s="106" t="str">
        <f ca="1">+'Residential Sch 7'!E8</f>
        <v>Rates Effective 9-1-07</v>
      </c>
      <c r="F8" s="107"/>
      <c r="G8" s="108" t="str">
        <f ca="1">+'Residential Sch 7'!G8</f>
        <v>Rates Effective 2008</v>
      </c>
      <c r="H8" s="109"/>
      <c r="I8" s="110" t="str">
        <f ca="1">+'Residential Sch 7'!I8</f>
        <v>Differences</v>
      </c>
      <c r="J8" s="111"/>
    </row>
    <row r="9" spans="1:10" ht="12.75">
      <c r="A9" s="112"/>
      <c r="B9" s="112"/>
      <c r="C9" s="112" t="s">
        <v>243</v>
      </c>
      <c r="D9" s="112" t="s">
        <v>244</v>
      </c>
      <c r="E9" s="110" t="str">
        <f ca="1">+'Residential Sch 7'!E9</f>
        <v>Charge</v>
      </c>
      <c r="F9" s="111" t="str">
        <f ca="1">+'Residential Sch 7'!F9</f>
        <v>Revenue</v>
      </c>
      <c r="G9" s="113" t="str">
        <f ca="1">+'Residential Sch 7'!G9</f>
        <v>Charge</v>
      </c>
      <c r="H9" s="111" t="str">
        <f ca="1">+'Residential Sch 7'!H9</f>
        <v>Revenue</v>
      </c>
      <c r="I9" s="113" t="str">
        <f ca="1">+'Residential Sch 7'!I9</f>
        <v>$</v>
      </c>
      <c r="J9" s="111" t="str">
        <f ca="1">+'Residential Sch 7'!J9</f>
        <v>%</v>
      </c>
    </row>
    <row r="10" spans="1:10" ht="12.75">
      <c r="A10" s="83" t="s">
        <v>249</v>
      </c>
      <c r="B10" s="72">
        <v>1040499</v>
      </c>
      <c r="C10" s="72"/>
      <c r="D10" s="72">
        <f>+B10</f>
        <v>1040499</v>
      </c>
      <c r="E10" s="114">
        <v>6.8</v>
      </c>
      <c r="F10" s="96">
        <f>+E10*D10</f>
        <v>7075393.2</v>
      </c>
      <c r="G10" s="115">
        <f ca="1">+'Rate Design Sch 24'!$F$8</f>
        <v>6.8</v>
      </c>
      <c r="H10" s="96">
        <f ca="1">+G10*D10</f>
        <v>7075393.2</v>
      </c>
      <c r="I10" s="94">
        <f ca="1">+H10-F10</f>
        <v>0</v>
      </c>
      <c r="J10" s="116">
        <f ca="1">+I10/F10</f>
        <v>0</v>
      </c>
    </row>
    <row r="11" spans="1:10" ht="12.75">
      <c r="A11" s="62" t="s">
        <v>250</v>
      </c>
      <c r="B11" s="72">
        <v>401495</v>
      </c>
      <c r="C11" s="72"/>
      <c r="D11" s="72">
        <f>+B11</f>
        <v>401495</v>
      </c>
      <c r="E11" s="114">
        <v>16.79</v>
      </c>
      <c r="F11" s="96">
        <f>+E11*D11</f>
        <v>6741101.05</v>
      </c>
      <c r="G11" s="115">
        <f ca="1">+'Rate Design Sch 24'!$F$9</f>
        <v>23.5</v>
      </c>
      <c r="H11" s="96">
        <f ca="1">+G11*D11</f>
        <v>9435132.5</v>
      </c>
      <c r="I11" s="94">
        <f ca="1">+H11-F11</f>
        <v>2694031.45</v>
      </c>
      <c r="J11" s="116">
        <f ca="1">+I11/F11</f>
        <v>0.3996426444312091</v>
      </c>
    </row>
    <row r="12" spans="1:10" ht="12.75">
      <c r="A12" s="62" t="s">
        <v>64</v>
      </c>
      <c r="B12" s="77">
        <f>SUM(B10:B11)</f>
        <v>1441994</v>
      </c>
      <c r="C12" s="77"/>
      <c r="D12" s="77">
        <f>SUM(D10:D11)</f>
        <v>1441994</v>
      </c>
      <c r="F12" s="78">
        <f>SUM(F10:F11)</f>
        <v>13816494.25</v>
      </c>
      <c r="H12" s="78">
        <f ca="1">SUM(H10:H11)</f>
        <v>16510525.7</v>
      </c>
      <c r="I12" s="78">
        <f ca="1">SUM(I10:I11)</f>
        <v>2694031.45</v>
      </c>
      <c r="J12" s="117">
        <f ca="1">+I12/F12</f>
        <v>0.19498661536373457</v>
      </c>
    </row>
    <row r="13" spans="6:8" ht="12.75">
      <c r="F13" s="96"/>
      <c r="H13" s="114"/>
    </row>
    <row r="14" spans="1:10" ht="12.75">
      <c r="A14" s="62" t="s">
        <v>257</v>
      </c>
      <c r="B14" s="118">
        <v>1388857913.7160997</v>
      </c>
      <c r="C14" s="118">
        <v>-11965439</v>
      </c>
      <c r="D14" s="118">
        <f>SUM(B14:C14)</f>
        <v>1376892474.7160997</v>
      </c>
      <c r="E14" s="97">
        <v>0.079049</v>
      </c>
      <c r="F14" s="96">
        <f>+E14*D14</f>
        <v>108841973.23383296</v>
      </c>
      <c r="G14" s="97">
        <f ca="1">+'Rate Design Sch 24'!$F$15</f>
        <v>0.086118</v>
      </c>
      <c r="H14" s="96">
        <f ca="1">+G14*D14</f>
        <v>118575226.13760108</v>
      </c>
      <c r="I14" s="94">
        <f ca="1">+H14-F14</f>
        <v>9733252.903768122</v>
      </c>
      <c r="J14" s="116">
        <f ca="1">+I14/F14</f>
        <v>0.08942554618021746</v>
      </c>
    </row>
    <row r="15" spans="1:10" ht="12.75">
      <c r="A15" s="62" t="s">
        <v>258</v>
      </c>
      <c r="B15" s="118">
        <v>1237234757.1153002</v>
      </c>
      <c r="C15" s="118">
        <v>-7300019</v>
      </c>
      <c r="D15" s="118">
        <f>SUM(B15:C15)</f>
        <v>1229934738.1153002</v>
      </c>
      <c r="E15" s="97">
        <v>0.076264</v>
      </c>
      <c r="F15" s="96">
        <f>+E15*D15</f>
        <v>93799742.86762525</v>
      </c>
      <c r="G15" s="97">
        <f ca="1">+'Rate Design Sch 24'!$F$18</f>
        <v>0.083201</v>
      </c>
      <c r="H15" s="96">
        <f ca="1">+G15*D15</f>
        <v>102331800.14593108</v>
      </c>
      <c r="I15" s="94">
        <f ca="1">+H15-F15</f>
        <v>8532057.278305829</v>
      </c>
      <c r="J15" s="116">
        <f ca="1">+I15/F15</f>
        <v>0.09096034826392523</v>
      </c>
    </row>
    <row r="16" spans="1:12" ht="12.75">
      <c r="A16" s="62" t="s">
        <v>76</v>
      </c>
      <c r="B16" s="77">
        <f>SUM(B14:B15)</f>
        <v>2626092670.8314</v>
      </c>
      <c r="C16" s="77">
        <f>SUM(C14:C15)</f>
        <v>-19265458</v>
      </c>
      <c r="D16" s="77">
        <f>SUM(D14:D15)</f>
        <v>2606827212.8314</v>
      </c>
      <c r="F16" s="78">
        <f>SUM(F14:F15)</f>
        <v>202641716.1014582</v>
      </c>
      <c r="H16" s="78">
        <f ca="1">SUM(H14:H15)</f>
        <v>220907026.28353214</v>
      </c>
      <c r="I16" s="78">
        <f ca="1">SUM(I14:I15)</f>
        <v>18265310.18207395</v>
      </c>
      <c r="J16" s="117">
        <f ca="1">+I16/F16</f>
        <v>0.09013598252853779</v>
      </c>
      <c r="L16" s="94"/>
    </row>
    <row r="17" spans="2:10" ht="12.75">
      <c r="B17" s="80"/>
      <c r="C17" s="80"/>
      <c r="D17" s="80"/>
      <c r="F17" s="81"/>
      <c r="H17" s="81"/>
      <c r="I17" s="81"/>
      <c r="J17" s="119"/>
    </row>
    <row r="18" spans="1:10" ht="12.75">
      <c r="A18" s="62" t="s">
        <v>252</v>
      </c>
      <c r="D18" s="77">
        <f>+D16</f>
        <v>2606827212.8314</v>
      </c>
      <c r="E18" s="97">
        <v>0.003125</v>
      </c>
      <c r="F18" s="78">
        <f>+E18*D18</f>
        <v>8146335.040098125</v>
      </c>
      <c r="G18" s="97">
        <v>0</v>
      </c>
      <c r="H18" s="78">
        <f>+G18*D18</f>
        <v>0</v>
      </c>
      <c r="I18" s="120">
        <f>+H18-F18</f>
        <v>-8146335.040098125</v>
      </c>
      <c r="J18" s="117">
        <f>+I18/F18</f>
        <v>-1</v>
      </c>
    </row>
    <row r="19" ht="12.75">
      <c r="D19" s="75"/>
    </row>
    <row r="20" spans="1:10" ht="12.75">
      <c r="A20" s="62" t="s">
        <v>253</v>
      </c>
      <c r="D20" s="77">
        <v>10444821</v>
      </c>
      <c r="E20" s="97">
        <v>0.08504063058114877</v>
      </c>
      <c r="F20" s="78">
        <f>+E20*D20</f>
        <v>888234.164147225</v>
      </c>
      <c r="G20" s="97">
        <f ca="1">+'Rate Design Sch 24'!$F$21</f>
        <v>0.089124</v>
      </c>
      <c r="H20" s="78">
        <f ca="1">+G20*D20</f>
        <v>930884.226804</v>
      </c>
      <c r="I20" s="120">
        <f ca="1">+H20-F20</f>
        <v>42650.062656775</v>
      </c>
      <c r="J20" s="121">
        <f ca="1">+I20/F20</f>
        <v>0.048016687916662644</v>
      </c>
    </row>
    <row r="21" ht="12.75">
      <c r="D21" s="75"/>
    </row>
    <row r="22" spans="1:10" ht="13.5" thickBot="1">
      <c r="A22" s="83" t="s">
        <v>259</v>
      </c>
      <c r="B22" s="83"/>
      <c r="C22" s="83"/>
      <c r="D22" s="86">
        <f>SUM(D20,D16)</f>
        <v>2617272033.8314</v>
      </c>
      <c r="F22" s="122">
        <f>SUM(F16,F12,F18,F20)</f>
        <v>225492779.55570355</v>
      </c>
      <c r="H22" s="122">
        <f ca="1">SUM(H16,H12,H18,H20)</f>
        <v>238348436.21033612</v>
      </c>
      <c r="I22" s="122">
        <f ca="1">SUM(I16,I12,I18,I20)</f>
        <v>12855656.6546326</v>
      </c>
      <c r="J22" s="123">
        <f ca="1">+I22/F22</f>
        <v>0.05701138936671302</v>
      </c>
    </row>
    <row r="23" ht="13.5" thickTop="1">
      <c r="D23" s="75"/>
    </row>
    <row r="24" spans="1:8" ht="12.75" hidden="1">
      <c r="A24" s="62" t="s">
        <v>127</v>
      </c>
      <c r="F24" s="96">
        <v>224604545.39155632</v>
      </c>
      <c r="H24" s="94">
        <f ca="1">+'Rate Spread'!$J$12</f>
        <v>238350166.364402</v>
      </c>
    </row>
    <row r="25" spans="1:8" ht="12.75" hidden="1">
      <c r="A25" s="62" t="s">
        <v>127</v>
      </c>
      <c r="F25" s="94">
        <f>+F24-(F22-F20)</f>
        <v>0</v>
      </c>
      <c r="G25" s="94"/>
      <c r="H25" s="94">
        <f ca="1">+H24-H22</f>
        <v>1730.1540658771992</v>
      </c>
    </row>
    <row r="26" ht="12.75" hidden="1"/>
    <row r="27" ht="12.75" hidden="1"/>
    <row r="28" ht="12.75" hidden="1"/>
    <row r="29" spans="1:6" ht="12.75" hidden="1">
      <c r="A29" s="83" t="str">
        <f ca="1">+'Residential Sch 7'!$A$29</f>
        <v>Schedule 95 Effective 9-1-07</v>
      </c>
      <c r="E29" s="97">
        <f>+E18</f>
        <v>0.003125</v>
      </c>
      <c r="F29" s="96">
        <f>+E29*$D$16</f>
        <v>8146335.040098125</v>
      </c>
    </row>
  </sheetData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C2">
      <selection activeCell="E8" sqref="E8"/>
    </sheetView>
  </sheetViews>
  <sheetFormatPr defaultColWidth="9.140625" defaultRowHeight="12.75"/>
  <cols>
    <col min="1" max="1" width="4.421875" style="2" bestFit="1" customWidth="1"/>
    <col min="2" max="2" width="37.421875" style="2" bestFit="1" customWidth="1"/>
    <col min="3" max="3" width="12.00390625" style="2" bestFit="1" customWidth="1"/>
    <col min="4" max="4" width="11.28125" style="2" bestFit="1" customWidth="1"/>
    <col min="5" max="5" width="12.421875" style="2" bestFit="1" customWidth="1"/>
    <col min="6" max="6" width="16.140625" style="2" bestFit="1" customWidth="1"/>
    <col min="7" max="7" width="12.421875" style="2" bestFit="1" customWidth="1"/>
    <col min="8" max="8" width="25.28125" style="2" customWidth="1"/>
    <col min="9" max="9" width="12.28125" style="2" bestFit="1" customWidth="1"/>
    <col min="10" max="10" width="15.00390625" style="2" bestFit="1" customWidth="1"/>
    <col min="11" max="16384" width="9.140625" style="2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50</v>
      </c>
      <c r="B2" s="1"/>
      <c r="C2" s="1"/>
      <c r="D2" s="1"/>
      <c r="E2" s="1"/>
      <c r="F2" s="1"/>
      <c r="G2" s="1"/>
      <c r="H2" s="1"/>
    </row>
    <row r="3" spans="1:8" ht="12.75">
      <c r="A3" s="1" t="s">
        <v>197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s="14" customFormat="1" ht="51">
      <c r="A5" s="211" t="str">
        <f ca="1">+'Rate Design Sch 7'!A5</f>
        <v>Line No.</v>
      </c>
      <c r="B5" s="212" t="str">
        <f ca="1">+'Rate Design Sch 7'!B5</f>
        <v>Description</v>
      </c>
      <c r="C5" s="211" t="str">
        <f ca="1">+'Rate Design Sch 7'!C5</f>
        <v>Bill
Determinants</v>
      </c>
      <c r="D5" s="211" t="str">
        <f ca="1">+'Rate Design Sch 7'!D5</f>
        <v>Base Rates
Effective 
9-1-07</v>
      </c>
      <c r="E5" s="211" t="s">
        <v>198</v>
      </c>
      <c r="F5" s="211" t="str">
        <f ca="1">+'Rate Design Sch 7'!G5</f>
        <v>Proforma
Revenue
Effective
9-1-07</v>
      </c>
      <c r="G5" s="211" t="str">
        <f ca="1">+'Rate Design Sch 7'!H5</f>
        <v>Proposed
Revenue
Effective
2008</v>
      </c>
      <c r="H5" s="212" t="str">
        <f ca="1">+'Rate Design Sch 7'!I5</f>
        <v>Notes:</v>
      </c>
    </row>
    <row r="6" spans="1:8" s="14" customFormat="1" ht="12.75">
      <c r="A6" s="14">
        <v>1</v>
      </c>
      <c r="B6" s="234"/>
      <c r="C6" s="235"/>
      <c r="D6" s="236"/>
      <c r="E6" s="236"/>
      <c r="F6" s="236"/>
      <c r="G6" s="235"/>
      <c r="H6" s="237"/>
    </row>
    <row r="7" spans="1:8" ht="12.75">
      <c r="A7" s="14">
        <f aca="true" t="shared" si="0" ref="A7:A42">+A6+1</f>
        <v>2</v>
      </c>
      <c r="B7" s="2" t="s">
        <v>60</v>
      </c>
      <c r="E7" s="37"/>
      <c r="F7" s="33"/>
      <c r="G7" s="33"/>
      <c r="H7" s="222"/>
    </row>
    <row r="8" spans="1:11" ht="12.75">
      <c r="A8" s="14">
        <f t="shared" si="0"/>
        <v>3</v>
      </c>
      <c r="B8" s="26" t="s">
        <v>199</v>
      </c>
      <c r="C8" s="23">
        <f ca="1">+'Sch 449'!$B$12</f>
        <v>24</v>
      </c>
      <c r="D8" s="220">
        <f ca="1">+'Sch 449'!$C$12</f>
        <v>709</v>
      </c>
      <c r="E8" s="243">
        <v>1075</v>
      </c>
      <c r="F8" s="33">
        <f ca="1">+C8*SUM(D8)</f>
        <v>17016</v>
      </c>
      <c r="G8" s="33">
        <f ca="1">+C8*E8</f>
        <v>25800</v>
      </c>
      <c r="H8" s="360" t="s">
        <v>98</v>
      </c>
      <c r="K8" s="33">
        <v>1304.89</v>
      </c>
    </row>
    <row r="9" spans="1:8" ht="12.75">
      <c r="A9" s="14">
        <f t="shared" si="0"/>
        <v>4</v>
      </c>
      <c r="B9" s="26" t="s">
        <v>200</v>
      </c>
      <c r="C9" s="23">
        <f ca="1">+'Sch 449'!$B$18</f>
        <v>168</v>
      </c>
      <c r="D9" s="220">
        <f ca="1">+'Sch 449'!$C$18</f>
        <v>709</v>
      </c>
      <c r="E9" s="273">
        <f>+E8</f>
        <v>1075</v>
      </c>
      <c r="F9" s="33">
        <f ca="1">+C9*SUM(D9)</f>
        <v>119112</v>
      </c>
      <c r="G9" s="33">
        <f ca="1">+C9*E9</f>
        <v>180600</v>
      </c>
      <c r="H9" s="366"/>
    </row>
    <row r="10" spans="1:8" ht="12.75">
      <c r="A10" s="14">
        <f t="shared" si="0"/>
        <v>5</v>
      </c>
      <c r="B10" s="26" t="s">
        <v>201</v>
      </c>
      <c r="C10" s="23">
        <f ca="1">+'Sch 459'!$B$12</f>
        <v>60</v>
      </c>
      <c r="D10" s="220">
        <f ca="1">+'Sch 459'!$C$12</f>
        <v>709</v>
      </c>
      <c r="E10" s="273">
        <f>+E9</f>
        <v>1075</v>
      </c>
      <c r="F10" s="33">
        <f ca="1">+C10*SUM(D10)</f>
        <v>42540</v>
      </c>
      <c r="G10" s="33">
        <f ca="1">+C10*E10</f>
        <v>64500</v>
      </c>
      <c r="H10" s="366"/>
    </row>
    <row r="11" spans="1:8" ht="13.5" thickBot="1">
      <c r="A11" s="14">
        <f t="shared" si="0"/>
        <v>6</v>
      </c>
      <c r="B11" s="13" t="s">
        <v>64</v>
      </c>
      <c r="C11" s="225">
        <f ca="1">SUM(C8:C10)</f>
        <v>252</v>
      </c>
      <c r="E11" s="37"/>
      <c r="F11" s="40">
        <f ca="1">SUM(F8:F10)</f>
        <v>178668</v>
      </c>
      <c r="G11" s="40">
        <f ca="1">SUM(G8:G10)</f>
        <v>270900</v>
      </c>
      <c r="H11" s="222"/>
    </row>
    <row r="12" spans="1:6" ht="13.5" thickTop="1">
      <c r="A12" s="14">
        <f t="shared" si="0"/>
        <v>7</v>
      </c>
      <c r="C12" s="242"/>
      <c r="E12" s="37"/>
      <c r="F12" s="33"/>
    </row>
    <row r="13" spans="1:5" ht="12.75" customHeight="1">
      <c r="A13" s="14">
        <f t="shared" si="0"/>
        <v>8</v>
      </c>
      <c r="B13" s="28" t="s">
        <v>187</v>
      </c>
      <c r="D13" s="44"/>
      <c r="E13" s="44"/>
    </row>
    <row r="14" spans="1:8" ht="12.75" customHeight="1">
      <c r="A14" s="14">
        <f t="shared" si="0"/>
        <v>9</v>
      </c>
      <c r="B14" s="26" t="s">
        <v>199</v>
      </c>
      <c r="C14" s="23">
        <f ca="1">+'Sch 449'!$B$13</f>
        <v>209738</v>
      </c>
      <c r="D14" s="274">
        <f ca="1">+'Sch 449'!$C$13</f>
        <v>3.999</v>
      </c>
      <c r="E14" s="275">
        <f ca="1">ROUND(D14+G38,3)-0.006</f>
        <v>4.101999999999999</v>
      </c>
      <c r="F14" s="33">
        <f ca="1">+C14*SUM(D14)</f>
        <v>838742.262</v>
      </c>
      <c r="G14" s="33">
        <f ca="1">+C14*E14</f>
        <v>860345.2759999998</v>
      </c>
      <c r="H14" s="366" t="s">
        <v>202</v>
      </c>
    </row>
    <row r="15" spans="1:8" ht="12.75" customHeight="1">
      <c r="A15" s="14">
        <f t="shared" si="0"/>
        <v>10</v>
      </c>
      <c r="B15" s="26" t="s">
        <v>200</v>
      </c>
      <c r="C15" s="23">
        <f ca="1">+'Sch 449'!$B$19</f>
        <v>2928917</v>
      </c>
      <c r="D15" s="274">
        <f ca="1">+'Sch 449'!$C$19</f>
        <v>1.532</v>
      </c>
      <c r="E15" s="275">
        <f ca="1">ROUND(D15+G38,3)-0</f>
        <v>1.641</v>
      </c>
      <c r="F15" s="33">
        <f ca="1">+C15*SUM(D15)-1022</f>
        <v>4486078.8440000005</v>
      </c>
      <c r="G15" s="33">
        <f ca="1">+C15*E15</f>
        <v>4806352.797</v>
      </c>
      <c r="H15" s="366"/>
    </row>
    <row r="16" spans="1:8" ht="12.75" customHeight="1">
      <c r="A16" s="14">
        <f t="shared" si="0"/>
        <v>11</v>
      </c>
      <c r="B16" s="26" t="s">
        <v>201</v>
      </c>
      <c r="C16" s="23">
        <f ca="1">+'Sch 459'!$B$13</f>
        <v>608438</v>
      </c>
      <c r="D16" s="274">
        <f ca="1">+'Sch 459'!$C$13</f>
        <v>1.532</v>
      </c>
      <c r="E16" s="275">
        <f ca="1">+E15</f>
        <v>1.641</v>
      </c>
      <c r="F16" s="33">
        <f ca="1">+C16*SUM(D16)</f>
        <v>932127.0160000001</v>
      </c>
      <c r="G16" s="33">
        <f ca="1">+C16*E16</f>
        <v>998446.758</v>
      </c>
      <c r="H16" s="366"/>
    </row>
    <row r="17" spans="1:7" ht="12.75" customHeight="1" thickBot="1">
      <c r="A17" s="14">
        <f t="shared" si="0"/>
        <v>12</v>
      </c>
      <c r="B17" s="13" t="s">
        <v>203</v>
      </c>
      <c r="C17" s="39">
        <f ca="1">SUM(C14:C16)</f>
        <v>3747093</v>
      </c>
      <c r="D17" s="154"/>
      <c r="E17" s="37"/>
      <c r="F17" s="40">
        <f ca="1">SUM(F14:F16)</f>
        <v>6256948.122</v>
      </c>
      <c r="G17" s="40">
        <f ca="1">SUM(G14:G16)</f>
        <v>6665144.831</v>
      </c>
    </row>
    <row r="18" spans="1:5" ht="13.5" thickTop="1">
      <c r="A18" s="14">
        <f t="shared" si="0"/>
        <v>13</v>
      </c>
      <c r="C18" s="242"/>
      <c r="E18" s="37"/>
    </row>
    <row r="19" spans="1:7" ht="13.5" thickBot="1">
      <c r="A19" s="14">
        <f t="shared" si="0"/>
        <v>14</v>
      </c>
      <c r="B19" s="31" t="s">
        <v>204</v>
      </c>
      <c r="C19" s="242"/>
      <c r="E19" s="37"/>
      <c r="F19" s="40">
        <f ca="1">+'Sch 449'!$D$22+'Sch 459'!$D$16</f>
        <v>2336798.1621580194</v>
      </c>
      <c r="G19" s="164">
        <f ca="1">+F19</f>
        <v>2336798.1621580194</v>
      </c>
    </row>
    <row r="20" spans="1:5" ht="13.5" thickTop="1">
      <c r="A20" s="14">
        <f t="shared" si="0"/>
        <v>15</v>
      </c>
      <c r="C20" s="242"/>
      <c r="E20" s="37"/>
    </row>
    <row r="21" spans="1:5" ht="12.75" customHeight="1">
      <c r="A21" s="14">
        <f t="shared" si="0"/>
        <v>16</v>
      </c>
      <c r="B21" s="28" t="s">
        <v>74</v>
      </c>
      <c r="D21" s="44"/>
      <c r="E21" s="44"/>
    </row>
    <row r="22" spans="1:8" ht="12.75" customHeight="1">
      <c r="A22" s="14">
        <f t="shared" si="0"/>
        <v>17</v>
      </c>
      <c r="B22" s="26" t="s">
        <v>205</v>
      </c>
      <c r="C22" s="23">
        <f ca="1">+'Sch 449'!$B$33</f>
        <v>1218729</v>
      </c>
      <c r="D22" s="159">
        <f ca="1">+'Sch 449'!$C$24</f>
        <v>-0.004643472884201838</v>
      </c>
      <c r="E22" s="159">
        <f ca="1">ROUND(D22*(1+G32),6)</f>
        <v>-0.004908</v>
      </c>
      <c r="F22" s="33">
        <f ca="1">+C22*SUM(D22)</f>
        <v>-5659.135064690421</v>
      </c>
      <c r="G22" s="33">
        <f ca="1">+E22*C22</f>
        <v>-5981.521932</v>
      </c>
      <c r="H22" s="368" t="s">
        <v>125</v>
      </c>
    </row>
    <row r="23" spans="1:8" ht="12.75" customHeight="1">
      <c r="A23" s="14">
        <f t="shared" si="0"/>
        <v>18</v>
      </c>
      <c r="B23" s="26" t="s">
        <v>206</v>
      </c>
      <c r="C23" s="23">
        <f ca="1">+'Sch 449'!$B$34</f>
        <v>17807117</v>
      </c>
      <c r="D23" s="159">
        <f ca="1">+D22</f>
        <v>-0.004643472884201838</v>
      </c>
      <c r="E23" s="159">
        <f ca="1">ROUND(D23*(1+G32),6)</f>
        <v>-0.004908</v>
      </c>
      <c r="F23" s="33">
        <f ca="1">+C23*SUM(D23)</f>
        <v>-82686.86493530957</v>
      </c>
      <c r="G23" s="33">
        <f ca="1">+E23*C23</f>
        <v>-87397.330236</v>
      </c>
      <c r="H23" s="366"/>
    </row>
    <row r="24" spans="1:8" ht="12.75" customHeight="1">
      <c r="A24" s="14">
        <f t="shared" si="0"/>
        <v>19</v>
      </c>
      <c r="B24" s="26" t="s">
        <v>207</v>
      </c>
      <c r="C24" s="23">
        <f ca="1">+'Sch 459'!$B$18</f>
        <v>3656938</v>
      </c>
      <c r="D24" s="159">
        <f ca="1">+'Sch 459'!$C$18</f>
        <v>-0.0046435022961833095</v>
      </c>
      <c r="E24" s="159">
        <f ca="1">ROUND(D24*(1+G32),6)</f>
        <v>-0.004908</v>
      </c>
      <c r="F24" s="33">
        <f ca="1">+C24*SUM(D24)</f>
        <v>-16981</v>
      </c>
      <c r="G24" s="33">
        <f ca="1">+E24*C24</f>
        <v>-17948.251704</v>
      </c>
      <c r="H24" s="366"/>
    </row>
    <row r="25" spans="1:7" ht="12.75" customHeight="1">
      <c r="A25" s="14">
        <f t="shared" si="0"/>
        <v>20</v>
      </c>
      <c r="B25" s="26"/>
      <c r="C25" s="23"/>
      <c r="D25" s="154"/>
      <c r="E25" s="44"/>
      <c r="F25" s="33"/>
      <c r="G25" s="33"/>
    </row>
    <row r="26" spans="1:7" ht="12.75" customHeight="1" thickBot="1">
      <c r="A26" s="14">
        <f t="shared" si="0"/>
        <v>21</v>
      </c>
      <c r="B26" s="26"/>
      <c r="C26" s="23"/>
      <c r="D26" s="154"/>
      <c r="E26" s="44"/>
      <c r="F26" s="40">
        <f ca="1">SUM(F22:F25)</f>
        <v>-105326.99999999999</v>
      </c>
      <c r="G26" s="40">
        <f ca="1">SUM(G22:G25)</f>
        <v>-111327.10387199999</v>
      </c>
    </row>
    <row r="27" spans="1:8" ht="13.5" thickTop="1">
      <c r="A27" s="14">
        <f t="shared" si="0"/>
        <v>22</v>
      </c>
      <c r="C27" s="242"/>
      <c r="E27" s="44"/>
      <c r="F27" s="37"/>
      <c r="G27" s="37"/>
      <c r="H27" s="222"/>
    </row>
    <row r="28" spans="1:8" ht="13.5" thickBot="1">
      <c r="A28" s="14">
        <f t="shared" si="0"/>
        <v>23</v>
      </c>
      <c r="B28" s="2" t="s">
        <v>77</v>
      </c>
      <c r="D28" s="44"/>
      <c r="E28" s="44"/>
      <c r="F28" s="40">
        <f ca="1">SUM(F11,F17,F26,F19)</f>
        <v>8667087.28415802</v>
      </c>
      <c r="G28" s="40">
        <f ca="1">SUM(G11,G17,G26,G19)</f>
        <v>9161515.889286019</v>
      </c>
      <c r="H28" s="222"/>
    </row>
    <row r="29" spans="1:8" ht="13.5" thickTop="1">
      <c r="A29" s="14">
        <f t="shared" si="0"/>
        <v>24</v>
      </c>
      <c r="D29" s="33"/>
      <c r="E29" s="33"/>
      <c r="F29" s="33"/>
      <c r="G29" s="33"/>
      <c r="H29" s="222"/>
    </row>
    <row r="30" spans="1:8" ht="12.75">
      <c r="A30" s="14">
        <f t="shared" si="0"/>
        <v>25</v>
      </c>
      <c r="B30" s="28" t="s">
        <v>208</v>
      </c>
      <c r="C30" s="44"/>
      <c r="D30" s="33"/>
      <c r="E30" s="33"/>
      <c r="G30" s="33">
        <f ca="1">+'Rate Spread'!$I$26</f>
        <v>494189.1883932505</v>
      </c>
      <c r="H30" s="272" t="s">
        <v>79</v>
      </c>
    </row>
    <row r="31" spans="1:7" ht="12.75">
      <c r="A31" s="14">
        <f t="shared" si="0"/>
        <v>26</v>
      </c>
      <c r="B31" s="28" t="s">
        <v>209</v>
      </c>
      <c r="C31" s="44"/>
      <c r="D31" s="159"/>
      <c r="E31" s="33"/>
      <c r="G31" s="33">
        <f ca="1">+G30+F28</f>
        <v>9161276.47255127</v>
      </c>
    </row>
    <row r="32" spans="1:8" ht="12.75">
      <c r="A32" s="14">
        <f t="shared" si="0"/>
        <v>27</v>
      </c>
      <c r="B32" s="28" t="s">
        <v>210</v>
      </c>
      <c r="C32" s="44"/>
      <c r="D32" s="159"/>
      <c r="E32" s="33"/>
      <c r="G32" s="259">
        <f ca="1">+G30/F28</f>
        <v>0.057019062135966414</v>
      </c>
      <c r="H32" s="267" t="s">
        <v>125</v>
      </c>
    </row>
    <row r="33" spans="1:7" ht="12.75">
      <c r="A33" s="14">
        <f t="shared" si="0"/>
        <v>28</v>
      </c>
      <c r="B33" s="28"/>
      <c r="D33" s="44"/>
      <c r="E33" s="44"/>
      <c r="F33" s="33"/>
      <c r="G33" s="19"/>
    </row>
    <row r="34" spans="1:7" ht="12.75">
      <c r="A34" s="14">
        <f t="shared" si="0"/>
        <v>29</v>
      </c>
      <c r="B34" s="28"/>
      <c r="D34" s="44"/>
      <c r="E34" s="44"/>
      <c r="F34" s="33"/>
      <c r="G34" s="19"/>
    </row>
    <row r="35" spans="1:7" ht="12.75">
      <c r="A35" s="14">
        <f t="shared" si="0"/>
        <v>30</v>
      </c>
      <c r="B35" s="28" t="s">
        <v>211</v>
      </c>
      <c r="D35" s="44"/>
      <c r="E35" s="44"/>
      <c r="F35" s="33"/>
      <c r="G35" s="276">
        <f ca="1">+G31-G11-G19-G26</f>
        <v>6664905.41426525</v>
      </c>
    </row>
    <row r="36" spans="1:7" ht="12.75">
      <c r="A36" s="14">
        <f t="shared" si="0"/>
        <v>31</v>
      </c>
      <c r="B36" s="13" t="s">
        <v>95</v>
      </c>
      <c r="D36" s="44"/>
      <c r="E36" s="44"/>
      <c r="F36" s="33"/>
      <c r="G36" s="276">
        <f ca="1">+G35-F17</f>
        <v>407957.2922652494</v>
      </c>
    </row>
    <row r="37" spans="1:7" ht="12.75">
      <c r="A37" s="14">
        <f t="shared" si="0"/>
        <v>32</v>
      </c>
      <c r="B37" s="28" t="s">
        <v>212</v>
      </c>
      <c r="D37" s="277"/>
      <c r="E37" s="274"/>
      <c r="F37" s="33"/>
      <c r="G37" s="19">
        <f ca="1">+G36/SUM(F17)</f>
        <v>0.06520068319422921</v>
      </c>
    </row>
    <row r="38" spans="1:8" ht="12.75">
      <c r="A38" s="14">
        <f t="shared" si="0"/>
        <v>33</v>
      </c>
      <c r="B38" s="28" t="s">
        <v>213</v>
      </c>
      <c r="D38" s="277"/>
      <c r="E38" s="274"/>
      <c r="F38" s="33"/>
      <c r="G38" s="278">
        <f ca="1">+G36/C17</f>
        <v>0.10887300962779664</v>
      </c>
      <c r="H38" s="267" t="s">
        <v>214</v>
      </c>
    </row>
    <row r="39" spans="1:7" ht="13.5" thickBot="1">
      <c r="A39" s="14">
        <f t="shared" si="0"/>
        <v>34</v>
      </c>
      <c r="D39" s="277"/>
      <c r="E39" s="274"/>
      <c r="F39" s="33"/>
      <c r="G39" s="33"/>
    </row>
    <row r="40" spans="1:7" ht="13.5" thickBot="1">
      <c r="A40" s="14">
        <f>+A38+1</f>
        <v>34</v>
      </c>
      <c r="B40" s="13" t="s">
        <v>127</v>
      </c>
      <c r="E40" s="228"/>
      <c r="F40" s="33"/>
      <c r="G40" s="229">
        <f ca="1">+G28-G31</f>
        <v>239.41673474945128</v>
      </c>
    </row>
    <row r="41" spans="1:7" ht="12.75" hidden="1">
      <c r="A41" s="14">
        <f t="shared" si="0"/>
        <v>35</v>
      </c>
      <c r="E41" s="228"/>
      <c r="F41" s="33"/>
      <c r="G41" s="33"/>
    </row>
    <row r="42" spans="1:8" ht="12.75" hidden="1">
      <c r="A42" s="14">
        <f t="shared" si="0"/>
        <v>36</v>
      </c>
      <c r="B42" s="28" t="s">
        <v>215</v>
      </c>
      <c r="E42" s="217"/>
      <c r="F42" s="33">
        <f ca="1">SUM(F8,F14,F22)</f>
        <v>850099.1269353096</v>
      </c>
      <c r="G42" s="33">
        <f ca="1">SUM(G8,G14,G22)</f>
        <v>880163.7540679999</v>
      </c>
      <c r="H42" s="44">
        <f ca="1">+G42-F42</f>
        <v>30064.62713269028</v>
      </c>
    </row>
    <row r="43" spans="1:7" ht="12.75" hidden="1">
      <c r="A43" s="14">
        <f>+A42+1</f>
        <v>37</v>
      </c>
      <c r="B43" s="28" t="s">
        <v>216</v>
      </c>
      <c r="E43" s="217"/>
      <c r="F43" s="33">
        <f ca="1">SUM(F9:F10,F15:F16,F23:F24)</f>
        <v>5480189.995064691</v>
      </c>
      <c r="G43" s="33">
        <f ca="1">SUM(G9:G10,G15:G16,G23:G24)</f>
        <v>5944553.973060001</v>
      </c>
    </row>
    <row r="44" spans="1:7" ht="12.75" hidden="1">
      <c r="A44" s="14">
        <f>+A43+1</f>
        <v>38</v>
      </c>
      <c r="B44" s="13" t="s">
        <v>204</v>
      </c>
      <c r="E44" s="217"/>
      <c r="F44" s="33">
        <f ca="1">+F19</f>
        <v>2336798.1621580194</v>
      </c>
      <c r="G44" s="33">
        <f ca="1">+G19</f>
        <v>2336798.1621580194</v>
      </c>
    </row>
    <row r="45" spans="5:7" ht="13.5" hidden="1" thickBot="1">
      <c r="E45" s="278"/>
      <c r="F45" s="40">
        <f ca="1">SUM(F42:F44)</f>
        <v>8667087.28415802</v>
      </c>
      <c r="G45" s="40">
        <f ca="1">SUM(G42:G44)</f>
        <v>9161515.88928602</v>
      </c>
    </row>
    <row r="46" spans="6:7" ht="13.5" hidden="1" thickTop="1">
      <c r="F46" s="33"/>
      <c r="G46" s="33"/>
    </row>
    <row r="47" spans="6:7" ht="12.75">
      <c r="F47" s="33"/>
      <c r="G47" s="33"/>
    </row>
    <row r="48" spans="6:7" ht="12.75">
      <c r="F48" s="33"/>
      <c r="G48" s="33"/>
    </row>
    <row r="49" spans="6:7" ht="12.75">
      <c r="F49" s="33"/>
      <c r="G49" s="33"/>
    </row>
    <row r="50" spans="6:7" ht="12.75">
      <c r="F50" s="33"/>
      <c r="G50" s="33"/>
    </row>
    <row r="51" spans="6:7" ht="12.75">
      <c r="F51" s="33"/>
      <c r="G51" s="33"/>
    </row>
    <row r="52" spans="6:7" ht="12.75">
      <c r="F52" s="33"/>
      <c r="G52" s="33"/>
    </row>
    <row r="53" spans="6:7" ht="12.75">
      <c r="F53" s="33"/>
      <c r="G53" s="33"/>
    </row>
    <row r="54" spans="6:7" ht="12.75">
      <c r="F54" s="33"/>
      <c r="G54" s="33"/>
    </row>
    <row r="55" spans="6:7" ht="12.75">
      <c r="F55" s="33"/>
      <c r="G55" s="33"/>
    </row>
    <row r="56" spans="6:7" ht="12.75">
      <c r="F56" s="33"/>
      <c r="G56" s="33"/>
    </row>
  </sheetData>
  <mergeCells count="3">
    <mergeCell ref="H8:H10"/>
    <mergeCell ref="H14:H16"/>
    <mergeCell ref="H22:H24"/>
  </mergeCells>
  <printOptions horizontalCentered="1"/>
  <pageMargins left="0.25" right="0.25" top="0.69" bottom="0.78" header="0.5" footer="0.5"/>
  <pageSetup fitToHeight="1" fitToWidth="1" horizontalDpi="300" verticalDpi="300" orientation="landscape" scale="93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69"/>
  <sheetViews>
    <sheetView zoomScale="85" zoomScaleNormal="85" workbookViewId="0" topLeftCell="A30">
      <selection activeCell="A12" sqref="A12"/>
    </sheetView>
  </sheetViews>
  <sheetFormatPr defaultColWidth="9.140625" defaultRowHeight="12.75"/>
  <cols>
    <col min="1" max="1" width="41.00390625" style="2" bestFit="1" customWidth="1"/>
    <col min="2" max="2" width="15.00390625" style="2" bestFit="1" customWidth="1"/>
    <col min="3" max="3" width="22.57421875" style="2" bestFit="1" customWidth="1"/>
    <col min="4" max="4" width="13.421875" style="2" bestFit="1" customWidth="1"/>
    <col min="5" max="5" width="16.421875" style="2" bestFit="1" customWidth="1"/>
    <col min="6" max="6" width="17.8515625" style="2" bestFit="1" customWidth="1"/>
    <col min="7" max="7" width="9.140625" style="2" customWidth="1"/>
    <col min="8" max="8" width="11.421875" style="2" bestFit="1" customWidth="1"/>
    <col min="9" max="9" width="12.421875" style="2" bestFit="1" customWidth="1"/>
    <col min="10" max="16384" width="9.140625" style="2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407</v>
      </c>
      <c r="B2" s="1"/>
      <c r="C2" s="1"/>
      <c r="D2" s="1"/>
      <c r="E2" s="1"/>
      <c r="F2" s="1"/>
    </row>
    <row r="3" spans="1:6" ht="12.75">
      <c r="A3" s="1" t="s">
        <v>408</v>
      </c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ht="13.5" thickBot="1"/>
    <row r="6" spans="1:4" ht="13.5" thickBot="1">
      <c r="A6" s="279" t="s">
        <v>409</v>
      </c>
      <c r="B6" s="58" t="s">
        <v>410</v>
      </c>
      <c r="C6" s="58" t="s">
        <v>411</v>
      </c>
      <c r="D6" s="280"/>
    </row>
    <row r="7" spans="1:4" ht="12.75">
      <c r="A7" s="281" t="s">
        <v>412</v>
      </c>
      <c r="B7" s="282">
        <f ca="1">+'Rate Design Sch 31'!$F$7</f>
        <v>305</v>
      </c>
      <c r="C7" s="48" t="s">
        <v>413</v>
      </c>
      <c r="D7" s="55"/>
    </row>
    <row r="8" spans="1:4" ht="12.75">
      <c r="A8" s="281" t="s">
        <v>414</v>
      </c>
      <c r="B8" s="282">
        <f ca="1">+'Rate Design Sch 26'!$F$7</f>
        <v>135</v>
      </c>
      <c r="C8" s="257" t="s">
        <v>415</v>
      </c>
      <c r="D8" s="283"/>
    </row>
    <row r="9" spans="1:4" ht="12.75">
      <c r="A9" s="281" t="s">
        <v>416</v>
      </c>
      <c r="B9" s="282">
        <f ca="1">+'Rate Design Sch 25'!$F$7</f>
        <v>64</v>
      </c>
      <c r="C9" s="257" t="s">
        <v>417</v>
      </c>
      <c r="D9" s="283"/>
    </row>
    <row r="10" spans="1:4" ht="13.5" thickBot="1">
      <c r="A10" s="284"/>
      <c r="B10" s="253"/>
      <c r="C10" s="253"/>
      <c r="D10" s="265"/>
    </row>
    <row r="11" ht="13.5" thickBot="1"/>
    <row r="12" spans="1:2" ht="13.5" thickBot="1">
      <c r="A12" s="279" t="s">
        <v>418</v>
      </c>
      <c r="B12" s="280"/>
    </row>
    <row r="13" spans="1:2" ht="13.5" thickBot="1">
      <c r="A13" s="285" t="s">
        <v>419</v>
      </c>
      <c r="B13" s="280"/>
    </row>
    <row r="14" spans="1:2" ht="12.75">
      <c r="A14" s="286" t="s">
        <v>420</v>
      </c>
      <c r="B14" s="287">
        <f ca="1">+'Sch 40 Prod &amp; Trans Charges'!B8</f>
        <v>3.79</v>
      </c>
    </row>
    <row r="15" spans="1:2" ht="12.75">
      <c r="A15" s="286" t="s">
        <v>421</v>
      </c>
      <c r="B15" s="287">
        <f ca="1">+'Sch 40 Prod &amp; Trans Charges'!B9</f>
        <v>3.87</v>
      </c>
    </row>
    <row r="16" spans="1:2" ht="13.5" thickBot="1">
      <c r="A16" s="288" t="s">
        <v>422</v>
      </c>
      <c r="B16" s="289">
        <f ca="1">+'Sch 40 Prod &amp; Trans Charges'!B10</f>
        <v>3.98</v>
      </c>
    </row>
    <row r="17" spans="1:2" ht="13.5" thickBot="1">
      <c r="A17" s="281"/>
      <c r="B17" s="37"/>
    </row>
    <row r="18" spans="1:2" ht="13.5" thickBot="1">
      <c r="A18" s="285" t="s">
        <v>423</v>
      </c>
      <c r="B18" s="280"/>
    </row>
    <row r="19" spans="1:2" ht="12.75">
      <c r="A19" s="286" t="s">
        <v>420</v>
      </c>
      <c r="B19" s="290">
        <f ca="1">+'Sch 40 Prod &amp; Trans Charges'!B13</f>
        <v>0.051976</v>
      </c>
    </row>
    <row r="20" spans="1:2" ht="12.75">
      <c r="A20" s="286" t="s">
        <v>421</v>
      </c>
      <c r="B20" s="290">
        <f ca="1">+'Sch 40 Prod &amp; Trans Charges'!B14</f>
        <v>0.052895</v>
      </c>
    </row>
    <row r="21" spans="1:2" ht="13.5" thickBot="1">
      <c r="A21" s="288" t="s">
        <v>422</v>
      </c>
      <c r="B21" s="291">
        <f ca="1">+'Sch 40 Prod &amp; Trans Charges'!B15</f>
        <v>0.054429</v>
      </c>
    </row>
    <row r="22" ht="13.5" thickBot="1">
      <c r="A22" s="31"/>
    </row>
    <row r="23" spans="1:3" ht="13.5" thickBot="1">
      <c r="A23" s="292" t="s">
        <v>424</v>
      </c>
      <c r="B23" s="58" t="s">
        <v>410</v>
      </c>
      <c r="C23" s="280" t="s">
        <v>411</v>
      </c>
    </row>
    <row r="24" spans="1:3" ht="12.75">
      <c r="A24" s="293" t="s">
        <v>421</v>
      </c>
      <c r="B24" s="294">
        <f ca="1">+'Rate Design Sch 31'!$F$23*100</f>
        <v>0.099</v>
      </c>
      <c r="C24" s="295" t="s">
        <v>413</v>
      </c>
    </row>
    <row r="25" spans="1:3" ht="12.75">
      <c r="A25" s="286" t="s">
        <v>422</v>
      </c>
      <c r="B25" s="296">
        <f ca="1">+'Rate Design Sch 26'!$F$23*100</f>
        <v>0.11800000000000001</v>
      </c>
      <c r="C25" s="283" t="s">
        <v>415</v>
      </c>
    </row>
    <row r="26" spans="1:3" ht="13.5" thickBot="1">
      <c r="A26" s="284"/>
      <c r="B26" s="253"/>
      <c r="C26" s="265"/>
    </row>
    <row r="28" spans="1:5" ht="12.75">
      <c r="A28" s="2" t="s">
        <v>425</v>
      </c>
      <c r="B28" s="2" t="s">
        <v>426</v>
      </c>
      <c r="C28" s="2" t="s">
        <v>427</v>
      </c>
      <c r="D28" s="2" t="s">
        <v>428</v>
      </c>
      <c r="E28" s="2" t="s">
        <v>429</v>
      </c>
    </row>
    <row r="29" spans="1:5" ht="12.75">
      <c r="A29" s="26" t="s">
        <v>472</v>
      </c>
      <c r="B29" s="220">
        <f>SUM(C29:E29)</f>
        <v>1.8099999999999998</v>
      </c>
      <c r="C29" s="220">
        <v>0.2</v>
      </c>
      <c r="D29" s="220">
        <v>1.17</v>
      </c>
      <c r="E29" s="220">
        <v>0.44</v>
      </c>
    </row>
    <row r="30" spans="1:5" ht="12.75">
      <c r="A30" s="26" t="s">
        <v>473</v>
      </c>
      <c r="B30" s="220">
        <f aca="true" t="shared" si="0" ref="B30:B36">SUM(C30:E30)</f>
        <v>3.3</v>
      </c>
      <c r="C30" s="220">
        <v>0.5</v>
      </c>
      <c r="D30" s="220">
        <v>1.64</v>
      </c>
      <c r="E30" s="220">
        <v>1.16</v>
      </c>
    </row>
    <row r="31" spans="1:5" ht="12.75">
      <c r="A31" s="26" t="s">
        <v>474</v>
      </c>
      <c r="B31" s="220">
        <f t="shared" si="0"/>
        <v>1.8599999999999999</v>
      </c>
      <c r="C31" s="220">
        <v>0</v>
      </c>
      <c r="D31" s="220">
        <v>1.25</v>
      </c>
      <c r="E31" s="220">
        <v>0.61</v>
      </c>
    </row>
    <row r="32" spans="1:5" ht="12.75">
      <c r="A32" s="26" t="s">
        <v>475</v>
      </c>
      <c r="B32" s="220">
        <f t="shared" si="0"/>
        <v>0.5</v>
      </c>
      <c r="C32" s="220">
        <v>0.11</v>
      </c>
      <c r="D32" s="220">
        <v>0.18</v>
      </c>
      <c r="E32" s="220">
        <v>0.21</v>
      </c>
    </row>
    <row r="33" spans="1:5" ht="12.75">
      <c r="A33" s="26" t="s">
        <v>476</v>
      </c>
      <c r="B33" s="220">
        <f t="shared" si="0"/>
        <v>0.81</v>
      </c>
      <c r="C33" s="220">
        <v>0.09</v>
      </c>
      <c r="D33" s="220">
        <v>0.29</v>
      </c>
      <c r="E33" s="220">
        <v>0.43</v>
      </c>
    </row>
    <row r="34" spans="1:5" ht="12.75">
      <c r="A34" s="26" t="s">
        <v>477</v>
      </c>
      <c r="B34" s="220">
        <f>SUM(C34:E34)</f>
        <v>1.2</v>
      </c>
      <c r="C34" s="220">
        <v>0.15</v>
      </c>
      <c r="D34" s="220">
        <v>0.36</v>
      </c>
      <c r="E34" s="220">
        <v>0.69</v>
      </c>
    </row>
    <row r="35" spans="1:5" ht="12.75">
      <c r="A35" s="26" t="s">
        <v>478</v>
      </c>
      <c r="B35" s="220">
        <f t="shared" si="0"/>
        <v>0.9299999999999999</v>
      </c>
      <c r="C35" s="220">
        <v>0</v>
      </c>
      <c r="D35" s="220">
        <v>0.75</v>
      </c>
      <c r="E35" s="220">
        <v>0.18</v>
      </c>
    </row>
    <row r="36" spans="1:5" ht="12.75">
      <c r="A36" s="26" t="s">
        <v>479</v>
      </c>
      <c r="B36" s="220">
        <f t="shared" si="0"/>
        <v>1.7</v>
      </c>
      <c r="C36" s="220">
        <v>0</v>
      </c>
      <c r="D36" s="220">
        <v>0.49</v>
      </c>
      <c r="E36" s="220">
        <v>1.21</v>
      </c>
    </row>
    <row r="37" spans="2:5" ht="12.75">
      <c r="B37" s="220"/>
      <c r="C37" s="220"/>
      <c r="D37" s="220"/>
      <c r="E37" s="220"/>
    </row>
    <row r="38" spans="2:5" ht="12.75">
      <c r="B38" s="220"/>
      <c r="C38" s="220"/>
      <c r="D38" s="220"/>
      <c r="E38" s="220"/>
    </row>
    <row r="39" spans="2:5" ht="12.75">
      <c r="B39" s="220"/>
      <c r="C39" s="220"/>
      <c r="D39" s="220"/>
      <c r="E39" s="220"/>
    </row>
    <row r="40" spans="2:5" ht="12.75">
      <c r="B40" s="220"/>
      <c r="C40" s="220"/>
      <c r="D40" s="220"/>
      <c r="E40" s="220"/>
    </row>
    <row r="41" spans="2:5" ht="12.75">
      <c r="B41" s="220"/>
      <c r="C41" s="220"/>
      <c r="D41" s="220"/>
      <c r="E41" s="220"/>
    </row>
    <row r="42" spans="2:5" ht="12.75">
      <c r="B42" s="220"/>
      <c r="C42" s="220"/>
      <c r="D42" s="220"/>
      <c r="E42" s="220"/>
    </row>
    <row r="43" spans="2:5" ht="12.75">
      <c r="B43" s="220"/>
      <c r="C43" s="220"/>
      <c r="D43" s="220"/>
      <c r="E43" s="220"/>
    </row>
    <row r="44" spans="2:5" ht="12.75">
      <c r="B44" s="220"/>
      <c r="C44" s="220"/>
      <c r="D44" s="220"/>
      <c r="E44" s="220"/>
    </row>
    <row r="45" spans="2:5" ht="12.75">
      <c r="B45" s="220"/>
      <c r="C45" s="220"/>
      <c r="D45" s="220"/>
      <c r="E45" s="220"/>
    </row>
    <row r="46" spans="2:5" ht="12.75">
      <c r="B46" s="220"/>
      <c r="C46" s="220"/>
      <c r="D46" s="220"/>
      <c r="E46" s="220"/>
    </row>
    <row r="47" spans="2:5" ht="12.75">
      <c r="B47" s="220"/>
      <c r="C47" s="220"/>
      <c r="D47" s="220"/>
      <c r="E47" s="220"/>
    </row>
    <row r="48" spans="2:5" ht="12.75">
      <c r="B48" s="220"/>
      <c r="C48" s="220"/>
      <c r="D48" s="220"/>
      <c r="E48" s="220"/>
    </row>
    <row r="49" spans="2:5" ht="12.75">
      <c r="B49" s="220"/>
      <c r="C49" s="220"/>
      <c r="D49" s="220"/>
      <c r="E49" s="220"/>
    </row>
    <row r="50" spans="2:5" ht="12.75">
      <c r="B50" s="220"/>
      <c r="C50" s="220"/>
      <c r="D50" s="220"/>
      <c r="E50" s="220"/>
    </row>
    <row r="51" spans="2:5" ht="12.75">
      <c r="B51" s="220"/>
      <c r="C51" s="220"/>
      <c r="D51" s="220"/>
      <c r="E51" s="220"/>
    </row>
    <row r="52" spans="2:5" ht="12.75">
      <c r="B52" s="220"/>
      <c r="C52" s="220"/>
      <c r="D52" s="220"/>
      <c r="E52" s="220"/>
    </row>
    <row r="53" spans="2:5" ht="12.75">
      <c r="B53" s="220"/>
      <c r="C53" s="220"/>
      <c r="D53" s="220"/>
      <c r="E53" s="220"/>
    </row>
    <row r="54" spans="2:5" ht="12.75">
      <c r="B54" s="220"/>
      <c r="C54" s="220"/>
      <c r="D54" s="220"/>
      <c r="E54" s="220"/>
    </row>
    <row r="55" spans="2:5" ht="12.75">
      <c r="B55" s="220"/>
      <c r="C55" s="220"/>
      <c r="D55" s="220"/>
      <c r="E55" s="220"/>
    </row>
    <row r="56" spans="2:5" ht="12.75">
      <c r="B56" s="220"/>
      <c r="C56" s="220"/>
      <c r="D56" s="220"/>
      <c r="E56" s="220"/>
    </row>
    <row r="57" spans="2:5" ht="12.75">
      <c r="B57" s="220"/>
      <c r="C57" s="220"/>
      <c r="D57" s="220"/>
      <c r="E57" s="220"/>
    </row>
    <row r="58" spans="2:5" ht="12.75">
      <c r="B58" s="220"/>
      <c r="C58" s="220"/>
      <c r="D58" s="220"/>
      <c r="E58" s="220"/>
    </row>
    <row r="59" spans="2:5" ht="12.75">
      <c r="B59" s="220"/>
      <c r="C59" s="220"/>
      <c r="D59" s="220"/>
      <c r="E59" s="220"/>
    </row>
    <row r="60" spans="2:5" ht="12.75">
      <c r="B60" s="220"/>
      <c r="C60" s="220"/>
      <c r="D60" s="220"/>
      <c r="E60" s="220"/>
    </row>
    <row r="61" spans="2:5" ht="12.75">
      <c r="B61" s="220"/>
      <c r="C61" s="220"/>
      <c r="D61" s="220"/>
      <c r="E61" s="220"/>
    </row>
    <row r="62" spans="2:5" ht="12.75">
      <c r="B62" s="220"/>
      <c r="C62" s="220"/>
      <c r="D62" s="220"/>
      <c r="E62" s="220"/>
    </row>
    <row r="63" spans="2:5" ht="12.75">
      <c r="B63" s="220"/>
      <c r="C63" s="220"/>
      <c r="D63" s="220"/>
      <c r="E63" s="220"/>
    </row>
    <row r="64" spans="2:5" ht="12.75">
      <c r="B64" s="220"/>
      <c r="C64" s="220"/>
      <c r="D64" s="220"/>
      <c r="E64" s="220"/>
    </row>
    <row r="65" spans="2:5" ht="12.75">
      <c r="B65" s="220"/>
      <c r="C65" s="220"/>
      <c r="D65" s="220"/>
      <c r="E65" s="220"/>
    </row>
    <row r="66" spans="2:5" ht="12.75">
      <c r="B66" s="220"/>
      <c r="C66" s="220"/>
      <c r="D66" s="220"/>
      <c r="E66" s="220"/>
    </row>
    <row r="67" spans="2:5" ht="12.75">
      <c r="B67" s="220"/>
      <c r="C67" s="220"/>
      <c r="D67" s="220"/>
      <c r="E67" s="220"/>
    </row>
    <row r="68" spans="2:5" ht="12.75">
      <c r="B68" s="220"/>
      <c r="C68" s="220"/>
      <c r="D68" s="220"/>
      <c r="E68" s="220"/>
    </row>
    <row r="69" spans="2:5" ht="12.75">
      <c r="B69" s="220"/>
      <c r="C69" s="220"/>
      <c r="D69" s="220"/>
      <c r="E69" s="220"/>
    </row>
  </sheetData>
  <printOptions horizontalCentered="1"/>
  <pageMargins left="0.25" right="0.25" top="1" bottom="1" header="0.5" footer="0.5"/>
  <pageSetup horizontalDpi="600" verticalDpi="600" orientation="landscape" scale="9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0"/>
  <sheetViews>
    <sheetView workbookViewId="0" topLeftCell="A1">
      <selection activeCell="D23" sqref="D23"/>
    </sheetView>
  </sheetViews>
  <sheetFormatPr defaultColWidth="9.00390625" defaultRowHeight="12.75"/>
  <cols>
    <col min="1" max="1" width="41.00390625" style="2" bestFit="1" customWidth="1"/>
    <col min="2" max="2" width="18.7109375" style="2" bestFit="1" customWidth="1"/>
    <col min="3" max="3" width="11.7109375" style="2" bestFit="1" customWidth="1"/>
    <col min="4" max="4" width="18.7109375" style="2" bestFit="1" customWidth="1"/>
    <col min="5" max="5" width="12.28125" style="2" bestFit="1" customWidth="1"/>
    <col min="6" max="6" width="13.7109375" style="2" bestFit="1" customWidth="1"/>
    <col min="7" max="7" width="3.8515625" style="2" customWidth="1"/>
    <col min="8" max="8" width="6.28125" style="2" bestFit="1" customWidth="1"/>
    <col min="9" max="9" width="12.28125" style="2" bestFit="1" customWidth="1"/>
    <col min="10" max="10" width="11.421875" style="2" bestFit="1" customWidth="1"/>
    <col min="11" max="12" width="12.28125" style="2" bestFit="1" customWidth="1"/>
    <col min="13" max="13" width="9.00390625" style="2" customWidth="1"/>
    <col min="14" max="14" width="11.8515625" style="2" bestFit="1" customWidth="1"/>
    <col min="15" max="15" width="10.421875" style="2" bestFit="1" customWidth="1"/>
    <col min="16" max="16384" width="9.00390625" style="2" customWidth="1"/>
  </cols>
  <sheetData>
    <row r="5" ht="13.5" thickBot="1"/>
    <row r="6" spans="1:6" ht="13.5" thickBot="1">
      <c r="A6" s="297" t="s">
        <v>418</v>
      </c>
      <c r="B6" s="48"/>
      <c r="C6" s="48"/>
      <c r="D6" s="48"/>
      <c r="E6" s="48"/>
      <c r="F6" s="295"/>
    </row>
    <row r="7" spans="1:15" ht="51.75" thickBot="1">
      <c r="A7" s="285" t="s">
        <v>419</v>
      </c>
      <c r="B7" s="298" t="s">
        <v>430</v>
      </c>
      <c r="C7" s="298" t="s">
        <v>431</v>
      </c>
      <c r="D7" s="299" t="s">
        <v>432</v>
      </c>
      <c r="E7" s="298" t="s">
        <v>238</v>
      </c>
      <c r="F7" s="300" t="s">
        <v>433</v>
      </c>
      <c r="H7" s="301" t="s">
        <v>434</v>
      </c>
      <c r="I7" s="299" t="s">
        <v>435</v>
      </c>
      <c r="J7" s="299" t="s">
        <v>436</v>
      </c>
      <c r="K7" s="299" t="s">
        <v>437</v>
      </c>
      <c r="L7" s="300" t="s">
        <v>438</v>
      </c>
      <c r="N7" s="302" t="s">
        <v>439</v>
      </c>
      <c r="O7" s="303" t="s">
        <v>440</v>
      </c>
    </row>
    <row r="8" spans="1:15" ht="12.75">
      <c r="A8" s="293" t="s">
        <v>420</v>
      </c>
      <c r="B8" s="304">
        <f ca="1">+L8</f>
        <v>3.79</v>
      </c>
      <c r="C8" s="305"/>
      <c r="D8" s="304">
        <v>3.25</v>
      </c>
      <c r="E8" s="306">
        <v>0</v>
      </c>
      <c r="F8" s="307">
        <f>+E8*D8</f>
        <v>0</v>
      </c>
      <c r="H8" s="271">
        <v>0.9</v>
      </c>
      <c r="I8" s="250">
        <f>+D8*H8</f>
        <v>2.9250000000000003</v>
      </c>
      <c r="J8" s="250"/>
      <c r="K8" s="282">
        <f ca="1">+'Rate Design Sch 49'!$F$13</f>
        <v>3.41</v>
      </c>
      <c r="L8" s="308">
        <f ca="1">ROUND(+K8/H8,2)</f>
        <v>3.79</v>
      </c>
      <c r="N8" s="309">
        <f ca="1">+'Sch 40 FCR Rates'!F11</f>
        <v>0.022490270440407432</v>
      </c>
      <c r="O8" s="55"/>
    </row>
    <row r="9" spans="1:15" ht="12.75">
      <c r="A9" s="286" t="s">
        <v>421</v>
      </c>
      <c r="B9" s="310">
        <f ca="1">+L9</f>
        <v>3.87</v>
      </c>
      <c r="C9" s="311"/>
      <c r="D9" s="310">
        <v>3.32</v>
      </c>
      <c r="E9" s="23">
        <v>795981</v>
      </c>
      <c r="F9" s="312">
        <f>+E9*D9</f>
        <v>2642656.92</v>
      </c>
      <c r="G9" s="19"/>
      <c r="H9" s="313">
        <f>+H8</f>
        <v>0.9</v>
      </c>
      <c r="I9" s="250">
        <f>+D9*H9</f>
        <v>2.988</v>
      </c>
      <c r="J9" s="17">
        <f>(+I9-$I$8)/I9</f>
        <v>0.0210843373493975</v>
      </c>
      <c r="K9" s="282">
        <f ca="1">+K8*(1+J9)</f>
        <v>3.4818975903614455</v>
      </c>
      <c r="L9" s="308">
        <f ca="1">ROUND(+K9/H9,2)</f>
        <v>3.87</v>
      </c>
      <c r="N9" s="309">
        <f ca="1">+'Sch 40 FCR Rates'!F12</f>
        <v>0.042073762659788023</v>
      </c>
      <c r="O9" s="314">
        <f ca="1">+N9-N8</f>
        <v>0.01958349221938059</v>
      </c>
    </row>
    <row r="10" spans="1:15" ht="13.5" thickBot="1">
      <c r="A10" s="288" t="s">
        <v>422</v>
      </c>
      <c r="B10" s="315">
        <f ca="1">+L10</f>
        <v>3.98</v>
      </c>
      <c r="C10" s="316"/>
      <c r="D10" s="315">
        <v>3.42</v>
      </c>
      <c r="E10" s="317">
        <v>298481</v>
      </c>
      <c r="F10" s="318">
        <f>+E10*D10</f>
        <v>1020805.02</v>
      </c>
      <c r="G10" s="19"/>
      <c r="H10" s="319">
        <f>+H9</f>
        <v>0.9</v>
      </c>
      <c r="I10" s="320">
        <f>+D10*H10</f>
        <v>3.078</v>
      </c>
      <c r="J10" s="321">
        <f>(+I10-$I$8)/I10</f>
        <v>0.04970760233918115</v>
      </c>
      <c r="K10" s="322">
        <f ca="1">+K8*(1+J10)</f>
        <v>3.579502923976608</v>
      </c>
      <c r="L10" s="323">
        <f ca="1">ROUND(+K10/H10,2)</f>
        <v>3.98</v>
      </c>
      <c r="N10" s="324">
        <f ca="1">+'Sch 40 FCR Rates'!F13</f>
        <v>0.07516498281432067</v>
      </c>
      <c r="O10" s="325">
        <f ca="1">+N10-N8</f>
        <v>0.05267471237391324</v>
      </c>
    </row>
    <row r="11" spans="2:6" ht="13.5" thickBot="1">
      <c r="B11" s="37"/>
      <c r="C11" s="37"/>
      <c r="D11" s="37"/>
      <c r="E11" s="23"/>
      <c r="F11" s="20"/>
    </row>
    <row r="12" spans="1:11" ht="51.75" thickBot="1">
      <c r="A12" s="285" t="s">
        <v>423</v>
      </c>
      <c r="B12" s="299" t="s">
        <v>441</v>
      </c>
      <c r="C12" s="298" t="s">
        <v>431</v>
      </c>
      <c r="D12" s="299" t="s">
        <v>442</v>
      </c>
      <c r="E12" s="326"/>
      <c r="F12" s="327"/>
      <c r="J12" s="302" t="s">
        <v>436</v>
      </c>
      <c r="K12" s="300" t="s">
        <v>443</v>
      </c>
    </row>
    <row r="13" spans="1:11" ht="12.75">
      <c r="A13" s="293" t="s">
        <v>420</v>
      </c>
      <c r="B13" s="328">
        <f ca="1">+K13</f>
        <v>0.051976</v>
      </c>
      <c r="C13" s="305"/>
      <c r="D13" s="328">
        <v>0.050991</v>
      </c>
      <c r="E13" s="306">
        <v>0</v>
      </c>
      <c r="F13" s="307">
        <f>+E13*D13</f>
        <v>0</v>
      </c>
      <c r="J13" s="246"/>
      <c r="K13" s="290">
        <f ca="1">+'Rate Design Sch 49'!$F$8</f>
        <v>0.051976</v>
      </c>
    </row>
    <row r="14" spans="1:11" ht="12.75">
      <c r="A14" s="286" t="s">
        <v>421</v>
      </c>
      <c r="B14" s="329">
        <f ca="1">+K14</f>
        <v>0.052895</v>
      </c>
      <c r="C14" s="311"/>
      <c r="D14" s="329">
        <v>0.051909</v>
      </c>
      <c r="E14" s="23">
        <v>455134475.4536844</v>
      </c>
      <c r="F14" s="312">
        <f>+E14*D14</f>
        <v>23625575.4863253</v>
      </c>
      <c r="J14" s="330">
        <f>(+D14-$D$13)/D14</f>
        <v>0.017684794544298586</v>
      </c>
      <c r="K14" s="290">
        <f ca="1">ROUND(+K13*(1+J14),6)</f>
        <v>0.052895</v>
      </c>
    </row>
    <row r="15" spans="1:11" ht="13.5" thickBot="1">
      <c r="A15" s="288" t="s">
        <v>422</v>
      </c>
      <c r="B15" s="331">
        <f ca="1">+K15</f>
        <v>0.054429</v>
      </c>
      <c r="C15" s="316"/>
      <c r="D15" s="331">
        <v>0.053517</v>
      </c>
      <c r="E15" s="317">
        <v>158585651.5182537</v>
      </c>
      <c r="F15" s="318">
        <f>+E15*D15</f>
        <v>8487028.312302385</v>
      </c>
      <c r="J15" s="332">
        <f>(+D15-$D$13)/D15</f>
        <v>0.047199955154436916</v>
      </c>
      <c r="K15" s="291">
        <f ca="1">ROUND(+K13*(1+J15),6)</f>
        <v>0.054429</v>
      </c>
    </row>
    <row r="16" spans="5:6" ht="12.75">
      <c r="E16" s="21"/>
      <c r="F16" s="33"/>
    </row>
    <row r="17" spans="1:6" ht="12.75">
      <c r="A17" s="28" t="s">
        <v>444</v>
      </c>
      <c r="D17" s="33">
        <v>78273.6</v>
      </c>
      <c r="E17" s="21"/>
      <c r="F17" s="33"/>
    </row>
    <row r="18" spans="1:6" ht="12.75">
      <c r="A18" s="28" t="s">
        <v>445</v>
      </c>
      <c r="D18" s="33">
        <v>17165.99410000001</v>
      </c>
      <c r="E18" s="21"/>
      <c r="F18" s="33"/>
    </row>
    <row r="19" spans="1:6" ht="12.75">
      <c r="A19" s="28" t="s">
        <v>446</v>
      </c>
      <c r="D19" s="33">
        <v>-633821.6938984003</v>
      </c>
      <c r="F19" s="33"/>
    </row>
    <row r="20" spans="1:6" ht="12.75">
      <c r="A20" s="13" t="s">
        <v>447</v>
      </c>
      <c r="D20" s="33">
        <f ca="1">(B8-D8)*E8+(B9-D9)*E9+(B10-D10)*E10</f>
        <v>604938.9100000003</v>
      </c>
      <c r="F20" s="33"/>
    </row>
    <row r="21" spans="1:6" ht="12.75">
      <c r="A21" s="28" t="s">
        <v>448</v>
      </c>
      <c r="D21" s="33">
        <f ca="1">(B13-D13)*E13+(B14-D14)*E14+(B15-D15)*E15</f>
        <v>593392.7069819799</v>
      </c>
      <c r="F21" s="33"/>
    </row>
    <row r="22" spans="1:6" ht="12.75">
      <c r="A22" s="2" t="s">
        <v>449</v>
      </c>
      <c r="D22" s="33">
        <f ca="1">SUM(D17:D21)</f>
        <v>659949.5171835799</v>
      </c>
      <c r="F22" s="33"/>
    </row>
    <row r="23" spans="1:6" ht="12.75">
      <c r="A23" s="28" t="s">
        <v>450</v>
      </c>
      <c r="D23" s="36">
        <v>1947000</v>
      </c>
      <c r="F23" s="33"/>
    </row>
    <row r="24" spans="1:6" ht="12.75">
      <c r="A24" s="2" t="s">
        <v>127</v>
      </c>
      <c r="D24" s="33">
        <f ca="1">+D22-D23</f>
        <v>-1287050.48281642</v>
      </c>
      <c r="F24" s="33"/>
    </row>
    <row r="25" spans="1:6" ht="12.75">
      <c r="A25" s="28" t="s">
        <v>451</v>
      </c>
      <c r="D25" s="33">
        <v>38977060.8036143</v>
      </c>
      <c r="F25" s="33"/>
    </row>
    <row r="26" spans="1:6" ht="12.75">
      <c r="A26" s="2" t="s">
        <v>223</v>
      </c>
      <c r="D26" s="19">
        <f>+D23/D25</f>
        <v>0.04995245818585317</v>
      </c>
      <c r="F26" s="33"/>
    </row>
    <row r="27" spans="4:6" ht="12.75">
      <c r="D27" s="33"/>
      <c r="F27" s="33"/>
    </row>
    <row r="28" spans="1:4" ht="12.75">
      <c r="A28" s="2" t="s">
        <v>452</v>
      </c>
      <c r="D28" s="33">
        <v>40923903.799956486</v>
      </c>
    </row>
    <row r="29" spans="1:4" ht="12.75">
      <c r="A29" s="28" t="s">
        <v>453</v>
      </c>
      <c r="D29" s="33">
        <f ca="1">+'Rate Spread'!$J$22</f>
        <v>40924060.8036143</v>
      </c>
    </row>
    <row r="30" spans="1:4" ht="12.75">
      <c r="A30" s="2" t="s">
        <v>346</v>
      </c>
      <c r="D30" s="33">
        <f ca="1">+D29-D28</f>
        <v>157.00365781784058</v>
      </c>
    </row>
  </sheetData>
  <printOptions horizontalCentered="1"/>
  <pageMargins left="0.25" right="0.25" top="1" bottom="1" header="0.5" footer="0.5"/>
  <pageSetup cellComments="asDisplayed" fitToHeight="1" fitToWidth="1" horizontalDpi="600" verticalDpi="600" orientation="landscape" scale="65"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/>
  </sheetViews>
  <sheetFormatPr defaultColWidth="9.140625" defaultRowHeight="12.75"/>
  <cols>
    <col min="1" max="2" width="9.140625" style="2" customWidth="1"/>
    <col min="3" max="3" width="9.28125" style="2" bestFit="1" customWidth="1"/>
    <col min="4" max="4" width="9.140625" style="2" customWidth="1"/>
    <col min="5" max="5" width="49.28125" style="2" bestFit="1" customWidth="1"/>
    <col min="6" max="6" width="11.8515625" style="2" customWidth="1"/>
    <col min="7" max="7" width="22.140625" style="2" bestFit="1" customWidth="1"/>
    <col min="8" max="8" width="9.140625" style="2" customWidth="1"/>
    <col min="9" max="9" width="14.00390625" style="2" bestFit="1" customWidth="1"/>
    <col min="10" max="16384" width="9.140625" style="2" customWidth="1"/>
  </cols>
  <sheetData>
    <row r="1" ht="12.75">
      <c r="A1" s="224" t="s">
        <v>480</v>
      </c>
    </row>
    <row r="2" ht="13.5" thickBot="1">
      <c r="A2" s="224" t="s">
        <v>454</v>
      </c>
    </row>
    <row r="3" spans="1:7" ht="51.75" thickBot="1">
      <c r="A3" s="333" t="s">
        <v>455</v>
      </c>
      <c r="B3" s="334" t="s">
        <v>456</v>
      </c>
      <c r="C3" s="335" t="s">
        <v>457</v>
      </c>
      <c r="E3" s="363" t="s">
        <v>458</v>
      </c>
      <c r="F3" s="364"/>
      <c r="G3" s="365"/>
    </row>
    <row r="4" spans="1:7" ht="12.75">
      <c r="A4" s="336">
        <v>0</v>
      </c>
      <c r="B4" s="337">
        <v>0.11442435628286034</v>
      </c>
      <c r="C4" s="338">
        <v>0.11442435628286034</v>
      </c>
      <c r="E4" s="297"/>
      <c r="F4" s="48"/>
      <c r="G4" s="295"/>
    </row>
    <row r="5" spans="1:7" ht="12.75">
      <c r="A5" s="339">
        <v>1</v>
      </c>
      <c r="B5" s="17">
        <v>0.11694406132119939</v>
      </c>
      <c r="C5" s="340">
        <v>0.12038359253652878</v>
      </c>
      <c r="E5" s="246" t="s">
        <v>459</v>
      </c>
      <c r="F5" s="52" t="s">
        <v>460</v>
      </c>
      <c r="G5" s="55" t="s">
        <v>434</v>
      </c>
    </row>
    <row r="6" spans="1:7" ht="12.75">
      <c r="A6" s="339">
        <f aca="true" t="shared" si="0" ref="A6:A28">A5+1</f>
        <v>2</v>
      </c>
      <c r="B6" s="17">
        <v>0.11332036898090429</v>
      </c>
      <c r="C6" s="340">
        <v>0.12018827013126213</v>
      </c>
      <c r="E6" s="281" t="s">
        <v>461</v>
      </c>
      <c r="F6" s="37"/>
      <c r="G6" s="341">
        <v>0.89744</v>
      </c>
    </row>
    <row r="7" spans="1:7" ht="12.75">
      <c r="A7" s="339">
        <f t="shared" si="0"/>
        <v>3</v>
      </c>
      <c r="B7" s="17">
        <v>0.1098210465499493</v>
      </c>
      <c r="C7" s="340">
        <v>0.12011676966400703</v>
      </c>
      <c r="E7" s="281" t="s">
        <v>462</v>
      </c>
      <c r="F7" s="342">
        <v>454924608</v>
      </c>
      <c r="G7" s="55"/>
    </row>
    <row r="8" spans="1:7" ht="13.5" thickBot="1">
      <c r="A8" s="339">
        <f t="shared" si="0"/>
        <v>4</v>
      </c>
      <c r="B8" s="17">
        <v>0.10643702994774237</v>
      </c>
      <c r="C8" s="340">
        <v>0.12017084026358012</v>
      </c>
      <c r="E8" s="343" t="s">
        <v>463</v>
      </c>
      <c r="F8" s="344">
        <v>220089671.97000003</v>
      </c>
      <c r="G8" s="345">
        <f>+F7/SQRT(F8^2+F7^2)</f>
        <v>0.900186510711956</v>
      </c>
    </row>
    <row r="9" spans="1:7" ht="12.75">
      <c r="A9" s="339">
        <f t="shared" si="0"/>
        <v>5</v>
      </c>
      <c r="B9" s="17">
        <v>0.103158255684464</v>
      </c>
      <c r="C9" s="340">
        <v>0.12035129829854134</v>
      </c>
      <c r="E9" s="246"/>
      <c r="F9" s="37"/>
      <c r="G9" s="55"/>
    </row>
    <row r="10" spans="1:7" ht="12.75">
      <c r="A10" s="339">
        <f t="shared" si="0"/>
        <v>6</v>
      </c>
      <c r="B10" s="17">
        <v>0.09997351063115308</v>
      </c>
      <c r="C10" s="340">
        <v>0.12065768524449509</v>
      </c>
      <c r="E10" s="51" t="s">
        <v>464</v>
      </c>
      <c r="F10" s="37"/>
      <c r="G10" s="55"/>
    </row>
    <row r="11" spans="1:7" ht="12.75">
      <c r="A11" s="339">
        <f t="shared" si="0"/>
        <v>7</v>
      </c>
      <c r="B11" s="17">
        <v>0.09687442999411272</v>
      </c>
      <c r="C11" s="340">
        <v>0.1210930374926409</v>
      </c>
      <c r="E11" s="281" t="s">
        <v>465</v>
      </c>
      <c r="F11" s="17">
        <v>0.022490270440407432</v>
      </c>
      <c r="G11" s="55" t="s">
        <v>466</v>
      </c>
    </row>
    <row r="12" spans="1:7" ht="12.75">
      <c r="A12" s="339">
        <f t="shared" si="0"/>
        <v>8</v>
      </c>
      <c r="B12" s="17">
        <v>0.0938516195804132</v>
      </c>
      <c r="C12" s="340">
        <v>0.12165950686349859</v>
      </c>
      <c r="E12" s="281" t="s">
        <v>467</v>
      </c>
      <c r="F12" s="17">
        <v>0.042073762659788023</v>
      </c>
      <c r="G12" s="55" t="s">
        <v>466</v>
      </c>
    </row>
    <row r="13" spans="1:7" ht="12.75">
      <c r="A13" s="339">
        <f t="shared" si="0"/>
        <v>9</v>
      </c>
      <c r="B13" s="17">
        <v>0.09089447823907967</v>
      </c>
      <c r="C13" s="340">
        <v>0.12235795147568417</v>
      </c>
      <c r="E13" s="281" t="s">
        <v>468</v>
      </c>
      <c r="F13" s="17">
        <v>0.07516498281432067</v>
      </c>
      <c r="G13" s="55" t="s">
        <v>466</v>
      </c>
    </row>
    <row r="14" spans="1:7" ht="12.75">
      <c r="A14" s="339">
        <f t="shared" si="0"/>
        <v>10</v>
      </c>
      <c r="B14" s="17">
        <v>0.08800823021600271</v>
      </c>
      <c r="C14" s="340">
        <v>0.12321152230240377</v>
      </c>
      <c r="E14" s="246"/>
      <c r="F14" s="37"/>
      <c r="G14" s="55"/>
    </row>
    <row r="15" spans="1:7" ht="12.75">
      <c r="A15" s="339">
        <f t="shared" si="0"/>
        <v>11</v>
      </c>
      <c r="B15" s="17">
        <v>0.0851987772473176</v>
      </c>
      <c r="C15" s="340">
        <v>0.12424821681900483</v>
      </c>
      <c r="E15" s="286" t="s">
        <v>469</v>
      </c>
      <c r="F15" s="346">
        <f>+F13-F11</f>
        <v>0.05267471237391324</v>
      </c>
      <c r="G15" s="55"/>
    </row>
    <row r="16" spans="1:7" ht="13.5" thickBot="1">
      <c r="A16" s="339">
        <f t="shared" si="0"/>
        <v>12</v>
      </c>
      <c r="B16" s="17">
        <v>0.08247284166409963</v>
      </c>
      <c r="C16" s="340">
        <v>0.1255021503584125</v>
      </c>
      <c r="E16" s="288" t="s">
        <v>470</v>
      </c>
      <c r="F16" s="347">
        <f>+F12-F11</f>
        <v>0.01958349221938059</v>
      </c>
      <c r="G16" s="265"/>
    </row>
    <row r="17" spans="1:3" ht="12.75">
      <c r="A17" s="339">
        <f t="shared" si="0"/>
        <v>13</v>
      </c>
      <c r="B17" s="17">
        <v>0.07983814920915087</v>
      </c>
      <c r="C17" s="340">
        <v>0.12701523737819456</v>
      </c>
    </row>
    <row r="18" spans="1:3" ht="12.75">
      <c r="A18" s="339">
        <f t="shared" si="0"/>
        <v>14</v>
      </c>
      <c r="B18" s="17">
        <v>0.07730366487113408</v>
      </c>
      <c r="C18" s="340">
        <v>0.1288394414518901</v>
      </c>
    </row>
    <row r="19" spans="1:6" ht="12.75">
      <c r="A19" s="339">
        <f t="shared" si="0"/>
        <v>15</v>
      </c>
      <c r="B19" s="17">
        <v>0.07487990036069331</v>
      </c>
      <c r="C19" s="340">
        <v>0.13103982563121327</v>
      </c>
      <c r="F19" s="277"/>
    </row>
    <row r="20" spans="1:3" ht="12.75">
      <c r="A20" s="339">
        <f t="shared" si="0"/>
        <v>16</v>
      </c>
      <c r="B20" s="17">
        <v>0.07257931969125436</v>
      </c>
      <c r="C20" s="340">
        <v>0.1336987467996791</v>
      </c>
    </row>
    <row r="21" spans="1:3" ht="12.75">
      <c r="A21" s="339">
        <f t="shared" si="0"/>
        <v>17</v>
      </c>
      <c r="B21" s="17">
        <v>0.07041688108315683</v>
      </c>
      <c r="C21" s="340">
        <v>0.13692171321724939</v>
      </c>
    </row>
    <row r="22" spans="1:3" ht="12.75">
      <c r="A22" s="339">
        <f t="shared" si="0"/>
        <v>18</v>
      </c>
      <c r="B22" s="17">
        <v>0.06841077138827616</v>
      </c>
      <c r="C22" s="340">
        <v>0.14084570579939207</v>
      </c>
    </row>
    <row r="23" spans="1:3" ht="12.75">
      <c r="A23" s="339">
        <f t="shared" si="0"/>
        <v>19</v>
      </c>
      <c r="B23" s="17">
        <v>0.06658341732246195</v>
      </c>
      <c r="C23" s="340">
        <v>0.1456512253928855</v>
      </c>
    </row>
    <row r="24" spans="1:3" ht="12.75">
      <c r="A24" s="339">
        <f t="shared" si="0"/>
        <v>20</v>
      </c>
      <c r="B24" s="17">
        <v>0.06496290273609359</v>
      </c>
      <c r="C24" s="340">
        <v>0.1515801063842184</v>
      </c>
    </row>
    <row r="25" spans="1:3" ht="12.75">
      <c r="A25" s="339">
        <f t="shared" si="0"/>
        <v>21</v>
      </c>
      <c r="B25" s="17">
        <v>0.0635849949866396</v>
      </c>
      <c r="C25" s="340">
        <v>0.158962487466599</v>
      </c>
    </row>
    <row r="26" spans="1:3" ht="12.75">
      <c r="A26" s="339">
        <f t="shared" si="0"/>
        <v>22</v>
      </c>
      <c r="B26" s="17">
        <v>0.062335877038412785</v>
      </c>
      <c r="C26" s="340">
        <v>0.16782736125726516</v>
      </c>
    </row>
    <row r="27" spans="1:3" ht="12.75">
      <c r="A27" s="339">
        <f t="shared" si="0"/>
        <v>23</v>
      </c>
      <c r="B27" s="17">
        <v>0.06113828682182911</v>
      </c>
      <c r="C27" s="340">
        <v>0.17832000323033492</v>
      </c>
    </row>
    <row r="28" spans="1:3" ht="12.75">
      <c r="A28" s="339">
        <f t="shared" si="0"/>
        <v>24</v>
      </c>
      <c r="B28" s="17">
        <v>0.059999875217291554</v>
      </c>
      <c r="C28" s="340">
        <v>0.19090869387320042</v>
      </c>
    </row>
    <row r="29" spans="1:3" ht="12.75">
      <c r="A29" s="339">
        <f aca="true" t="shared" si="1" ref="A29:A38">A28+1</f>
        <v>25</v>
      </c>
      <c r="B29" s="17">
        <v>0.05893115453219284</v>
      </c>
      <c r="C29" s="340">
        <v>0.20625904086267494</v>
      </c>
    </row>
    <row r="30" spans="1:3" ht="12.75">
      <c r="A30" s="339">
        <f t="shared" si="1"/>
        <v>26</v>
      </c>
      <c r="B30" s="17">
        <v>0.057947100885450506</v>
      </c>
      <c r="C30" s="340">
        <v>0.225349836776752</v>
      </c>
    </row>
    <row r="31" spans="1:3" ht="12.75">
      <c r="A31" s="339">
        <f t="shared" si="1"/>
        <v>27</v>
      </c>
      <c r="B31" s="17">
        <v>0.05706995979185121</v>
      </c>
      <c r="C31" s="340">
        <v>0.24968107408934906</v>
      </c>
    </row>
    <row r="32" spans="1:3" ht="12.75">
      <c r="A32" s="339">
        <f t="shared" si="1"/>
        <v>28</v>
      </c>
      <c r="B32" s="17">
        <v>0.05633445806788618</v>
      </c>
      <c r="C32" s="340">
        <v>0.2816722903394309</v>
      </c>
    </row>
    <row r="33" spans="1:3" ht="12.75">
      <c r="A33" s="339">
        <f t="shared" si="1"/>
        <v>29</v>
      </c>
      <c r="B33" s="17">
        <v>0.055798229323651985</v>
      </c>
      <c r="C33" s="340">
        <v>0.3254896710546366</v>
      </c>
    </row>
    <row r="34" spans="1:3" ht="12.75">
      <c r="A34" s="339">
        <f t="shared" si="1"/>
        <v>30</v>
      </c>
      <c r="B34" s="17">
        <v>0.05556475190640248</v>
      </c>
      <c r="C34" s="340">
        <v>0.38895326334481733</v>
      </c>
    </row>
    <row r="35" spans="1:3" ht="12.75">
      <c r="A35" s="339">
        <f t="shared" si="1"/>
        <v>31</v>
      </c>
      <c r="B35" s="17">
        <v>0.055840695866255556</v>
      </c>
      <c r="C35" s="340">
        <v>0.48860608882973605</v>
      </c>
    </row>
    <row r="36" spans="1:3" ht="12.75">
      <c r="A36" s="339">
        <f t="shared" si="1"/>
        <v>32</v>
      </c>
      <c r="B36" s="17">
        <v>0.057107966336977206</v>
      </c>
      <c r="C36" s="340">
        <v>0.6662596072647341</v>
      </c>
    </row>
    <row r="37" spans="1:3" ht="12.75">
      <c r="A37" s="339">
        <f t="shared" si="1"/>
        <v>33</v>
      </c>
      <c r="B37" s="17">
        <v>0.06081188025306633</v>
      </c>
      <c r="C37" s="340">
        <v>1.0642079044286608</v>
      </c>
    </row>
    <row r="38" spans="1:3" ht="12.75">
      <c r="A38" s="348">
        <f t="shared" si="1"/>
        <v>34</v>
      </c>
      <c r="B38" s="349">
        <v>0.07417840861887505</v>
      </c>
      <c r="C38" s="350">
        <v>2.5962443016606267</v>
      </c>
    </row>
    <row r="40" spans="1:3" ht="12.75">
      <c r="A40" s="2" t="s">
        <v>471</v>
      </c>
      <c r="C40" s="19">
        <v>0.12817988813787484</v>
      </c>
    </row>
  </sheetData>
  <mergeCells count="1">
    <mergeCell ref="E3:G3"/>
  </mergeCells>
  <printOptions horizontalCentered="1"/>
  <pageMargins left="0.25" right="0.25" top="1" bottom="1" header="0.5" footer="0.5"/>
  <pageSetup fitToHeight="1" fitToWidth="1"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7">
      <selection activeCell="A7" sqref="A1:IV65536"/>
    </sheetView>
  </sheetViews>
  <sheetFormatPr defaultColWidth="9.140625" defaultRowHeight="12.75"/>
  <cols>
    <col min="1" max="1" width="24.421875" style="62" bestFit="1" customWidth="1"/>
    <col min="2" max="2" width="14.00390625" style="62" bestFit="1" customWidth="1"/>
    <col min="3" max="3" width="11.28125" style="62" bestFit="1" customWidth="1"/>
    <col min="4" max="4" width="16.57421875" style="62" bestFit="1" customWidth="1"/>
    <col min="5" max="5" width="10.7109375" style="62" bestFit="1" customWidth="1"/>
    <col min="6" max="6" width="16.57421875" style="62" bestFit="1" customWidth="1"/>
    <col min="7" max="7" width="11.28125" style="62" bestFit="1" customWidth="1"/>
    <col min="8" max="8" width="13.421875" style="62" bestFit="1" customWidth="1"/>
    <col min="9" max="9" width="12.8515625" style="62" bestFit="1" customWidth="1"/>
    <col min="10" max="10" width="7.8515625" style="62" bestFit="1" customWidth="1"/>
    <col min="11" max="16384" width="9.140625" style="62" customWidth="1"/>
  </cols>
  <sheetData>
    <row r="1" spans="1:10" ht="12.75">
      <c r="A1" s="61" t="str">
        <f ca="1">+'Residential Sch 7'!A1</f>
        <v>Puget Sound Energy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 t="str">
        <f ca="1">+'Residential Sch 7'!A2</f>
        <v>Proforma and Proposed Revenue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tr">
        <f ca="1">+'Residential Sch 7'!A3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1" t="s">
        <v>260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2.75">
      <c r="A5" s="61" t="s">
        <v>261</v>
      </c>
      <c r="B5" s="61"/>
      <c r="C5" s="61"/>
      <c r="D5" s="61"/>
      <c r="E5" s="61"/>
      <c r="F5" s="61"/>
      <c r="G5" s="61"/>
      <c r="H5" s="61"/>
      <c r="I5" s="61"/>
      <c r="J5" s="61"/>
    </row>
    <row r="7" spans="2:10" ht="12.75">
      <c r="B7" s="98" t="s">
        <v>238</v>
      </c>
      <c r="C7" s="99"/>
      <c r="D7" s="100"/>
      <c r="E7" s="101" t="str">
        <f ca="1">+'Residential Sch 7'!E7</f>
        <v>Proforma</v>
      </c>
      <c r="F7" s="102"/>
      <c r="G7" s="103" t="str">
        <f ca="1">+'Residential Sch 7'!G7</f>
        <v>Proposed</v>
      </c>
      <c r="H7" s="102"/>
      <c r="I7" s="104"/>
      <c r="J7" s="104"/>
    </row>
    <row r="8" spans="3:10" ht="12.75">
      <c r="C8" s="93" t="s">
        <v>239</v>
      </c>
      <c r="D8" s="105"/>
      <c r="E8" s="132" t="str">
        <f ca="1">+'Residential Sch 7'!E8</f>
        <v>Rates Effective 9-1-07</v>
      </c>
      <c r="F8" s="109"/>
      <c r="G8" s="108" t="str">
        <f ca="1">+'Residential Sch 7'!G8</f>
        <v>Rates Effective 2008</v>
      </c>
      <c r="H8" s="109"/>
      <c r="I8" s="110" t="str">
        <f ca="1">+'Residential Sch 7'!I8</f>
        <v>Differences</v>
      </c>
      <c r="J8" s="111"/>
    </row>
    <row r="9" spans="1:10" ht="12.75">
      <c r="A9" s="112"/>
      <c r="B9" s="112"/>
      <c r="C9" s="112" t="s">
        <v>243</v>
      </c>
      <c r="D9" s="112" t="s">
        <v>244</v>
      </c>
      <c r="E9" s="110" t="str">
        <f ca="1">+'Residential Sch 7'!E9</f>
        <v>Charge</v>
      </c>
      <c r="F9" s="111" t="str">
        <f ca="1">+'Residential Sch 7'!F9</f>
        <v>Revenue</v>
      </c>
      <c r="G9" s="113" t="str">
        <f ca="1">+'Residential Sch 7'!G9</f>
        <v>Charge</v>
      </c>
      <c r="H9" s="111" t="str">
        <f ca="1">+'Residential Sch 7'!H9</f>
        <v>Revenue</v>
      </c>
      <c r="I9" s="113" t="str">
        <f ca="1">+'Residential Sch 7'!I9</f>
        <v>$</v>
      </c>
      <c r="J9" s="111" t="str">
        <f ca="1">+'Residential Sch 7'!J9</f>
        <v>%</v>
      </c>
    </row>
    <row r="10" spans="1:10" ht="12.75">
      <c r="A10" s="62" t="s">
        <v>64</v>
      </c>
      <c r="B10" s="133">
        <v>93148</v>
      </c>
      <c r="C10" s="133"/>
      <c r="D10" s="133">
        <f>+B10</f>
        <v>93148</v>
      </c>
      <c r="E10" s="114">
        <v>27.2</v>
      </c>
      <c r="F10" s="78">
        <f>+E10*D10</f>
        <v>2533625.6</v>
      </c>
      <c r="G10" s="115">
        <f ca="1">+'Rate Design Sch 25'!$F$7</f>
        <v>64</v>
      </c>
      <c r="H10" s="78">
        <f ca="1">+G10*D10</f>
        <v>5961472</v>
      </c>
      <c r="I10" s="120">
        <f ca="1">+H10-F10</f>
        <v>3427846.4</v>
      </c>
      <c r="J10" s="117">
        <f ca="1">+I10/F10</f>
        <v>1.352941176470588</v>
      </c>
    </row>
    <row r="11" spans="6:8" ht="12.75">
      <c r="F11" s="96"/>
      <c r="H11" s="96"/>
    </row>
    <row r="12" spans="1:10" ht="12.75">
      <c r="A12" s="62" t="s">
        <v>262</v>
      </c>
      <c r="B12" s="118">
        <v>781028543.1319999</v>
      </c>
      <c r="C12" s="118"/>
      <c r="D12" s="118">
        <f>SUM(B12:C12)</f>
        <v>781028543.1319999</v>
      </c>
      <c r="E12" s="97">
        <v>0.082041</v>
      </c>
      <c r="F12" s="96">
        <f>+E12*D12</f>
        <v>64076362.707092404</v>
      </c>
      <c r="G12" s="97">
        <f ca="1">+'Rate Design Sch 25'!$F$11</f>
        <v>0.08785</v>
      </c>
      <c r="H12" s="96">
        <f ca="1">+G12*D12</f>
        <v>68613357.51414618</v>
      </c>
      <c r="I12" s="94">
        <f ca="1">+H12-F12</f>
        <v>4536994.807053775</v>
      </c>
      <c r="J12" s="25">
        <f ca="1">+I12/F12</f>
        <v>0.07080606038444172</v>
      </c>
    </row>
    <row r="13" spans="1:10" ht="12.75">
      <c r="A13" s="62" t="s">
        <v>263</v>
      </c>
      <c r="B13" s="118">
        <v>766793106.5449001</v>
      </c>
      <c r="C13" s="118"/>
      <c r="D13" s="118">
        <f>SUM(B13:C13)</f>
        <v>766793106.5449001</v>
      </c>
      <c r="E13" s="97">
        <v>0.074445</v>
      </c>
      <c r="F13" s="96">
        <f>+E13*D13</f>
        <v>57083912.81673508</v>
      </c>
      <c r="G13" s="97">
        <f ca="1">+'Rate Design Sch 25'!$F$12</f>
        <v>0.080014</v>
      </c>
      <c r="H13" s="96">
        <f ca="1">+G13*D13</f>
        <v>61354183.62708364</v>
      </c>
      <c r="I13" s="94">
        <f ca="1">+H13-F13</f>
        <v>4270270.810348555</v>
      </c>
      <c r="J13" s="25">
        <f ca="1">+I13/F13</f>
        <v>0.0748069044260865</v>
      </c>
    </row>
    <row r="14" spans="1:10" ht="12.75">
      <c r="A14" s="83" t="s">
        <v>264</v>
      </c>
      <c r="B14" s="118">
        <v>1499730302.954</v>
      </c>
      <c r="C14" s="118">
        <v>-529631.9585296367</v>
      </c>
      <c r="D14" s="118">
        <f>SUM(B14:C14)</f>
        <v>1499200670.9954703</v>
      </c>
      <c r="E14" s="97">
        <v>0.060417000000000005</v>
      </c>
      <c r="F14" s="96">
        <f>+E14*D14</f>
        <v>90577206.93953334</v>
      </c>
      <c r="G14" s="97">
        <f ca="1">+'Rate Design Sch 25'!$F$17</f>
        <v>0.0625</v>
      </c>
      <c r="H14" s="96">
        <f ca="1">+G14*D14</f>
        <v>93700041.9372169</v>
      </c>
      <c r="I14" s="94">
        <f ca="1">+H14-F14</f>
        <v>3122834.997683555</v>
      </c>
      <c r="J14" s="25">
        <f ca="1">+I14/F14</f>
        <v>0.03447705116109693</v>
      </c>
    </row>
    <row r="15" spans="1:10" ht="12.75">
      <c r="A15" s="83" t="s">
        <v>265</v>
      </c>
      <c r="B15" s="133">
        <f>SUM(B12:B14)</f>
        <v>3047551952.6309</v>
      </c>
      <c r="C15" s="133">
        <f>SUM(C12:C14)</f>
        <v>-529631.9585296367</v>
      </c>
      <c r="D15" s="133">
        <f>SUM(D12:D14)</f>
        <v>3047022320.67237</v>
      </c>
      <c r="E15" s="114"/>
      <c r="F15" s="78">
        <f>SUM(F12:F14)</f>
        <v>211737482.46336085</v>
      </c>
      <c r="G15" s="134"/>
      <c r="H15" s="78">
        <f ca="1">SUM(H12:H14)</f>
        <v>223667583.0784467</v>
      </c>
      <c r="I15" s="120">
        <f ca="1">SUM(I12:I14)</f>
        <v>11930100.615085885</v>
      </c>
      <c r="J15" s="121">
        <f ca="1">+I15/F15</f>
        <v>0.0563438295208326</v>
      </c>
    </row>
    <row r="16" spans="2:6" ht="12.75">
      <c r="B16" s="75"/>
      <c r="C16" s="75"/>
      <c r="D16" s="75"/>
      <c r="F16" s="94"/>
    </row>
    <row r="17" spans="1:10" ht="12.75">
      <c r="A17" s="76" t="s">
        <v>113</v>
      </c>
      <c r="B17" s="118">
        <v>6636130.95</v>
      </c>
      <c r="C17" s="118"/>
      <c r="D17" s="118">
        <f>+B17</f>
        <v>6636130.95</v>
      </c>
      <c r="E17" s="114">
        <v>0</v>
      </c>
      <c r="F17" s="96">
        <f>+E17*D17</f>
        <v>0</v>
      </c>
      <c r="G17" s="114">
        <v>0</v>
      </c>
      <c r="H17" s="96">
        <f>+G17*D17</f>
        <v>0</v>
      </c>
      <c r="I17" s="94">
        <f>+H17-F17</f>
        <v>0</v>
      </c>
      <c r="J17" s="116" t="e">
        <f>+I17/F17</f>
        <v>#DIV/0!</v>
      </c>
    </row>
    <row r="18" spans="1:10" ht="12.75">
      <c r="A18" s="83" t="s">
        <v>266</v>
      </c>
      <c r="B18" s="118">
        <v>2383723</v>
      </c>
      <c r="C18" s="118"/>
      <c r="D18" s="118">
        <f>+B18</f>
        <v>2383723</v>
      </c>
      <c r="E18" s="114">
        <v>8.31</v>
      </c>
      <c r="F18" s="96">
        <f>+E18*D18</f>
        <v>19808738.130000003</v>
      </c>
      <c r="G18" s="114">
        <f ca="1">+'Rate Design Sch 25'!$F$28</f>
        <v>8.67</v>
      </c>
      <c r="H18" s="96">
        <f ca="1">+G18*D18</f>
        <v>20666878.41</v>
      </c>
      <c r="I18" s="94">
        <f ca="1">+H18-F18</f>
        <v>858140.2799999975</v>
      </c>
      <c r="J18" s="116">
        <f ca="1">+I18/F18</f>
        <v>0.043321299638989036</v>
      </c>
    </row>
    <row r="19" spans="1:10" ht="12.75">
      <c r="A19" s="83" t="s">
        <v>267</v>
      </c>
      <c r="B19" s="118">
        <v>2266686.158</v>
      </c>
      <c r="C19" s="118"/>
      <c r="D19" s="118">
        <f>+B19</f>
        <v>2266686.158</v>
      </c>
      <c r="E19" s="114">
        <v>5.54</v>
      </c>
      <c r="F19" s="96">
        <f>+E19*D19</f>
        <v>12557441.315319998</v>
      </c>
      <c r="G19" s="114">
        <f ca="1">+'Rate Design Sch 25'!$F$29</f>
        <v>5.78</v>
      </c>
      <c r="H19" s="96">
        <f ca="1">+G19*D19</f>
        <v>13101445.993239999</v>
      </c>
      <c r="I19" s="94">
        <f ca="1">+H19-F19</f>
        <v>544004.6779200006</v>
      </c>
      <c r="J19" s="116">
        <f ca="1">+I19/F19</f>
        <v>0.04332129963898922</v>
      </c>
    </row>
    <row r="20" spans="1:10" ht="12.75">
      <c r="A20" s="83" t="s">
        <v>268</v>
      </c>
      <c r="B20" s="133">
        <f>SUM(B17:B19)</f>
        <v>11286540.108</v>
      </c>
      <c r="C20" s="133"/>
      <c r="D20" s="133">
        <f>SUM(D17:D19)</f>
        <v>11286540.108</v>
      </c>
      <c r="E20" s="114"/>
      <c r="F20" s="78">
        <f>SUM(F18:F19)</f>
        <v>32366179.445320003</v>
      </c>
      <c r="G20" s="134"/>
      <c r="H20" s="78">
        <f ca="1">SUM(H18:H19)</f>
        <v>33768324.403239995</v>
      </c>
      <c r="I20" s="78">
        <f ca="1">SUM(I18:I19)</f>
        <v>1402144.957919998</v>
      </c>
      <c r="J20" s="117">
        <f ca="1">+I20/F20</f>
        <v>0.043321299638989105</v>
      </c>
    </row>
    <row r="21" spans="2:10" ht="12.75">
      <c r="B21" s="80"/>
      <c r="C21" s="80"/>
      <c r="D21" s="80"/>
      <c r="F21" s="81"/>
      <c r="H21" s="81"/>
      <c r="I21" s="81"/>
      <c r="J21" s="119"/>
    </row>
    <row r="22" spans="1:10" ht="12.75">
      <c r="A22" s="83" t="s">
        <v>269</v>
      </c>
      <c r="B22" s="133">
        <v>983442054.2900002</v>
      </c>
      <c r="C22" s="133"/>
      <c r="D22" s="133">
        <f>+B22</f>
        <v>983442054.2900002</v>
      </c>
      <c r="E22" s="135">
        <v>0.00265</v>
      </c>
      <c r="F22" s="78">
        <f>+E22*D22</f>
        <v>2606121.4438685006</v>
      </c>
      <c r="G22" s="135">
        <f ca="1">+'Rate Design Sch 25'!$F$32</f>
        <v>0.00273</v>
      </c>
      <c r="H22" s="78">
        <f ca="1">+G22*D22</f>
        <v>2684796.8082117005</v>
      </c>
      <c r="I22" s="120">
        <f ca="1">+H22-F22</f>
        <v>78675.36434319988</v>
      </c>
      <c r="J22" s="117">
        <f ca="1">+I22/F22</f>
        <v>0.030188679245282964</v>
      </c>
    </row>
    <row r="23" ht="12.75">
      <c r="D23" s="75"/>
    </row>
    <row r="24" spans="1:10" ht="12.75">
      <c r="A24" s="76" t="s">
        <v>252</v>
      </c>
      <c r="D24" s="133">
        <f>+D15</f>
        <v>3047022320.67237</v>
      </c>
      <c r="E24" s="97">
        <v>0.003115</v>
      </c>
      <c r="F24" s="78">
        <f>+E24*D24</f>
        <v>9491474.528894434</v>
      </c>
      <c r="G24" s="97">
        <v>0</v>
      </c>
      <c r="H24" s="78">
        <f>+G24*D24</f>
        <v>0</v>
      </c>
      <c r="I24" s="120">
        <f>+H24-F24</f>
        <v>-9491474.528894434</v>
      </c>
      <c r="J24" s="117">
        <f>+I24/F24</f>
        <v>-1</v>
      </c>
    </row>
    <row r="25" ht="12.75">
      <c r="D25" s="75"/>
    </row>
    <row r="26" spans="1:10" ht="12.75">
      <c r="A26" s="76" t="s">
        <v>253</v>
      </c>
      <c r="D26" s="77">
        <v>12847740</v>
      </c>
      <c r="E26" s="97">
        <v>0.080694715599667</v>
      </c>
      <c r="F26" s="78">
        <f>+E26*D26</f>
        <v>1036744.7253984656</v>
      </c>
      <c r="G26" s="97">
        <f ca="1">+'Rate Design Sch 25'!$F$23</f>
        <v>0.082995</v>
      </c>
      <c r="H26" s="78">
        <f ca="1">+G26*D26</f>
        <v>1066298.1813</v>
      </c>
      <c r="I26" s="120">
        <f ca="1">+H26-F26</f>
        <v>29553.455901534413</v>
      </c>
      <c r="J26" s="121">
        <f ca="1">+I26/F26</f>
        <v>0.02850601037798938</v>
      </c>
    </row>
    <row r="27" ht="12.75">
      <c r="D27" s="75"/>
    </row>
    <row r="28" spans="1:10" ht="13.5" thickBot="1">
      <c r="A28" s="62" t="s">
        <v>77</v>
      </c>
      <c r="D28" s="95">
        <f>+D15+D26</f>
        <v>3059870060.67237</v>
      </c>
      <c r="F28" s="122">
        <f>SUM(F22,F20,F15,F10,F24,F26)</f>
        <v>259771628.2068422</v>
      </c>
      <c r="H28" s="122">
        <f ca="1">SUM(H22,H20,H15,H10,H24,H26)</f>
        <v>267148474.4711984</v>
      </c>
      <c r="I28" s="122">
        <f ca="1">SUM(I22,I20,I15,I10,I24,I26)</f>
        <v>7376846.264356184</v>
      </c>
      <c r="J28" s="123">
        <f ca="1">+I28/F28</f>
        <v>0.028397428600179526</v>
      </c>
    </row>
    <row r="29" ht="13.5" thickTop="1"/>
    <row r="30" spans="1:8" ht="12.75" hidden="1">
      <c r="A30" s="62" t="s">
        <v>127</v>
      </c>
      <c r="D30" s="75"/>
      <c r="F30" s="96">
        <v>258734883.4814438</v>
      </c>
      <c r="H30" s="96">
        <f ca="1">+'Rate Design Sch 25'!$H$38-'Secondary Sch 29'!H30</f>
        <v>267150203.51930884</v>
      </c>
    </row>
    <row r="31" spans="1:8" ht="12.75" hidden="1">
      <c r="A31" s="62" t="s">
        <v>127</v>
      </c>
      <c r="F31" s="94">
        <f>+F30-(F28-F26)</f>
        <v>0</v>
      </c>
      <c r="H31" s="94">
        <f ca="1">+H30-H28</f>
        <v>1729.0481104254723</v>
      </c>
    </row>
    <row r="32" ht="12.75" hidden="1"/>
    <row r="33" ht="12.75" hidden="1">
      <c r="F33" s="131"/>
    </row>
    <row r="34" ht="12.75" hidden="1"/>
    <row r="35" spans="1:6" ht="12.75" hidden="1">
      <c r="A35" s="83" t="str">
        <f ca="1">+'Residential Sch 7'!$A$29</f>
        <v>Schedule 95 Effective 9-1-07</v>
      </c>
      <c r="E35" s="97">
        <f>+E24</f>
        <v>0.003115</v>
      </c>
      <c r="F35" s="96">
        <f>+E35*$D$15</f>
        <v>9491474.528894434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A1" sqref="A1:IV65536"/>
    </sheetView>
  </sheetViews>
  <sheetFormatPr defaultColWidth="9.140625" defaultRowHeight="12.75"/>
  <cols>
    <col min="1" max="1" width="25.7109375" style="62" bestFit="1" customWidth="1"/>
    <col min="2" max="2" width="14.00390625" style="62" bestFit="1" customWidth="1"/>
    <col min="3" max="3" width="11.28125" style="62" bestFit="1" customWidth="1"/>
    <col min="4" max="4" width="16.57421875" style="62" bestFit="1" customWidth="1"/>
    <col min="5" max="5" width="10.7109375" style="62" bestFit="1" customWidth="1"/>
    <col min="6" max="6" width="13.421875" style="62" bestFit="1" customWidth="1"/>
    <col min="7" max="7" width="10.7109375" style="62" bestFit="1" customWidth="1"/>
    <col min="8" max="8" width="13.421875" style="62" bestFit="1" customWidth="1"/>
    <col min="9" max="9" width="12.8515625" style="62" bestFit="1" customWidth="1"/>
    <col min="10" max="10" width="7.8515625" style="62" bestFit="1" customWidth="1"/>
    <col min="11" max="16384" width="9.140625" style="62" customWidth="1"/>
  </cols>
  <sheetData>
    <row r="1" spans="1:10" ht="12.75">
      <c r="A1" s="61" t="str">
        <f ca="1">+'Residential Sch 7'!A1</f>
        <v>Puget Sound Energy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 t="str">
        <f ca="1">+'Residential Sch 7'!A2</f>
        <v>Proforma and Proposed Revenue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tr">
        <f ca="1">+'Residential Sch 7'!A3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1" t="s">
        <v>270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2.75">
      <c r="A5" s="61" t="s">
        <v>271</v>
      </c>
      <c r="B5" s="61"/>
      <c r="C5" s="61"/>
      <c r="D5" s="61"/>
      <c r="E5" s="61"/>
      <c r="F5" s="61"/>
      <c r="G5" s="61"/>
      <c r="H5" s="61"/>
      <c r="I5" s="61"/>
      <c r="J5" s="61"/>
    </row>
    <row r="7" spans="2:10" ht="12.75">
      <c r="B7" s="98" t="s">
        <v>238</v>
      </c>
      <c r="C7" s="99"/>
      <c r="D7" s="100"/>
      <c r="E7" s="101" t="str">
        <f ca="1">+'Residential Sch 7'!E7</f>
        <v>Proforma</v>
      </c>
      <c r="F7" s="102"/>
      <c r="G7" s="103" t="str">
        <f ca="1">+'Residential Sch 7'!G7</f>
        <v>Proposed</v>
      </c>
      <c r="H7" s="102"/>
      <c r="I7" s="104"/>
      <c r="J7" s="104"/>
    </row>
    <row r="8" spans="3:10" ht="12.75">
      <c r="C8" s="93" t="s">
        <v>239</v>
      </c>
      <c r="D8" s="105"/>
      <c r="E8" s="136" t="str">
        <f ca="1">+'Residential Sch 7'!E8</f>
        <v>Rates Effective 9-1-07</v>
      </c>
      <c r="F8" s="109"/>
      <c r="G8" s="108" t="str">
        <f ca="1">+'Residential Sch 7'!G8</f>
        <v>Rates Effective 2008</v>
      </c>
      <c r="H8" s="109"/>
      <c r="I8" s="110" t="str">
        <f ca="1">+'Residential Sch 7'!I8</f>
        <v>Differences</v>
      </c>
      <c r="J8" s="111"/>
    </row>
    <row r="9" spans="1:10" ht="12.75">
      <c r="A9" s="112"/>
      <c r="B9" s="112"/>
      <c r="C9" s="112" t="s">
        <v>243</v>
      </c>
      <c r="D9" s="112" t="s">
        <v>244</v>
      </c>
      <c r="E9" s="110" t="str">
        <f ca="1">+'Residential Sch 7'!E9</f>
        <v>Charge</v>
      </c>
      <c r="F9" s="111" t="str">
        <f ca="1">+'Residential Sch 7'!F9</f>
        <v>Revenue</v>
      </c>
      <c r="G9" s="113" t="str">
        <f ca="1">+'Residential Sch 7'!G9</f>
        <v>Charge</v>
      </c>
      <c r="H9" s="111" t="str">
        <f ca="1">+'Residential Sch 7'!H9</f>
        <v>Revenue</v>
      </c>
      <c r="I9" s="113" t="str">
        <f ca="1">+'Residential Sch 7'!I9</f>
        <v>$</v>
      </c>
      <c r="J9" s="111" t="str">
        <f ca="1">+'Residential Sch 7'!J9</f>
        <v>%</v>
      </c>
    </row>
    <row r="10" spans="1:10" ht="12.75">
      <c r="A10" s="62" t="s">
        <v>64</v>
      </c>
      <c r="B10" s="133">
        <v>9387</v>
      </c>
      <c r="C10" s="133"/>
      <c r="D10" s="133">
        <f>SUM(B10:C10)</f>
        <v>9387</v>
      </c>
      <c r="E10" s="114">
        <v>48</v>
      </c>
      <c r="F10" s="78">
        <f>+E10*D10</f>
        <v>450576</v>
      </c>
      <c r="G10" s="115">
        <f ca="1">+'Rate Design Sch 26'!$F$7</f>
        <v>135</v>
      </c>
      <c r="H10" s="78">
        <f ca="1">+G10*D10</f>
        <v>1267245</v>
      </c>
      <c r="I10" s="120">
        <f ca="1">+H10-F10</f>
        <v>816669</v>
      </c>
      <c r="J10" s="117">
        <f ca="1">+I10/F10</f>
        <v>1.8125</v>
      </c>
    </row>
    <row r="11" spans="6:8" ht="12.75">
      <c r="F11" s="96"/>
      <c r="H11" s="96"/>
    </row>
    <row r="12" spans="1:10" ht="12.75">
      <c r="A12" s="83" t="s">
        <v>265</v>
      </c>
      <c r="B12" s="77">
        <v>2079689442.06</v>
      </c>
      <c r="C12" s="77">
        <v>8749920.44027593</v>
      </c>
      <c r="D12" s="133">
        <f>SUM(B12:C12)</f>
        <v>2088439362.5002759</v>
      </c>
      <c r="E12" s="97">
        <v>0.057795</v>
      </c>
      <c r="F12" s="78">
        <f>+E12*D12</f>
        <v>120701352.95570344</v>
      </c>
      <c r="G12" s="97">
        <f ca="1">+'Rate Design Sch 26'!$F$12</f>
        <v>0.061087999999999996</v>
      </c>
      <c r="H12" s="78">
        <f ca="1">+G12*D12</f>
        <v>127578583.77641684</v>
      </c>
      <c r="I12" s="120">
        <f ca="1">+H12-F12</f>
        <v>6877230.820713401</v>
      </c>
      <c r="J12" s="121">
        <f ca="1">+I12/F12</f>
        <v>0.05697724716670986</v>
      </c>
    </row>
    <row r="13" spans="2:4" ht="12.75">
      <c r="B13" s="75"/>
      <c r="C13" s="75"/>
      <c r="D13" s="75"/>
    </row>
    <row r="14" spans="1:10" ht="12.75">
      <c r="A14" s="83" t="s">
        <v>272</v>
      </c>
      <c r="B14" s="118">
        <v>2361739.33</v>
      </c>
      <c r="C14" s="118"/>
      <c r="D14" s="118">
        <f>SUM(B14:C14)</f>
        <v>2361739.33</v>
      </c>
      <c r="E14" s="114">
        <v>7.5</v>
      </c>
      <c r="F14" s="96">
        <f>+E14*D14</f>
        <v>17713044.975</v>
      </c>
      <c r="G14" s="114">
        <f ca="1">+'Rate Design Sch 26'!$F$19</f>
        <v>8.22</v>
      </c>
      <c r="H14" s="96">
        <f ca="1">+G14*D14</f>
        <v>19413497.292600002</v>
      </c>
      <c r="I14" s="94">
        <f ca="1">+H14-F14</f>
        <v>1700452.3176000006</v>
      </c>
      <c r="J14" s="116">
        <f ca="1">+I14/F14</f>
        <v>0.09600000000000003</v>
      </c>
    </row>
    <row r="15" spans="1:10" ht="12.75">
      <c r="A15" s="83" t="s">
        <v>273</v>
      </c>
      <c r="B15" s="118">
        <v>2466057.47</v>
      </c>
      <c r="C15" s="118"/>
      <c r="D15" s="118">
        <f>SUM(B15:C15)</f>
        <v>2466057.47</v>
      </c>
      <c r="E15" s="114">
        <v>4.99</v>
      </c>
      <c r="F15" s="96">
        <f>+E15*D15</f>
        <v>12305626.775300002</v>
      </c>
      <c r="G15" s="114">
        <f ca="1">+'Rate Design Sch 26'!$F$20</f>
        <v>5.47</v>
      </c>
      <c r="H15" s="96">
        <f ca="1">+G15*D15</f>
        <v>13489334.3609</v>
      </c>
      <c r="I15" s="94">
        <f ca="1">+H15-F15</f>
        <v>1183707.585599998</v>
      </c>
      <c r="J15" s="116">
        <f ca="1">+I15/F15</f>
        <v>0.0961923847695389</v>
      </c>
    </row>
    <row r="16" spans="1:10" ht="12.75">
      <c r="A16" s="83" t="s">
        <v>268</v>
      </c>
      <c r="B16" s="77">
        <f>SUM(B14:B15)</f>
        <v>4827796.800000001</v>
      </c>
      <c r="C16" s="77">
        <f>SUM(C14:C15)</f>
        <v>0</v>
      </c>
      <c r="D16" s="77">
        <f>SUM(B16:C16)</f>
        <v>4827796.800000001</v>
      </c>
      <c r="F16" s="78">
        <f>SUM(F14:F15)</f>
        <v>30018671.750300005</v>
      </c>
      <c r="H16" s="78">
        <f ca="1">SUM(H14:H15)</f>
        <v>32902831.653500002</v>
      </c>
      <c r="I16" s="78">
        <f ca="1">SUM(I14:I15)</f>
        <v>2884159.9031999987</v>
      </c>
      <c r="J16" s="117">
        <f ca="1">+I16/F16</f>
        <v>0.0960788647542733</v>
      </c>
    </row>
    <row r="17" spans="2:10" ht="12.75">
      <c r="B17" s="80"/>
      <c r="C17" s="80"/>
      <c r="D17" s="80"/>
      <c r="F17" s="81"/>
      <c r="H17" s="81"/>
      <c r="I17" s="81"/>
      <c r="J17" s="119"/>
    </row>
    <row r="18" spans="1:10" ht="12.75">
      <c r="A18" s="83" t="s">
        <v>269</v>
      </c>
      <c r="B18" s="133">
        <v>988805243.3100001</v>
      </c>
      <c r="C18" s="133"/>
      <c r="D18" s="77">
        <f>SUM(B18:C18)</f>
        <v>988805243.3100001</v>
      </c>
      <c r="E18" s="135">
        <v>0.00115</v>
      </c>
      <c r="F18" s="78">
        <f>+E18*D18</f>
        <v>1137126.0298065</v>
      </c>
      <c r="G18" s="135">
        <f ca="1">+'Rate Design Sch 26'!$F$23</f>
        <v>0.00118</v>
      </c>
      <c r="H18" s="78">
        <f ca="1">+G18*D18</f>
        <v>1166790.1871058</v>
      </c>
      <c r="I18" s="120">
        <f ca="1">+H18-F18</f>
        <v>29664.157299299957</v>
      </c>
      <c r="J18" s="117">
        <f ca="1">+I18/F18</f>
        <v>0.02608695652173909</v>
      </c>
    </row>
    <row r="19" spans="1:10" ht="12.75">
      <c r="A19" s="83"/>
      <c r="B19" s="137"/>
      <c r="C19" s="137"/>
      <c r="D19" s="80"/>
      <c r="E19" s="135"/>
      <c r="F19" s="81"/>
      <c r="G19" s="135"/>
      <c r="H19" s="81"/>
      <c r="I19" s="138"/>
      <c r="J19" s="119"/>
    </row>
    <row r="20" spans="1:10" ht="12.75">
      <c r="A20" s="76" t="s">
        <v>252</v>
      </c>
      <c r="B20" s="75"/>
      <c r="C20" s="75"/>
      <c r="D20" s="77">
        <f>+D12</f>
        <v>2088439362.5002759</v>
      </c>
      <c r="E20" s="97">
        <v>0.002918</v>
      </c>
      <c r="F20" s="78">
        <f>+E20*D20</f>
        <v>6094066.059775805</v>
      </c>
      <c r="G20" s="97">
        <v>0</v>
      </c>
      <c r="H20" s="78">
        <f>+G20*D20</f>
        <v>0</v>
      </c>
      <c r="I20" s="120">
        <f>+H20-F20</f>
        <v>-6094066.059775805</v>
      </c>
      <c r="J20" s="117">
        <f>+I20/F20</f>
        <v>-1</v>
      </c>
    </row>
    <row r="21" ht="12.75">
      <c r="D21" s="75"/>
    </row>
    <row r="22" spans="1:10" ht="12.75">
      <c r="A22" s="76" t="s">
        <v>274</v>
      </c>
      <c r="B22" s="75"/>
      <c r="C22" s="75"/>
      <c r="D22" s="77">
        <v>9136102</v>
      </c>
      <c r="E22" s="97">
        <v>0.0729303897635715</v>
      </c>
      <c r="F22" s="78">
        <f>+E22*D22</f>
        <v>666299.4797797451</v>
      </c>
      <c r="G22" s="97">
        <f ca="1">+'Rate Design Sch 26'!$F$14</f>
        <v>0.07501</v>
      </c>
      <c r="H22" s="78">
        <f ca="1">+G22*D22</f>
        <v>685299.01102</v>
      </c>
      <c r="I22" s="120">
        <f ca="1">+H22-F22</f>
        <v>18999.531240254873</v>
      </c>
      <c r="J22" s="121">
        <f ca="1">+I22/F22</f>
        <v>0.028515002362804548</v>
      </c>
    </row>
    <row r="23" ht="12.75">
      <c r="D23" s="75"/>
    </row>
    <row r="24" spans="1:10" ht="13.5" thickBot="1">
      <c r="A24" s="62" t="s">
        <v>77</v>
      </c>
      <c r="D24" s="95">
        <f>+D22+D12</f>
        <v>2097575464.5002759</v>
      </c>
      <c r="F24" s="122">
        <f>SUM(F18,F16,F12,F10,F20,F22)</f>
        <v>159068092.2753655</v>
      </c>
      <c r="H24" s="122">
        <f ca="1">SUM(H18,H16,H12,H10,H20,H22)</f>
        <v>163600749.62804264</v>
      </c>
      <c r="I24" s="122">
        <f ca="1">SUM(I18,I16,I12,I10,I20,I22)</f>
        <v>4532657.35267715</v>
      </c>
      <c r="J24" s="123">
        <f ca="1">+I24/F24</f>
        <v>0.0284950758372747</v>
      </c>
    </row>
    <row r="25" ht="13.5" thickTop="1"/>
    <row r="26" spans="1:8" ht="12.75" hidden="1">
      <c r="A26" s="62" t="s">
        <v>127</v>
      </c>
      <c r="F26" s="96">
        <v>158401792.79558575</v>
      </c>
      <c r="H26" s="96">
        <f ca="1">+'Rate Spread'!$J$14</f>
        <v>163603048.99401486</v>
      </c>
    </row>
    <row r="27" spans="1:8" ht="12.75" hidden="1">
      <c r="A27" s="62" t="s">
        <v>127</v>
      </c>
      <c r="F27" s="94">
        <f>+F26-(F24-F22)</f>
        <v>0</v>
      </c>
      <c r="H27" s="94">
        <f ca="1">+H26-H24</f>
        <v>2299.3659722208977</v>
      </c>
    </row>
    <row r="28" ht="12.75" hidden="1"/>
    <row r="29" ht="12.75" hidden="1"/>
    <row r="30" spans="1:6" ht="12.75" hidden="1">
      <c r="A30" s="83" t="str">
        <f ca="1">+'Residential Sch 7'!$A$29</f>
        <v>Schedule 95 Effective 9-1-07</v>
      </c>
      <c r="E30" s="97">
        <f>+E20</f>
        <v>0.002918</v>
      </c>
      <c r="F30" s="96">
        <f>+E30*$D$12</f>
        <v>6094066.059775805</v>
      </c>
    </row>
  </sheetData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B8">
      <selection activeCell="G10" sqref="G10"/>
    </sheetView>
  </sheetViews>
  <sheetFormatPr defaultColWidth="9.140625" defaultRowHeight="12.75"/>
  <cols>
    <col min="1" max="1" width="26.7109375" style="62" bestFit="1" customWidth="1"/>
    <col min="2" max="3" width="11.28125" style="62" bestFit="1" customWidth="1"/>
    <col min="4" max="4" width="14.00390625" style="62" bestFit="1" customWidth="1"/>
    <col min="5" max="5" width="11.7109375" style="62" bestFit="1" customWidth="1"/>
    <col min="6" max="6" width="13.421875" style="62" bestFit="1" customWidth="1"/>
    <col min="7" max="8" width="11.28125" style="62" bestFit="1" customWidth="1"/>
    <col min="9" max="9" width="9.7109375" style="62" bestFit="1" customWidth="1"/>
    <col min="10" max="10" width="7.8515625" style="62" bestFit="1" customWidth="1"/>
    <col min="11" max="16384" width="9.140625" style="62" customWidth="1"/>
  </cols>
  <sheetData>
    <row r="1" spans="1:10" ht="12.75">
      <c r="A1" s="61" t="str">
        <f ca="1">+'Residential Sch 7'!A1</f>
        <v>Puget Sound Energy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 t="str">
        <f ca="1">+'Residential Sch 7'!A2</f>
        <v>Proforma and Proposed Revenue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tr">
        <f ca="1">+'Residential Sch 7'!A3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1" t="s">
        <v>275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2.75">
      <c r="A5" s="61" t="s">
        <v>276</v>
      </c>
      <c r="B5" s="61"/>
      <c r="C5" s="61"/>
      <c r="D5" s="61"/>
      <c r="E5" s="61"/>
      <c r="F5" s="61"/>
      <c r="G5" s="61"/>
      <c r="H5" s="61"/>
      <c r="I5" s="61"/>
      <c r="J5" s="61"/>
    </row>
    <row r="7" spans="2:10" ht="12.75">
      <c r="B7" s="98" t="s">
        <v>238</v>
      </c>
      <c r="C7" s="99"/>
      <c r="D7" s="100"/>
      <c r="E7" s="101" t="str">
        <f ca="1">+'Residential Sch 7'!E7</f>
        <v>Proforma</v>
      </c>
      <c r="F7" s="102"/>
      <c r="G7" s="103" t="str">
        <f ca="1">+'Residential Sch 7'!G7</f>
        <v>Proposed</v>
      </c>
      <c r="H7" s="102"/>
      <c r="I7" s="104"/>
      <c r="J7" s="104"/>
    </row>
    <row r="8" spans="3:10" ht="12.75">
      <c r="C8" s="93" t="s">
        <v>239</v>
      </c>
      <c r="D8" s="105"/>
      <c r="E8" s="132" t="str">
        <f ca="1">+'Residential Sch 7'!E8</f>
        <v>Rates Effective 9-1-07</v>
      </c>
      <c r="F8" s="109"/>
      <c r="G8" s="108" t="str">
        <f ca="1">+'Residential Sch 7'!G8</f>
        <v>Rates Effective 2008</v>
      </c>
      <c r="H8" s="109"/>
      <c r="I8" s="110" t="str">
        <f ca="1">+'Residential Sch 7'!I8</f>
        <v>Differences</v>
      </c>
      <c r="J8" s="111"/>
    </row>
    <row r="9" spans="1:10" ht="12.75">
      <c r="A9" s="112"/>
      <c r="B9" s="112"/>
      <c r="C9" s="112" t="s">
        <v>243</v>
      </c>
      <c r="D9" s="112" t="s">
        <v>244</v>
      </c>
      <c r="E9" s="110" t="str">
        <f ca="1">+'Residential Sch 7'!E9</f>
        <v>Charge</v>
      </c>
      <c r="F9" s="111" t="str">
        <f ca="1">+'Residential Sch 7'!F9</f>
        <v>Revenue</v>
      </c>
      <c r="G9" s="113" t="str">
        <f ca="1">+'Residential Sch 7'!G9</f>
        <v>Charge</v>
      </c>
      <c r="H9" s="111" t="str">
        <f ca="1">+'Residential Sch 7'!H9</f>
        <v>Revenue</v>
      </c>
      <c r="I9" s="113" t="str">
        <f ca="1">+'Residential Sch 7'!I9</f>
        <v>$</v>
      </c>
      <c r="J9" s="111" t="str">
        <f ca="1">+'Residential Sch 7'!J9</f>
        <v>%</v>
      </c>
    </row>
    <row r="10" spans="1:10" ht="12.75">
      <c r="A10" s="83" t="s">
        <v>249</v>
      </c>
      <c r="B10" s="72">
        <v>2769</v>
      </c>
      <c r="C10" s="72"/>
      <c r="D10" s="72">
        <f>SUM(B10:C10)</f>
        <v>2769</v>
      </c>
      <c r="E10" s="114">
        <v>6.8</v>
      </c>
      <c r="F10" s="96">
        <f>+E10*D10</f>
        <v>18829.2</v>
      </c>
      <c r="G10" s="115">
        <f ca="1">+'Rate Design Sch 29'!$F$8</f>
        <v>8.73</v>
      </c>
      <c r="H10" s="96">
        <f ca="1">+G10*D10</f>
        <v>24173.370000000003</v>
      </c>
      <c r="I10" s="94">
        <f ca="1">+H10-F10</f>
        <v>5344.170000000002</v>
      </c>
      <c r="J10" s="116">
        <f ca="1">+I10/F10</f>
        <v>0.2838235294117648</v>
      </c>
    </row>
    <row r="11" spans="1:10" ht="12.75">
      <c r="A11" s="62" t="s">
        <v>250</v>
      </c>
      <c r="B11" s="72">
        <v>5595</v>
      </c>
      <c r="C11" s="72"/>
      <c r="D11" s="72">
        <f>SUM(B11:C11)</f>
        <v>5595</v>
      </c>
      <c r="E11" s="114">
        <v>16.79</v>
      </c>
      <c r="F11" s="96">
        <f>+E11*D11</f>
        <v>93940.04999999999</v>
      </c>
      <c r="G11" s="134">
        <f ca="1">+'Rate Design Sch 29'!$F$9</f>
        <v>21.619999999999997</v>
      </c>
      <c r="H11" s="96">
        <f ca="1">+G11*D11</f>
        <v>120963.89999999998</v>
      </c>
      <c r="I11" s="94">
        <f ca="1">+H11-F11</f>
        <v>27023.84999999999</v>
      </c>
      <c r="J11" s="116">
        <f ca="1">+I11/F11</f>
        <v>0.28767123287671226</v>
      </c>
    </row>
    <row r="12" spans="1:10" ht="12.75">
      <c r="A12" s="62" t="s">
        <v>64</v>
      </c>
      <c r="B12" s="133">
        <f>SUM(B10:B11)</f>
        <v>8364</v>
      </c>
      <c r="C12" s="133"/>
      <c r="D12" s="133">
        <f>SUM(D10:D11)</f>
        <v>8364</v>
      </c>
      <c r="E12" s="114"/>
      <c r="F12" s="78">
        <f>SUM(F10:F11)</f>
        <v>112769.24999999999</v>
      </c>
      <c r="G12" s="114"/>
      <c r="H12" s="78">
        <f ca="1">SUM(H10:H11)</f>
        <v>145137.27</v>
      </c>
      <c r="I12" s="78">
        <f ca="1">SUM(I10:I11)</f>
        <v>32368.019999999993</v>
      </c>
      <c r="J12" s="117">
        <f ca="1">+I12/F12</f>
        <v>0.28702877779181823</v>
      </c>
    </row>
    <row r="13" spans="6:8" ht="12.75">
      <c r="F13" s="96"/>
      <c r="H13" s="96"/>
    </row>
    <row r="14" spans="1:10" ht="12.75">
      <c r="A14" s="62" t="s">
        <v>262</v>
      </c>
      <c r="B14" s="118">
        <v>2098763.1476</v>
      </c>
      <c r="C14" s="118"/>
      <c r="D14" s="72">
        <f>SUM(B14:C14)</f>
        <v>2098763.1476</v>
      </c>
      <c r="E14" s="97">
        <v>0.081732</v>
      </c>
      <c r="F14" s="96">
        <f>+E14*D14</f>
        <v>171536.10957964318</v>
      </c>
      <c r="G14" s="97">
        <f ca="1">+'Rate Design Sch 29'!$F$14</f>
        <v>0.087584</v>
      </c>
      <c r="H14" s="96">
        <f ca="1">+G14*D14</f>
        <v>183818.07151939836</v>
      </c>
      <c r="I14" s="94">
        <f ca="1">+H14-F14</f>
        <v>12281.961939755187</v>
      </c>
      <c r="J14" s="25">
        <f ca="1">+I14/F14</f>
        <v>0.07159986296676937</v>
      </c>
    </row>
    <row r="15" spans="1:10" ht="12.75">
      <c r="A15" s="83" t="s">
        <v>277</v>
      </c>
      <c r="B15" s="118">
        <v>112240.4688</v>
      </c>
      <c r="C15" s="118">
        <v>-2796</v>
      </c>
      <c r="D15" s="72">
        <f>SUM(B15:C15)</f>
        <v>109444.4688</v>
      </c>
      <c r="E15" s="97">
        <v>0.06486</v>
      </c>
      <c r="F15" s="96">
        <f>+E15*D15</f>
        <v>7098.5682463680005</v>
      </c>
      <c r="G15" s="97">
        <f ca="1">+'Rate Design Sch 29'!$F$18</f>
        <v>0.067426</v>
      </c>
      <c r="H15" s="96">
        <f ca="1">+G15*D15</f>
        <v>7379.4027533088</v>
      </c>
      <c r="I15" s="94">
        <f ca="1">+H15-F15</f>
        <v>280.83450694079966</v>
      </c>
      <c r="J15" s="25">
        <f ca="1">+I15/F15</f>
        <v>0.03956213382670362</v>
      </c>
    </row>
    <row r="16" spans="1:10" ht="12.75">
      <c r="A16" s="62" t="s">
        <v>263</v>
      </c>
      <c r="B16" s="118">
        <v>11933176.224100001</v>
      </c>
      <c r="C16" s="118"/>
      <c r="D16" s="72">
        <f>SUM(B16:C16)</f>
        <v>11933176.224100001</v>
      </c>
      <c r="E16" s="97">
        <v>0.057121</v>
      </c>
      <c r="F16" s="96">
        <f>+E16*D16</f>
        <v>681634.9590968161</v>
      </c>
      <c r="G16" s="97">
        <f ca="1">+'Rate Design Sch 29'!$F$15</f>
        <v>0.061389</v>
      </c>
      <c r="H16" s="96">
        <f ca="1">+G16*D16</f>
        <v>732565.7552212749</v>
      </c>
      <c r="I16" s="94">
        <f ca="1">+H16-F16</f>
        <v>50930.79612445878</v>
      </c>
      <c r="J16" s="25">
        <f ca="1">+I16/F16</f>
        <v>0.07471857985679518</v>
      </c>
    </row>
    <row r="17" spans="1:10" ht="12.75">
      <c r="A17" s="83" t="s">
        <v>278</v>
      </c>
      <c r="B17" s="118">
        <v>661158.7308</v>
      </c>
      <c r="C17" s="118">
        <v>-16544</v>
      </c>
      <c r="D17" s="72">
        <f>SUM(B17:C17)</f>
        <v>644614.7308</v>
      </c>
      <c r="E17" s="97">
        <v>0.050493</v>
      </c>
      <c r="F17" s="96">
        <f>+E17*D17</f>
        <v>32548.5316022844</v>
      </c>
      <c r="G17" s="97">
        <f ca="1">+'Rate Design Sch 29'!$F$19</f>
        <v>0.053059</v>
      </c>
      <c r="H17" s="96">
        <f ca="1">+G17*D17</f>
        <v>34202.6130015172</v>
      </c>
      <c r="I17" s="94">
        <f ca="1">+H17-F17</f>
        <v>1654.0813992328003</v>
      </c>
      <c r="J17" s="25">
        <f ca="1">+I17/F17</f>
        <v>0.050818925395599394</v>
      </c>
    </row>
    <row r="18" spans="1:10" ht="12.75">
      <c r="A18" s="83" t="s">
        <v>265</v>
      </c>
      <c r="B18" s="77">
        <f>SUM(B14:B17)</f>
        <v>14805338.5713</v>
      </c>
      <c r="C18" s="77">
        <f>SUM(C14:C17)</f>
        <v>-19340</v>
      </c>
      <c r="D18" s="77">
        <f>SUM(D14:D17)</f>
        <v>14785998.5713</v>
      </c>
      <c r="F18" s="78">
        <f>SUM(F14:F17)</f>
        <v>892818.1685251117</v>
      </c>
      <c r="H18" s="78">
        <f ca="1">SUM(H14:H17)</f>
        <v>957965.8424954993</v>
      </c>
      <c r="I18" s="78">
        <f ca="1">SUM(I14:I17)</f>
        <v>65147.673970387565</v>
      </c>
      <c r="J18" s="121">
        <f ca="1">+I18/F18</f>
        <v>0.07296858001669933</v>
      </c>
    </row>
    <row r="19" spans="2:8" ht="12.75">
      <c r="B19" s="75"/>
      <c r="C19" s="75"/>
      <c r="D19" s="75"/>
      <c r="H19" s="20"/>
    </row>
    <row r="20" spans="1:10" ht="12.75">
      <c r="A20" s="83" t="s">
        <v>266</v>
      </c>
      <c r="B20" s="118">
        <v>4652</v>
      </c>
      <c r="C20" s="118"/>
      <c r="D20" s="72">
        <f>SUM(B20:C20)</f>
        <v>4652</v>
      </c>
      <c r="E20" s="114">
        <v>8.55</v>
      </c>
      <c r="F20" s="96">
        <f>+E20*D20</f>
        <v>39774.600000000006</v>
      </c>
      <c r="G20" s="114">
        <f ca="1">+'Rate Design Sch 29'!$F$30</f>
        <v>8.55</v>
      </c>
      <c r="H20" s="96">
        <f ca="1">+G20*D20</f>
        <v>39774.600000000006</v>
      </c>
      <c r="I20" s="94">
        <f ca="1">+H20-F20</f>
        <v>0</v>
      </c>
      <c r="J20" s="116">
        <f ca="1">+I20/F20</f>
        <v>0</v>
      </c>
    </row>
    <row r="21" spans="1:10" ht="12.75">
      <c r="A21" s="83" t="s">
        <v>267</v>
      </c>
      <c r="B21" s="118">
        <v>7778</v>
      </c>
      <c r="C21" s="118"/>
      <c r="D21" s="72">
        <f>SUM(B21:C21)</f>
        <v>7778</v>
      </c>
      <c r="E21" s="114">
        <v>4.21</v>
      </c>
      <c r="F21" s="96">
        <f>+E21*D21</f>
        <v>32745.38</v>
      </c>
      <c r="G21" s="114">
        <f ca="1">+'Rate Design Sch 29'!$F$31</f>
        <v>4.21</v>
      </c>
      <c r="H21" s="96">
        <f ca="1">+G21*D21</f>
        <v>32745.38</v>
      </c>
      <c r="I21" s="94">
        <f ca="1">+H21-F21</f>
        <v>0</v>
      </c>
      <c r="J21" s="116">
        <f ca="1">+I21/F21</f>
        <v>0</v>
      </c>
    </row>
    <row r="22" spans="1:10" ht="12.75">
      <c r="A22" s="83" t="s">
        <v>268</v>
      </c>
      <c r="B22" s="77">
        <f>SUM(B20:B21)</f>
        <v>12430</v>
      </c>
      <c r="C22" s="77"/>
      <c r="D22" s="77">
        <f>SUM(D20:D21)</f>
        <v>12430</v>
      </c>
      <c r="F22" s="78">
        <f>SUM(F20:F21)</f>
        <v>72519.98000000001</v>
      </c>
      <c r="H22" s="78">
        <f ca="1">SUM(H20:H21)</f>
        <v>72519.98000000001</v>
      </c>
      <c r="I22" s="78">
        <f ca="1">SUM(I20:I21)</f>
        <v>0</v>
      </c>
      <c r="J22" s="117">
        <f ca="1">+I22/F22</f>
        <v>0</v>
      </c>
    </row>
    <row r="23" spans="2:10" ht="12.75">
      <c r="B23" s="80"/>
      <c r="C23" s="80"/>
      <c r="D23" s="80"/>
      <c r="F23" s="81"/>
      <c r="H23" s="81"/>
      <c r="I23" s="81"/>
      <c r="J23" s="119"/>
    </row>
    <row r="24" spans="1:10" ht="12.75">
      <c r="A24" s="83" t="s">
        <v>269</v>
      </c>
      <c r="B24" s="133">
        <v>903360</v>
      </c>
      <c r="C24" s="133"/>
      <c r="D24" s="133">
        <f>SUM(B24:C24)</f>
        <v>903360</v>
      </c>
      <c r="E24" s="135">
        <v>0.00272</v>
      </c>
      <c r="F24" s="78">
        <f>+E24*D24</f>
        <v>2457.1392</v>
      </c>
      <c r="G24" s="135">
        <f ca="1">+'Rate Design Sch 29'!$F$34</f>
        <v>0.00272</v>
      </c>
      <c r="H24" s="78">
        <f ca="1">+G24*D24</f>
        <v>2457.1392</v>
      </c>
      <c r="I24" s="120">
        <f ca="1">+H24-F24</f>
        <v>0</v>
      </c>
      <c r="J24" s="117">
        <f ca="1">+I24/F24</f>
        <v>0</v>
      </c>
    </row>
    <row r="25" spans="1:10" ht="12.75">
      <c r="A25" s="83"/>
      <c r="B25" s="137"/>
      <c r="C25" s="137"/>
      <c r="D25" s="137"/>
      <c r="E25" s="135"/>
      <c r="F25" s="81"/>
      <c r="G25" s="135"/>
      <c r="H25" s="81"/>
      <c r="I25" s="138"/>
      <c r="J25" s="119"/>
    </row>
    <row r="26" spans="1:10" ht="12.75">
      <c r="A26" s="76" t="s">
        <v>252</v>
      </c>
      <c r="D26" s="133">
        <f>+D18</f>
        <v>14785998.5713</v>
      </c>
      <c r="E26" s="97">
        <v>0.002566</v>
      </c>
      <c r="F26" s="78">
        <f>+E26*D26</f>
        <v>37940.872333955806</v>
      </c>
      <c r="G26" s="97">
        <v>0</v>
      </c>
      <c r="H26" s="78">
        <f>+G26*D26</f>
        <v>0</v>
      </c>
      <c r="I26" s="120">
        <f>+H26-F26</f>
        <v>-37940.872333955806</v>
      </c>
      <c r="J26" s="117">
        <f>+I26/F26</f>
        <v>-1</v>
      </c>
    </row>
    <row r="27" ht="12.75">
      <c r="D27" s="75"/>
    </row>
    <row r="28" spans="1:10" ht="12.75">
      <c r="A28" s="76" t="s">
        <v>274</v>
      </c>
      <c r="D28" s="77">
        <v>158706</v>
      </c>
      <c r="E28" s="97">
        <v>0.06515087756951293</v>
      </c>
      <c r="F28" s="78">
        <f>+E28*D28</f>
        <v>10339.83517554712</v>
      </c>
      <c r="G28" s="97">
        <f ca="1">+'Rate Design Sch 29'!$F$25</f>
        <v>0.065151</v>
      </c>
      <c r="H28" s="78">
        <f ca="1">+G28*D28</f>
        <v>10339.854606</v>
      </c>
      <c r="I28" s="120">
        <f ca="1">+H28-F28</f>
        <v>0.019430452881351812</v>
      </c>
      <c r="J28" s="121">
        <f ca="1">+I28/F28</f>
        <v>1.8791840054958781E-06</v>
      </c>
    </row>
    <row r="29" ht="12.75">
      <c r="D29" s="75"/>
    </row>
    <row r="30" spans="1:10" ht="13.5" thickBot="1">
      <c r="A30" s="62" t="s">
        <v>77</v>
      </c>
      <c r="D30" s="95">
        <f>SUM(D18,D28)</f>
        <v>14944704.5713</v>
      </c>
      <c r="F30" s="122">
        <f>SUM(F24,F22,F18,F12,F26,F28)</f>
        <v>1128845.2452346145</v>
      </c>
      <c r="H30" s="122">
        <f ca="1">SUM(H24,H22,H18,H12,H26,H28)</f>
        <v>1188420.0863014993</v>
      </c>
      <c r="I30" s="122">
        <f ca="1">SUM(I24,I22,I18,I12,I26,I28)</f>
        <v>59574.84106688463</v>
      </c>
      <c r="J30" s="123">
        <f ca="1">+I30/F30</f>
        <v>0.05277502945454923</v>
      </c>
    </row>
    <row r="31" ht="13.5" thickTop="1"/>
    <row r="32" spans="1:8" ht="12.75" hidden="1">
      <c r="A32" s="62" t="s">
        <v>127</v>
      </c>
      <c r="F32" s="96">
        <v>1118505.4100590674</v>
      </c>
      <c r="H32" s="96">
        <f ca="1">+'Rate Design Sch 29'!$H$36</f>
        <v>1188420.0863014993</v>
      </c>
    </row>
    <row r="33" spans="1:8" ht="12.75" hidden="1">
      <c r="A33" s="62" t="s">
        <v>127</v>
      </c>
      <c r="F33" s="94">
        <f>+F32-(F30-F28)</f>
        <v>0</v>
      </c>
      <c r="H33" s="94">
        <f ca="1">+H32-H30</f>
        <v>0</v>
      </c>
    </row>
    <row r="34" spans="4:9" ht="12.75" hidden="1">
      <c r="D34" s="75"/>
      <c r="H34" s="94"/>
      <c r="I34" s="139"/>
    </row>
    <row r="35" spans="4:9" ht="12.75" hidden="1">
      <c r="D35" s="75"/>
      <c r="F35" s="94"/>
      <c r="H35" s="94"/>
      <c r="I35" s="139"/>
    </row>
    <row r="36" spans="1:6" ht="12.75" hidden="1">
      <c r="A36" s="83" t="str">
        <f ca="1">+'Residential Sch 7'!$A$29</f>
        <v>Schedule 95 Effective 9-1-07</v>
      </c>
      <c r="E36" s="97">
        <f>+E26</f>
        <v>0.002566</v>
      </c>
      <c r="F36" s="96">
        <f>+E36*$D$18</f>
        <v>37940.872333955806</v>
      </c>
    </row>
  </sheetData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B4">
      <selection activeCell="B4" sqref="A1:IV65536"/>
    </sheetView>
  </sheetViews>
  <sheetFormatPr defaultColWidth="9.140625" defaultRowHeight="12.75"/>
  <cols>
    <col min="1" max="1" width="24.140625" style="62" bestFit="1" customWidth="1"/>
    <col min="2" max="2" width="14.00390625" style="62" bestFit="1" customWidth="1"/>
    <col min="3" max="3" width="11.28125" style="62" bestFit="1" customWidth="1"/>
    <col min="4" max="4" width="16.57421875" style="62" bestFit="1" customWidth="1"/>
    <col min="5" max="5" width="10.7109375" style="62" bestFit="1" customWidth="1"/>
    <col min="6" max="6" width="15.00390625" style="62" bestFit="1" customWidth="1"/>
    <col min="7" max="7" width="15.421875" style="62" bestFit="1" customWidth="1"/>
    <col min="8" max="8" width="13.421875" style="62" bestFit="1" customWidth="1"/>
    <col min="9" max="9" width="12.28125" style="62" bestFit="1" customWidth="1"/>
    <col min="10" max="10" width="7.8515625" style="62" bestFit="1" customWidth="1"/>
    <col min="11" max="11" width="9.140625" style="62" customWidth="1"/>
    <col min="12" max="12" width="11.28125" style="62" bestFit="1" customWidth="1"/>
    <col min="13" max="16384" width="9.140625" style="62" customWidth="1"/>
  </cols>
  <sheetData>
    <row r="1" spans="1:10" ht="12.75">
      <c r="A1" s="61" t="str">
        <f ca="1">+'Residential Sch 7'!A1</f>
        <v>Puget Sound Energy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 t="str">
        <f ca="1">+'Residential Sch 7'!A2</f>
        <v>Proforma and Proposed Revenue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tr">
        <f ca="1">+'Residential Sch 7'!A3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1" t="s">
        <v>279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2.75">
      <c r="A5" s="61" t="s">
        <v>280</v>
      </c>
      <c r="B5" s="61"/>
      <c r="C5" s="61"/>
      <c r="D5" s="61"/>
      <c r="E5" s="61"/>
      <c r="F5" s="61"/>
      <c r="G5" s="61"/>
      <c r="H5" s="61"/>
      <c r="I5" s="61"/>
      <c r="J5" s="61"/>
    </row>
    <row r="7" spans="2:10" ht="12.75">
      <c r="B7" s="98" t="s">
        <v>238</v>
      </c>
      <c r="C7" s="99"/>
      <c r="D7" s="100"/>
      <c r="E7" s="101" t="str">
        <f ca="1">+'Residential Sch 7'!E7</f>
        <v>Proforma</v>
      </c>
      <c r="F7" s="102"/>
      <c r="G7" s="103" t="str">
        <f ca="1">+'Residential Sch 7'!G7</f>
        <v>Proposed</v>
      </c>
      <c r="H7" s="102"/>
      <c r="I7" s="104"/>
      <c r="J7" s="104"/>
    </row>
    <row r="8" spans="3:10" ht="12.75">
      <c r="C8" s="93" t="s">
        <v>239</v>
      </c>
      <c r="D8" s="105"/>
      <c r="E8" s="108" t="str">
        <f ca="1">+'Residential Sch 7'!E8</f>
        <v>Rates Effective 9-1-07</v>
      </c>
      <c r="F8" s="109"/>
      <c r="G8" s="108" t="str">
        <f ca="1">+'Residential Sch 7'!G8</f>
        <v>Rates Effective 2008</v>
      </c>
      <c r="H8" s="109"/>
      <c r="I8" s="110" t="str">
        <f ca="1">+'Residential Sch 7'!I8</f>
        <v>Differences</v>
      </c>
      <c r="J8" s="111"/>
    </row>
    <row r="9" spans="1:10" ht="12.75">
      <c r="A9" s="112"/>
      <c r="B9" s="112"/>
      <c r="C9" s="112" t="s">
        <v>243</v>
      </c>
      <c r="D9" s="112" t="s">
        <v>244</v>
      </c>
      <c r="E9" s="110" t="str">
        <f ca="1">+'Residential Sch 7'!E9</f>
        <v>Charge</v>
      </c>
      <c r="F9" s="111" t="str">
        <f ca="1">+'Residential Sch 7'!F9</f>
        <v>Revenue</v>
      </c>
      <c r="G9" s="113" t="str">
        <f ca="1">+'Residential Sch 7'!G9</f>
        <v>Charge</v>
      </c>
      <c r="H9" s="111" t="str">
        <f ca="1">+'Residential Sch 7'!H9</f>
        <v>Revenue</v>
      </c>
      <c r="I9" s="113" t="str">
        <f ca="1">+'Residential Sch 7'!I9</f>
        <v>$</v>
      </c>
      <c r="J9" s="111" t="str">
        <f ca="1">+'Residential Sch 7'!J9</f>
        <v>%</v>
      </c>
    </row>
    <row r="10" spans="1:10" ht="12.75">
      <c r="A10" s="62" t="s">
        <v>64</v>
      </c>
      <c r="B10" s="133">
        <v>5893</v>
      </c>
      <c r="C10" s="133"/>
      <c r="D10" s="133">
        <f>SUM(B10:C10)</f>
        <v>5893</v>
      </c>
      <c r="E10" s="114">
        <v>295</v>
      </c>
      <c r="F10" s="78">
        <f>+E10*D10</f>
        <v>1738435</v>
      </c>
      <c r="G10" s="114">
        <f ca="1">+'Rate Design Sch 31'!$F$7</f>
        <v>305</v>
      </c>
      <c r="H10" s="78">
        <f ca="1">+G10*D10</f>
        <v>1797365</v>
      </c>
      <c r="I10" s="120">
        <f ca="1">+H10-F10</f>
        <v>58930</v>
      </c>
      <c r="J10" s="117">
        <f ca="1">+I10/F10</f>
        <v>0.03389830508474576</v>
      </c>
    </row>
    <row r="11" spans="6:8" ht="12.75">
      <c r="F11" s="96"/>
      <c r="H11" s="96"/>
    </row>
    <row r="12" spans="1:10" ht="12.75">
      <c r="A12" s="83" t="s">
        <v>265</v>
      </c>
      <c r="B12" s="77">
        <v>1369024424.4800003</v>
      </c>
      <c r="C12" s="77">
        <v>-4318073.453684403</v>
      </c>
      <c r="D12" s="77">
        <f>SUM(B12:C12)</f>
        <v>1364706351.026316</v>
      </c>
      <c r="E12" s="97">
        <v>0.051902</v>
      </c>
      <c r="F12" s="78">
        <f>+D12*E12</f>
        <v>70830989.03096785</v>
      </c>
      <c r="G12" s="97">
        <f ca="1">+'Rate Design Sch 31'!$F$12</f>
        <v>0.057682</v>
      </c>
      <c r="H12" s="78">
        <f ca="1">+G12*D12</f>
        <v>78718991.73989995</v>
      </c>
      <c r="I12" s="120">
        <f ca="1">+H12-F12</f>
        <v>7888002.708932102</v>
      </c>
      <c r="J12" s="117">
        <f ca="1">+I12/F12</f>
        <v>0.11136372394127388</v>
      </c>
    </row>
    <row r="13" spans="2:4" ht="12.75">
      <c r="B13" s="75"/>
      <c r="C13" s="75"/>
      <c r="D13" s="75"/>
    </row>
    <row r="14" spans="1:10" ht="12.75">
      <c r="A14" s="83" t="s">
        <v>272</v>
      </c>
      <c r="B14" s="118">
        <v>1685522.6</v>
      </c>
      <c r="C14" s="118"/>
      <c r="D14" s="118">
        <f>SUM(B14:C14)</f>
        <v>1685522.6</v>
      </c>
      <c r="E14" s="114">
        <v>7.35</v>
      </c>
      <c r="F14" s="96">
        <f>+E14*D14</f>
        <v>12388591.11</v>
      </c>
      <c r="G14" s="114">
        <f ca="1">+'Rate Design Sch 31'!$F$19</f>
        <v>7.98</v>
      </c>
      <c r="H14" s="96">
        <f ca="1">+G14*D14</f>
        <v>13450470.348000001</v>
      </c>
      <c r="I14" s="94">
        <f ca="1">+H14-F14</f>
        <v>1061879.2380000018</v>
      </c>
      <c r="J14" s="116">
        <f ca="1">+I14/F14</f>
        <v>0.08571428571428585</v>
      </c>
    </row>
    <row r="15" spans="1:10" ht="12.75">
      <c r="A15" s="83" t="s">
        <v>273</v>
      </c>
      <c r="B15" s="118">
        <v>1822271.76</v>
      </c>
      <c r="C15" s="118"/>
      <c r="D15" s="118">
        <f>SUM(B15:C15)</f>
        <v>1822271.76</v>
      </c>
      <c r="E15" s="114">
        <v>4.89</v>
      </c>
      <c r="F15" s="96">
        <f>+E15*D15</f>
        <v>8910908.906399999</v>
      </c>
      <c r="G15" s="114">
        <f ca="1">+'Rate Design Sch 31'!$F$20</f>
        <v>5.31</v>
      </c>
      <c r="H15" s="96">
        <f ca="1">+G15*D15</f>
        <v>9676263.045599999</v>
      </c>
      <c r="I15" s="94">
        <f ca="1">+H15-F15</f>
        <v>765354.1392000001</v>
      </c>
      <c r="J15" s="116">
        <f ca="1">+I15/F15</f>
        <v>0.08588957055214726</v>
      </c>
    </row>
    <row r="16" spans="1:10" ht="12.75">
      <c r="A16" s="83" t="s">
        <v>268</v>
      </c>
      <c r="B16" s="77">
        <f>SUM(B14:B15)</f>
        <v>3507794.3600000003</v>
      </c>
      <c r="C16" s="77">
        <f>SUM(C14:C15)</f>
        <v>0</v>
      </c>
      <c r="D16" s="77">
        <f>SUM(B16:C16)</f>
        <v>3507794.3600000003</v>
      </c>
      <c r="F16" s="78">
        <f>SUM(F14:F15)</f>
        <v>21299500.0164</v>
      </c>
      <c r="H16" s="78">
        <f ca="1">SUM(H14:H15)</f>
        <v>23126733.393600002</v>
      </c>
      <c r="I16" s="78">
        <f ca="1">SUM(I14:I15)</f>
        <v>1827233.3772000019</v>
      </c>
      <c r="J16" s="117">
        <f ca="1">+I16/F16</f>
        <v>0.08578761829118454</v>
      </c>
    </row>
    <row r="17" spans="2:10" ht="12.75">
      <c r="B17" s="80"/>
      <c r="C17" s="80"/>
      <c r="D17" s="80"/>
      <c r="F17" s="81"/>
      <c r="H17" s="81"/>
      <c r="I17" s="81"/>
      <c r="J17" s="119"/>
    </row>
    <row r="18" spans="1:10" ht="12.75">
      <c r="A18" s="83" t="s">
        <v>269</v>
      </c>
      <c r="B18" s="133">
        <v>820937822.1300001</v>
      </c>
      <c r="C18" s="133"/>
      <c r="D18" s="77">
        <f>SUM(B18:C18)</f>
        <v>820937822.1300001</v>
      </c>
      <c r="E18" s="135">
        <v>0.00094</v>
      </c>
      <c r="F18" s="78">
        <f>+E18*D18</f>
        <v>771681.5528022001</v>
      </c>
      <c r="G18" s="135">
        <f ca="1">+'Rate Design Sch 31'!$F$23</f>
        <v>0.00099</v>
      </c>
      <c r="H18" s="78">
        <f ca="1">+G18*D18</f>
        <v>812728.4439087001</v>
      </c>
      <c r="I18" s="120">
        <f ca="1">+H18-F18</f>
        <v>41046.89110650006</v>
      </c>
      <c r="J18" s="117">
        <f ca="1">+I18/F18</f>
        <v>0.0531914893617022</v>
      </c>
    </row>
    <row r="19" spans="1:10" ht="12.75">
      <c r="A19" s="83"/>
      <c r="B19" s="137"/>
      <c r="C19" s="137"/>
      <c r="D19" s="137"/>
      <c r="E19" s="135"/>
      <c r="F19" s="81"/>
      <c r="G19" s="135"/>
      <c r="H19" s="81"/>
      <c r="I19" s="138"/>
      <c r="J19" s="119"/>
    </row>
    <row r="20" spans="1:10" ht="12.75">
      <c r="A20" s="76" t="s">
        <v>252</v>
      </c>
      <c r="D20" s="133">
        <f>+D12</f>
        <v>1364706351.026316</v>
      </c>
      <c r="E20" s="97">
        <v>0.003063</v>
      </c>
      <c r="F20" s="78">
        <f>+E20*D20</f>
        <v>4180095.553193606</v>
      </c>
      <c r="G20" s="135">
        <v>0</v>
      </c>
      <c r="H20" s="78">
        <f>+G20*D20</f>
        <v>0</v>
      </c>
      <c r="I20" s="120">
        <f>+H20-F20</f>
        <v>-4180095.553193606</v>
      </c>
      <c r="J20" s="117">
        <f>+I20/F20</f>
        <v>-1</v>
      </c>
    </row>
    <row r="21" ht="12.75">
      <c r="D21" s="75"/>
    </row>
    <row r="22" spans="1:10" ht="12.75">
      <c r="A22" s="76" t="s">
        <v>274</v>
      </c>
      <c r="D22" s="77">
        <v>5847669</v>
      </c>
      <c r="E22" s="97">
        <v>0.06962346876701592</v>
      </c>
      <c r="F22" s="78">
        <f>+E22*D22</f>
        <v>407134.9999813472</v>
      </c>
      <c r="G22" s="97">
        <f ca="1">+'Rate Design Sch 31'!$F$14</f>
        <v>0.073593</v>
      </c>
      <c r="H22" s="78">
        <f ca="1">+G22*D22</f>
        <v>430347.50471700006</v>
      </c>
      <c r="I22" s="120">
        <f ca="1">+H22-F22</f>
        <v>23212.50473565288</v>
      </c>
      <c r="J22" s="117">
        <f ca="1">+I22/F22</f>
        <v>0.057014269804159204</v>
      </c>
    </row>
    <row r="23" ht="12.75">
      <c r="D23" s="75"/>
    </row>
    <row r="24" spans="1:10" ht="13.5" thickBot="1">
      <c r="A24" s="62" t="s">
        <v>77</v>
      </c>
      <c r="D24" s="95">
        <f>SUM(D12,D22)</f>
        <v>1370554020.026316</v>
      </c>
      <c r="F24" s="122">
        <f>SUM(F18,F16,F12,F10,F20,F22)</f>
        <v>99227836.15334499</v>
      </c>
      <c r="H24" s="122">
        <f ca="1">SUM(H18,H16,H12,H10,H20,H22)</f>
        <v>104886166.08212565</v>
      </c>
      <c r="I24" s="122">
        <f ca="1">SUM(I18,I16,I12,I10,I20,I22)</f>
        <v>5658329.92878065</v>
      </c>
      <c r="J24" s="123">
        <f ca="1">+I24/F24</f>
        <v>0.05702361502710151</v>
      </c>
    </row>
    <row r="25" ht="15.75" customHeight="1" thickTop="1"/>
    <row r="26" spans="1:8" ht="12.75" hidden="1">
      <c r="A26" s="62" t="s">
        <v>127</v>
      </c>
      <c r="F26" s="96">
        <v>98820701.15336365</v>
      </c>
      <c r="H26" s="96">
        <f ca="1">(1+'Rate Design Sch 31'!$H$31)*F24</f>
        <v>104885714.30859005</v>
      </c>
    </row>
    <row r="27" spans="1:8" ht="12.75" hidden="1">
      <c r="A27" s="62" t="s">
        <v>127</v>
      </c>
      <c r="F27" s="94">
        <f>+F26-(F24-F22)</f>
        <v>0</v>
      </c>
      <c r="H27" s="94">
        <f ca="1">+H26-H24</f>
        <v>-451.77353559434414</v>
      </c>
    </row>
    <row r="28" ht="12.75" hidden="1"/>
    <row r="29" ht="12.75" hidden="1"/>
    <row r="30" ht="12.75" hidden="1"/>
    <row r="31" spans="1:6" ht="12.75" hidden="1">
      <c r="A31" s="83" t="str">
        <f ca="1">+'Residential Sch 7'!$A$29</f>
        <v>Schedule 95 Effective 9-1-07</v>
      </c>
      <c r="E31" s="97">
        <f>+E20</f>
        <v>0.003063</v>
      </c>
      <c r="F31" s="96">
        <f>+E31*$D$12</f>
        <v>4180095.553193606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3">
      <selection activeCell="A3" sqref="A1:IV65536"/>
    </sheetView>
  </sheetViews>
  <sheetFormatPr defaultColWidth="9.140625" defaultRowHeight="12.75"/>
  <cols>
    <col min="1" max="1" width="27.8515625" style="62" bestFit="1" customWidth="1"/>
    <col min="2" max="2" width="14.00390625" style="62" bestFit="1" customWidth="1"/>
    <col min="3" max="3" width="11.7109375" style="62" bestFit="1" customWidth="1"/>
    <col min="4" max="4" width="13.28125" style="62" bestFit="1" customWidth="1"/>
    <col min="5" max="5" width="11.28125" style="62" bestFit="1" customWidth="1"/>
    <col min="6" max="6" width="13.28125" style="62" bestFit="1" customWidth="1"/>
    <col min="7" max="7" width="9.7109375" style="62" bestFit="1" customWidth="1"/>
    <col min="8" max="8" width="7.8515625" style="62" bestFit="1" customWidth="1"/>
    <col min="9" max="16384" width="9.140625" style="62" customWidth="1"/>
  </cols>
  <sheetData>
    <row r="1" spans="1:8" ht="12.75">
      <c r="A1" s="61" t="str">
        <f ca="1">+'Residential Sch 7'!A1</f>
        <v>Puget Sound Energy</v>
      </c>
      <c r="B1" s="61"/>
      <c r="C1" s="61"/>
      <c r="D1" s="61"/>
      <c r="E1" s="61"/>
      <c r="F1" s="61"/>
      <c r="G1" s="61"/>
      <c r="H1" s="61"/>
    </row>
    <row r="2" spans="1:8" ht="12.75">
      <c r="A2" s="61" t="str">
        <f ca="1">+'Residential Sch 7'!A2</f>
        <v>Proforma and Proposed Revenue</v>
      </c>
      <c r="B2" s="61"/>
      <c r="C2" s="61"/>
      <c r="D2" s="61"/>
      <c r="E2" s="61"/>
      <c r="F2" s="61"/>
      <c r="G2" s="61"/>
      <c r="H2" s="61"/>
    </row>
    <row r="3" spans="1:8" ht="12.75">
      <c r="A3" s="61" t="str">
        <f ca="1">+'Residential Sch 7'!A3</f>
        <v>Twelve Months ended September 30, 2007</v>
      </c>
      <c r="B3" s="61"/>
      <c r="C3" s="61"/>
      <c r="D3" s="61"/>
      <c r="E3" s="61"/>
      <c r="F3" s="61"/>
      <c r="G3" s="61"/>
      <c r="H3" s="61"/>
    </row>
    <row r="4" spans="1:8" ht="12.75">
      <c r="A4" s="61" t="s">
        <v>281</v>
      </c>
      <c r="B4" s="61"/>
      <c r="C4" s="61"/>
      <c r="D4" s="61"/>
      <c r="E4" s="61"/>
      <c r="F4" s="61"/>
      <c r="G4" s="61"/>
      <c r="H4" s="61"/>
    </row>
    <row r="5" spans="1:8" ht="12.75">
      <c r="A5" s="61" t="s">
        <v>282</v>
      </c>
      <c r="B5" s="61"/>
      <c r="C5" s="61"/>
      <c r="D5" s="61"/>
      <c r="E5" s="61"/>
      <c r="F5" s="61"/>
      <c r="G5" s="61"/>
      <c r="H5" s="61"/>
    </row>
    <row r="7" spans="3:8" ht="12.75">
      <c r="C7" s="101" t="str">
        <f ca="1">+'Residential Sch 7'!E7</f>
        <v>Proforma</v>
      </c>
      <c r="D7" s="102"/>
      <c r="E7" s="103" t="str">
        <f ca="1">+'Residential Sch 7'!G7</f>
        <v>Proposed</v>
      </c>
      <c r="F7" s="102"/>
      <c r="G7" s="104"/>
      <c r="H7" s="104"/>
    </row>
    <row r="8" spans="2:8" ht="12.75">
      <c r="B8" s="71" t="s">
        <v>283</v>
      </c>
      <c r="C8" s="132" t="str">
        <f ca="1">+'Residential Sch 7'!E8</f>
        <v>Rates Effective 9-1-07</v>
      </c>
      <c r="D8" s="109"/>
      <c r="E8" s="108" t="str">
        <f ca="1">+'Residential Sch 7'!G8</f>
        <v>Rates Effective 2008</v>
      </c>
      <c r="F8" s="109"/>
      <c r="G8" s="110" t="str">
        <f ca="1">+'Residential Sch 7'!I8</f>
        <v>Differences</v>
      </c>
      <c r="H8" s="111"/>
    </row>
    <row r="9" spans="1:8" ht="12.75">
      <c r="A9" s="112"/>
      <c r="B9" s="105" t="s">
        <v>284</v>
      </c>
      <c r="C9" s="110" t="str">
        <f ca="1">+'Residential Sch 7'!E9</f>
        <v>Charge</v>
      </c>
      <c r="D9" s="102" t="str">
        <f ca="1">+'Residential Sch 7'!F9</f>
        <v>Revenue</v>
      </c>
      <c r="E9" s="113" t="str">
        <f ca="1">+'Residential Sch 7'!G9</f>
        <v>Charge</v>
      </c>
      <c r="F9" s="102" t="str">
        <f ca="1">+'Residential Sch 7'!H9</f>
        <v>Revenue</v>
      </c>
      <c r="G9" s="103" t="str">
        <f ca="1">+'Residential Sch 7'!I9</f>
        <v>$</v>
      </c>
      <c r="H9" s="102" t="str">
        <f ca="1">+'Residential Sch 7'!J9</f>
        <v>%</v>
      </c>
    </row>
    <row r="10" spans="1:8" ht="12.75">
      <c r="A10" s="62" t="s">
        <v>64</v>
      </c>
      <c r="B10" s="133">
        <v>12</v>
      </c>
      <c r="C10" s="114">
        <v>295</v>
      </c>
      <c r="D10" s="78">
        <f>+C10*B10</f>
        <v>3540</v>
      </c>
      <c r="E10" s="115">
        <f ca="1">+'Rate Design Sch 35'!$F$7</f>
        <v>305</v>
      </c>
      <c r="F10" s="78">
        <f ca="1">+E10*B10</f>
        <v>3660</v>
      </c>
      <c r="G10" s="120">
        <f ca="1">+F10-D10</f>
        <v>120</v>
      </c>
      <c r="H10" s="117">
        <f ca="1">+G10/D10</f>
        <v>0.03389830508474576</v>
      </c>
    </row>
    <row r="11" spans="4:6" ht="12.75">
      <c r="D11" s="96"/>
      <c r="F11" s="96"/>
    </row>
    <row r="12" spans="1:8" ht="12.75">
      <c r="A12" s="83" t="s">
        <v>265</v>
      </c>
      <c r="B12" s="77">
        <v>4820400</v>
      </c>
      <c r="C12" s="97">
        <v>0.041345</v>
      </c>
      <c r="D12" s="78">
        <f>+C12*B12</f>
        <v>199299.438</v>
      </c>
      <c r="E12" s="97">
        <f ca="1">+'Rate Design Sch 35'!$F$10</f>
        <v>0.046843</v>
      </c>
      <c r="F12" s="78">
        <f ca="1">+E12*B12</f>
        <v>225801.9972</v>
      </c>
      <c r="G12" s="120">
        <f ca="1">+F12-D12</f>
        <v>26502.559200000018</v>
      </c>
      <c r="H12" s="117">
        <f ca="1">+G12/D12</f>
        <v>0.13297859475148152</v>
      </c>
    </row>
    <row r="13" ht="12.75">
      <c r="B13" s="75"/>
    </row>
    <row r="14" spans="1:8" ht="12.75">
      <c r="A14" s="83" t="s">
        <v>272</v>
      </c>
      <c r="B14" s="118">
        <v>1057.2</v>
      </c>
      <c r="C14" s="114">
        <v>3.82</v>
      </c>
      <c r="D14" s="96">
        <f>+C14*B14</f>
        <v>4038.504</v>
      </c>
      <c r="E14" s="115">
        <f ca="1">+'Rate Design Sch 35'!$F$17</f>
        <v>4.15</v>
      </c>
      <c r="F14" s="96">
        <f ca="1">+E14*B14</f>
        <v>4387.380000000001</v>
      </c>
      <c r="G14" s="94">
        <f ca="1">+F14-D14</f>
        <v>348.8760000000011</v>
      </c>
      <c r="H14" s="116">
        <f ca="1">+G14/D14</f>
        <v>0.0863874345549741</v>
      </c>
    </row>
    <row r="15" spans="1:8" ht="12.75">
      <c r="A15" s="83" t="s">
        <v>273</v>
      </c>
      <c r="B15" s="118">
        <v>7998.6</v>
      </c>
      <c r="C15" s="114">
        <v>2.54</v>
      </c>
      <c r="D15" s="96">
        <f>+C15*B15</f>
        <v>20316.444</v>
      </c>
      <c r="E15" s="115">
        <f ca="1">+'Rate Design Sch 35'!$F$18</f>
        <v>2.76</v>
      </c>
      <c r="F15" s="96">
        <f ca="1">+E15*B15</f>
        <v>22076.136</v>
      </c>
      <c r="G15" s="94">
        <f ca="1">+F15-D15</f>
        <v>1759.691999999999</v>
      </c>
      <c r="H15" s="116">
        <f ca="1">+G15/D15</f>
        <v>0.08661417322834641</v>
      </c>
    </row>
    <row r="16" spans="1:8" ht="12.75">
      <c r="A16" s="83" t="s">
        <v>268</v>
      </c>
      <c r="B16" s="77">
        <f>SUM(B14:B15)</f>
        <v>9055.800000000001</v>
      </c>
      <c r="D16" s="78">
        <f>SUM(D14:D15)</f>
        <v>24354.948</v>
      </c>
      <c r="F16" s="78">
        <f ca="1">SUM(F14:F15)</f>
        <v>26463.516</v>
      </c>
      <c r="G16" s="78">
        <f ca="1">SUM(G14:G15)</f>
        <v>2108.568</v>
      </c>
      <c r="H16" s="117">
        <f ca="1">+G16/D16</f>
        <v>0.08657657573319394</v>
      </c>
    </row>
    <row r="17" spans="2:8" ht="12.75">
      <c r="B17" s="80"/>
      <c r="D17" s="81"/>
      <c r="F17" s="81"/>
      <c r="G17" s="81"/>
      <c r="H17" s="119"/>
    </row>
    <row r="18" spans="1:8" ht="12.75">
      <c r="A18" s="83" t="s">
        <v>269</v>
      </c>
      <c r="B18" s="133">
        <v>3270600</v>
      </c>
      <c r="C18" s="135">
        <v>0.00096</v>
      </c>
      <c r="D18" s="78">
        <f>+C18*B18</f>
        <v>3139.7760000000003</v>
      </c>
      <c r="E18" s="135">
        <f ca="1">+'Rate Design Sch 35'!$F$21</f>
        <v>0.00101</v>
      </c>
      <c r="F18" s="78">
        <f ca="1">+E18*B18</f>
        <v>3303.306</v>
      </c>
      <c r="G18" s="120">
        <f ca="1">+F18-D18</f>
        <v>163.52999999999975</v>
      </c>
      <c r="H18" s="117">
        <f ca="1">+G18/D18</f>
        <v>0.052083333333333245</v>
      </c>
    </row>
    <row r="19" spans="1:8" ht="12.75">
      <c r="A19" s="83"/>
      <c r="B19" s="137"/>
      <c r="C19" s="135"/>
      <c r="D19" s="81"/>
      <c r="E19" s="135"/>
      <c r="F19" s="81"/>
      <c r="G19" s="138"/>
      <c r="H19" s="119"/>
    </row>
    <row r="20" spans="1:8" ht="12.75">
      <c r="A20" s="76" t="s">
        <v>252</v>
      </c>
      <c r="B20" s="133">
        <f>+B12</f>
        <v>4820400</v>
      </c>
      <c r="C20" s="97">
        <v>0.0030930000000000003</v>
      </c>
      <c r="D20" s="78">
        <f>+C20*B20</f>
        <v>14909.497200000002</v>
      </c>
      <c r="E20" s="97">
        <v>0</v>
      </c>
      <c r="F20" s="78">
        <f>+E20*B20</f>
        <v>0</v>
      </c>
      <c r="G20" s="120">
        <f>+F20-D20</f>
        <v>-14909.497200000002</v>
      </c>
      <c r="H20" s="117">
        <f>+G20/D20</f>
        <v>-1</v>
      </c>
    </row>
    <row r="21" ht="12.75">
      <c r="B21" s="75"/>
    </row>
    <row r="22" spans="1:8" ht="12.75">
      <c r="A22" s="76" t="s">
        <v>274</v>
      </c>
      <c r="B22" s="77">
        <v>43818</v>
      </c>
      <c r="C22" s="97">
        <v>0.04976189586238959</v>
      </c>
      <c r="D22" s="78">
        <f>+C22*B22</f>
        <v>2180.466752898187</v>
      </c>
      <c r="E22" s="97">
        <f ca="1">+'Rate Design Sch 35'!$F$12</f>
        <v>0.052599</v>
      </c>
      <c r="F22" s="78">
        <f ca="1">+E22*B22</f>
        <v>2304.782982</v>
      </c>
      <c r="G22" s="120">
        <f ca="1">+F22-D22</f>
        <v>124.31622910181295</v>
      </c>
      <c r="H22" s="117">
        <f ca="1">+G22/D22</f>
        <v>0.05701358616753817</v>
      </c>
    </row>
    <row r="23" ht="12.75">
      <c r="B23" s="75"/>
    </row>
    <row r="24" spans="1:8" ht="13.5" thickBot="1">
      <c r="A24" s="62" t="s">
        <v>77</v>
      </c>
      <c r="B24" s="95">
        <f>SUM(B12,B22)</f>
        <v>4864218</v>
      </c>
      <c r="D24" s="122">
        <f>SUM(D18,D16,D12,D10,D20,D22)</f>
        <v>247424.1259528982</v>
      </c>
      <c r="F24" s="122">
        <f ca="1">SUM(F18,F16,F12,F10,F20,F22)</f>
        <v>261533.60218200003</v>
      </c>
      <c r="G24" s="122">
        <f ca="1">SUM(G18,G16,G12,G10,G20,G22)</f>
        <v>14109.476229101827</v>
      </c>
      <c r="H24" s="123">
        <f ca="1">+G24/D24</f>
        <v>0.05702546659410178</v>
      </c>
    </row>
    <row r="25" ht="13.5" thickTop="1"/>
    <row r="26" spans="1:6" ht="12.75" hidden="1">
      <c r="A26" s="62" t="s">
        <v>127</v>
      </c>
      <c r="D26" s="96">
        <v>245243.6592</v>
      </c>
      <c r="F26" s="96">
        <f ca="1">+'Rate Design Sch 35'!$H$29</f>
        <v>261532.01756454367</v>
      </c>
    </row>
    <row r="27" spans="1:6" ht="12.75" hidden="1">
      <c r="A27" s="62" t="s">
        <v>127</v>
      </c>
      <c r="D27" s="94">
        <f>+D26-(D24-D22)</f>
        <v>0</v>
      </c>
      <c r="F27" s="94">
        <f ca="1">+F26-F24</f>
        <v>-1.5846174563630484</v>
      </c>
    </row>
    <row r="28" ht="12.75" hidden="1"/>
    <row r="29" ht="12.75" hidden="1">
      <c r="D29" s="94"/>
    </row>
    <row r="30" ht="12.75" hidden="1"/>
    <row r="31" spans="1:4" ht="12.75" hidden="1">
      <c r="A31" s="83" t="str">
        <f ca="1">+'Residential Sch 7'!$A$29</f>
        <v>Schedule 95 Effective 9-1-07</v>
      </c>
      <c r="C31" s="97">
        <f>+C20</f>
        <v>0.0030930000000000003</v>
      </c>
      <c r="D31" s="96">
        <f>+C31*$B$12</f>
        <v>14909.497200000002</v>
      </c>
    </row>
  </sheetData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Puget Sound Energy</dc:creator>
  <cp:keywords/>
  <dc:description/>
  <cp:lastModifiedBy>Mike Parvinen</cp:lastModifiedBy>
  <cp:lastPrinted>2008-05-29T23:25:26Z</cp:lastPrinted>
  <dcterms:created xsi:type="dcterms:W3CDTF">2007-11-27T17:03:20Z</dcterms:created>
  <dcterms:modified xsi:type="dcterms:W3CDTF">2008-05-29T23:28:59Z</dcterms:modified>
  <cp:category/>
  <cp:version/>
  <cp:contentType/>
  <cp:contentStatus/>
</cp:coreProperties>
</file>