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Compliance Filing\2020 PCORC Work Papers COMPLIANCE\"/>
    </mc:Choice>
  </mc:AlternateContent>
  <bookViews>
    <workbookView xWindow="0" yWindow="0" windowWidth="27885" windowHeight="14070"/>
  </bookViews>
  <sheets>
    <sheet name="Power Cost Lead" sheetId="9" r:id="rId1"/>
    <sheet name="PKW" sheetId="12" r:id="rId2"/>
    <sheet name="Production O&amp;M Summary RJR" sheetId="10" r:id="rId3"/>
    <sheet name="OATT Trans Rev" sheetId="11" r:id="rId4"/>
    <sheet name="Pwrex" sheetId="16" r:id="rId5"/>
    <sheet name="Centralia Equity Kicker" sheetId="13" r:id="rId6"/>
    <sheet name="ProdFctr" sheetId="1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2" l="1"/>
  <c r="C15" i="12"/>
  <c r="C14" i="12"/>
  <c r="C13" i="12"/>
  <c r="C12" i="12"/>
  <c r="C11" i="12"/>
  <c r="C10" i="12"/>
  <c r="C9" i="12"/>
  <c r="C8" i="12"/>
  <c r="C7" i="12"/>
  <c r="H30" i="9" l="1"/>
  <c r="D28" i="10"/>
  <c r="D27" i="10"/>
  <c r="J26" i="10" l="1"/>
  <c r="I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0" i="9" l="1"/>
  <c r="I70" i="9"/>
  <c r="H70" i="9"/>
  <c r="G70" i="9"/>
  <c r="F70" i="9"/>
  <c r="E70" i="9"/>
  <c r="J69" i="9"/>
  <c r="I69" i="9"/>
  <c r="H69" i="9"/>
  <c r="F69" i="9"/>
  <c r="I68" i="9"/>
  <c r="F68" i="9"/>
  <c r="I63" i="9"/>
  <c r="F63" i="9"/>
  <c r="I62" i="9"/>
  <c r="F62" i="9"/>
  <c r="I61" i="9"/>
  <c r="F61" i="9"/>
  <c r="I60" i="9"/>
  <c r="F60" i="9"/>
  <c r="I58" i="9"/>
  <c r="F58" i="9"/>
  <c r="I57" i="9"/>
  <c r="F57" i="9"/>
  <c r="I56" i="9"/>
  <c r="F56" i="9"/>
  <c r="E19" i="12"/>
  <c r="E16" i="12"/>
  <c r="E15" i="12"/>
  <c r="E14" i="12"/>
  <c r="E13" i="12"/>
  <c r="E12" i="12"/>
  <c r="E11" i="12"/>
  <c r="E10" i="12"/>
  <c r="E9" i="12"/>
  <c r="E8" i="12"/>
  <c r="E7" i="12"/>
  <c r="D17" i="12"/>
  <c r="C17" i="12"/>
  <c r="E17" i="12" l="1"/>
  <c r="F26" i="14" l="1"/>
  <c r="F23" i="14"/>
  <c r="F22" i="14"/>
  <c r="F21" i="14"/>
  <c r="F20" i="14"/>
  <c r="E32" i="9" l="1"/>
  <c r="E31" i="9"/>
  <c r="F30" i="9"/>
  <c r="E30" i="9"/>
  <c r="E26" i="9"/>
  <c r="E25" i="9"/>
  <c r="E24" i="9"/>
  <c r="E23" i="9"/>
  <c r="F22" i="9"/>
  <c r="E22" i="9"/>
  <c r="E21" i="9"/>
  <c r="E20" i="9"/>
  <c r="E19" i="9"/>
  <c r="E56" i="9" l="1"/>
  <c r="E60" i="9"/>
  <c r="E61" i="9"/>
  <c r="E62" i="9"/>
  <c r="E63" i="9"/>
  <c r="E57" i="9"/>
  <c r="E67" i="9"/>
  <c r="E58" i="9"/>
  <c r="F67" i="9"/>
  <c r="E59" i="9"/>
  <c r="E68" i="9"/>
  <c r="F59" i="9"/>
  <c r="E69" i="9"/>
  <c r="E29" i="9"/>
  <c r="H32" i="9"/>
  <c r="D31" i="11" l="1"/>
  <c r="D30" i="11"/>
  <c r="B5" i="16"/>
  <c r="N3" i="16"/>
  <c r="N2" i="16"/>
  <c r="F25" i="10" l="1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A21" i="14" l="1"/>
  <c r="A22" i="14"/>
  <c r="A23" i="14"/>
  <c r="G29" i="13" l="1"/>
  <c r="G23" i="13"/>
  <c r="G24" i="13"/>
  <c r="G25" i="13"/>
  <c r="G26" i="13"/>
  <c r="G27" i="13"/>
  <c r="G28" i="13"/>
  <c r="F25" i="14"/>
  <c r="F28" i="14" l="1"/>
  <c r="F26" i="10" l="1"/>
  <c r="B26" i="10"/>
  <c r="E1" i="10"/>
  <c r="A24" i="14" l="1"/>
  <c r="A25" i="14" s="1"/>
  <c r="A26" i="14" l="1"/>
  <c r="A27" i="14" s="1"/>
  <c r="A28" i="14" s="1"/>
  <c r="B28" i="14"/>
  <c r="H33" i="9" l="1"/>
  <c r="I33" i="13"/>
  <c r="K30" i="13"/>
  <c r="E30" i="13"/>
  <c r="C30" i="13"/>
  <c r="H29" i="13"/>
  <c r="F29" i="13"/>
  <c r="K28" i="13"/>
  <c r="I28" i="13"/>
  <c r="C28" i="13"/>
  <c r="L27" i="13"/>
  <c r="F27" i="13"/>
  <c r="D27" i="13"/>
  <c r="I26" i="13"/>
  <c r="L25" i="13"/>
  <c r="J25" i="13"/>
  <c r="D25" i="13"/>
  <c r="B25" i="13"/>
  <c r="E24" i="13"/>
  <c r="J23" i="13"/>
  <c r="H23" i="13"/>
  <c r="B23" i="13"/>
  <c r="K22" i="13"/>
  <c r="E22" i="13"/>
  <c r="C22" i="13"/>
  <c r="H21" i="13"/>
  <c r="F21" i="13"/>
  <c r="K20" i="13"/>
  <c r="I20" i="13"/>
  <c r="C20" i="13"/>
  <c r="M19" i="13"/>
  <c r="M31" i="13" s="1"/>
  <c r="G19" i="13"/>
  <c r="E19" i="13"/>
  <c r="M15" i="13"/>
  <c r="L14" i="13"/>
  <c r="L30" i="13" s="1"/>
  <c r="K14" i="13"/>
  <c r="J14" i="13"/>
  <c r="J30" i="13" s="1"/>
  <c r="I14" i="13"/>
  <c r="I30" i="13" s="1"/>
  <c r="H14" i="13"/>
  <c r="H30" i="13" s="1"/>
  <c r="G14" i="13"/>
  <c r="G30" i="13" s="1"/>
  <c r="F14" i="13"/>
  <c r="F30" i="13" s="1"/>
  <c r="E14" i="13"/>
  <c r="D14" i="13"/>
  <c r="D30" i="13" s="1"/>
  <c r="C14" i="13"/>
  <c r="B14" i="13"/>
  <c r="B30" i="13" s="1"/>
  <c r="L13" i="13"/>
  <c r="L29" i="13" s="1"/>
  <c r="K13" i="13"/>
  <c r="K29" i="13" s="1"/>
  <c r="J13" i="13"/>
  <c r="J29" i="13" s="1"/>
  <c r="I13" i="13"/>
  <c r="I29" i="13" s="1"/>
  <c r="H13" i="13"/>
  <c r="G13" i="13"/>
  <c r="F13" i="13"/>
  <c r="E13" i="13"/>
  <c r="E29" i="13" s="1"/>
  <c r="D13" i="13"/>
  <c r="D29" i="13" s="1"/>
  <c r="C13" i="13"/>
  <c r="C29" i="13" s="1"/>
  <c r="B13" i="13"/>
  <c r="B29" i="13" s="1"/>
  <c r="L12" i="13"/>
  <c r="L28" i="13" s="1"/>
  <c r="K12" i="13"/>
  <c r="J12" i="13"/>
  <c r="J28" i="13" s="1"/>
  <c r="I12" i="13"/>
  <c r="H12" i="13"/>
  <c r="H28" i="13" s="1"/>
  <c r="G12" i="13"/>
  <c r="F12" i="13"/>
  <c r="F28" i="13" s="1"/>
  <c r="E12" i="13"/>
  <c r="E28" i="13" s="1"/>
  <c r="D12" i="13"/>
  <c r="D28" i="13" s="1"/>
  <c r="C12" i="13"/>
  <c r="B12" i="13"/>
  <c r="B28" i="13" s="1"/>
  <c r="L11" i="13"/>
  <c r="K11" i="13"/>
  <c r="K27" i="13" s="1"/>
  <c r="J11" i="13"/>
  <c r="J27" i="13" s="1"/>
  <c r="I11" i="13"/>
  <c r="I27" i="13" s="1"/>
  <c r="H11" i="13"/>
  <c r="H27" i="13" s="1"/>
  <c r="G11" i="13"/>
  <c r="F11" i="13"/>
  <c r="E11" i="13"/>
  <c r="E27" i="13" s="1"/>
  <c r="D11" i="13"/>
  <c r="C11" i="13"/>
  <c r="C27" i="13" s="1"/>
  <c r="B11" i="13"/>
  <c r="B27" i="13" s="1"/>
  <c r="L10" i="13"/>
  <c r="L26" i="13" s="1"/>
  <c r="K10" i="13"/>
  <c r="K26" i="13" s="1"/>
  <c r="J10" i="13"/>
  <c r="J26" i="13" s="1"/>
  <c r="I10" i="13"/>
  <c r="H10" i="13"/>
  <c r="H26" i="13" s="1"/>
  <c r="G10" i="13"/>
  <c r="F10" i="13"/>
  <c r="F26" i="13" s="1"/>
  <c r="E10" i="13"/>
  <c r="E26" i="13" s="1"/>
  <c r="D10" i="13"/>
  <c r="D26" i="13" s="1"/>
  <c r="C10" i="13"/>
  <c r="C26" i="13" s="1"/>
  <c r="B10" i="13"/>
  <c r="B26" i="13" s="1"/>
  <c r="L9" i="13"/>
  <c r="K9" i="13"/>
  <c r="K25" i="13" s="1"/>
  <c r="J9" i="13"/>
  <c r="I9" i="13"/>
  <c r="I25" i="13" s="1"/>
  <c r="H9" i="13"/>
  <c r="H25" i="13" s="1"/>
  <c r="G9" i="13"/>
  <c r="F9" i="13"/>
  <c r="F25" i="13" s="1"/>
  <c r="E9" i="13"/>
  <c r="E25" i="13" s="1"/>
  <c r="D9" i="13"/>
  <c r="C9" i="13"/>
  <c r="C25" i="13" s="1"/>
  <c r="B9" i="13"/>
  <c r="L8" i="13"/>
  <c r="L24" i="13" s="1"/>
  <c r="K8" i="13"/>
  <c r="K24" i="13" s="1"/>
  <c r="J8" i="13"/>
  <c r="J24" i="13" s="1"/>
  <c r="I8" i="13"/>
  <c r="I24" i="13" s="1"/>
  <c r="H8" i="13"/>
  <c r="H24" i="13" s="1"/>
  <c r="G8" i="13"/>
  <c r="F8" i="13"/>
  <c r="F24" i="13" s="1"/>
  <c r="E8" i="13"/>
  <c r="D8" i="13"/>
  <c r="D24" i="13" s="1"/>
  <c r="C8" i="13"/>
  <c r="C24" i="13" s="1"/>
  <c r="B8" i="13"/>
  <c r="B24" i="13" s="1"/>
  <c r="L7" i="13"/>
  <c r="L23" i="13" s="1"/>
  <c r="K7" i="13"/>
  <c r="K23" i="13" s="1"/>
  <c r="J7" i="13"/>
  <c r="I7" i="13"/>
  <c r="I23" i="13" s="1"/>
  <c r="H7" i="13"/>
  <c r="G7" i="13"/>
  <c r="F7" i="13"/>
  <c r="F23" i="13" s="1"/>
  <c r="E7" i="13"/>
  <c r="E23" i="13" s="1"/>
  <c r="D7" i="13"/>
  <c r="D23" i="13" s="1"/>
  <c r="C7" i="13"/>
  <c r="C23" i="13" s="1"/>
  <c r="B7" i="13"/>
  <c r="L6" i="13"/>
  <c r="L22" i="13" s="1"/>
  <c r="K6" i="13"/>
  <c r="J6" i="13"/>
  <c r="J22" i="13" s="1"/>
  <c r="I6" i="13"/>
  <c r="I22" i="13" s="1"/>
  <c r="H6" i="13"/>
  <c r="H22" i="13" s="1"/>
  <c r="G6" i="13"/>
  <c r="G22" i="13" s="1"/>
  <c r="F6" i="13"/>
  <c r="F22" i="13" s="1"/>
  <c r="E6" i="13"/>
  <c r="D6" i="13"/>
  <c r="D22" i="13" s="1"/>
  <c r="C6" i="13"/>
  <c r="B6" i="13"/>
  <c r="B22" i="13" s="1"/>
  <c r="L5" i="13"/>
  <c r="L21" i="13" s="1"/>
  <c r="K5" i="13"/>
  <c r="K21" i="13" s="1"/>
  <c r="J5" i="13"/>
  <c r="J21" i="13" s="1"/>
  <c r="I5" i="13"/>
  <c r="I21" i="13" s="1"/>
  <c r="H5" i="13"/>
  <c r="G5" i="13"/>
  <c r="G21" i="13" s="1"/>
  <c r="F5" i="13"/>
  <c r="E5" i="13"/>
  <c r="E21" i="13" s="1"/>
  <c r="D5" i="13"/>
  <c r="D21" i="13" s="1"/>
  <c r="C5" i="13"/>
  <c r="C21" i="13" s="1"/>
  <c r="B5" i="13"/>
  <c r="B21" i="13" s="1"/>
  <c r="L4" i="13"/>
  <c r="L20" i="13" s="1"/>
  <c r="K4" i="13"/>
  <c r="J4" i="13"/>
  <c r="J20" i="13" s="1"/>
  <c r="I4" i="13"/>
  <c r="H4" i="13"/>
  <c r="H20" i="13" s="1"/>
  <c r="G4" i="13"/>
  <c r="G20" i="13" s="1"/>
  <c r="F4" i="13"/>
  <c r="F20" i="13" s="1"/>
  <c r="E4" i="13"/>
  <c r="E20" i="13" s="1"/>
  <c r="D4" i="13"/>
  <c r="D20" i="13" s="1"/>
  <c r="C4" i="13"/>
  <c r="B4" i="13"/>
  <c r="B20" i="13" s="1"/>
  <c r="M3" i="13"/>
  <c r="L3" i="13"/>
  <c r="L19" i="13" s="1"/>
  <c r="K3" i="13"/>
  <c r="K19" i="13" s="1"/>
  <c r="J3" i="13"/>
  <c r="J19" i="13" s="1"/>
  <c r="I3" i="13"/>
  <c r="I19" i="13" s="1"/>
  <c r="H3" i="13"/>
  <c r="H19" i="13" s="1"/>
  <c r="H31" i="13" s="1"/>
  <c r="G3" i="13"/>
  <c r="F3" i="13"/>
  <c r="F19" i="13" s="1"/>
  <c r="E3" i="13"/>
  <c r="D3" i="13"/>
  <c r="D19" i="13" s="1"/>
  <c r="C3" i="13"/>
  <c r="C19" i="13" s="1"/>
  <c r="B3" i="13"/>
  <c r="B19" i="13" s="1"/>
  <c r="I31" i="13" l="1"/>
  <c r="G31" i="13"/>
  <c r="B31" i="13"/>
  <c r="J31" i="13"/>
  <c r="K31" i="13"/>
  <c r="L31" i="13"/>
  <c r="E31" i="13"/>
  <c r="C31" i="13"/>
  <c r="D31" i="13"/>
  <c r="F31" i="13"/>
  <c r="E15" i="13"/>
  <c r="E16" i="13" s="1"/>
  <c r="F15" i="13"/>
  <c r="F16" i="13" s="1"/>
  <c r="H15" i="13"/>
  <c r="H16" i="13" s="1"/>
  <c r="G15" i="13"/>
  <c r="G16" i="13" s="1"/>
  <c r="I15" i="13"/>
  <c r="I16" i="13" s="1"/>
  <c r="B15" i="13"/>
  <c r="J15" i="13"/>
  <c r="J16" i="13" s="1"/>
  <c r="C15" i="13"/>
  <c r="C16" i="13" s="1"/>
  <c r="K15" i="13"/>
  <c r="K16" i="13" s="1"/>
  <c r="D15" i="13"/>
  <c r="D16" i="13" s="1"/>
  <c r="L15" i="13"/>
  <c r="L16" i="13" s="1"/>
  <c r="B16" i="13" l="1"/>
  <c r="O15" i="13"/>
  <c r="H26" i="9" l="1"/>
  <c r="H63" i="9" s="1"/>
  <c r="H25" i="9"/>
  <c r="H62" i="9" s="1"/>
  <c r="H24" i="9"/>
  <c r="H61" i="9" s="1"/>
  <c r="H21" i="9"/>
  <c r="H58" i="9" s="1"/>
  <c r="H20" i="9"/>
  <c r="H57" i="9" s="1"/>
  <c r="H19" i="9"/>
  <c r="H56" i="9" s="1"/>
  <c r="D23" i="11"/>
  <c r="C23" i="11"/>
  <c r="D22" i="11"/>
  <c r="C22" i="11"/>
  <c r="D21" i="11"/>
  <c r="C21" i="11"/>
  <c r="C20" i="11"/>
  <c r="D10" i="11"/>
  <c r="C10" i="11"/>
  <c r="D9" i="11"/>
  <c r="C9" i="11"/>
  <c r="D8" i="11"/>
  <c r="C8" i="11"/>
  <c r="C7" i="11"/>
  <c r="C25" i="11" l="1"/>
  <c r="C12" i="11"/>
  <c r="D25" i="11"/>
  <c r="D12" i="11"/>
  <c r="D29" i="11" l="1"/>
  <c r="J33" i="9" l="1"/>
  <c r="G33" i="9"/>
  <c r="I32" i="9"/>
  <c r="J32" i="9"/>
  <c r="G31" i="9"/>
  <c r="G68" i="9" s="1"/>
  <c r="I26" i="9"/>
  <c r="J25" i="9"/>
  <c r="J62" i="9" s="1"/>
  <c r="I24" i="9"/>
  <c r="J20" i="9"/>
  <c r="J57" i="9" s="1"/>
  <c r="J19" i="9"/>
  <c r="J56" i="9" s="1"/>
  <c r="A19" i="9"/>
  <c r="A20" i="9" s="1"/>
  <c r="A21" i="9" s="1"/>
  <c r="A22" i="9" s="1"/>
  <c r="K32" i="9" l="1"/>
  <c r="K69" i="9" s="1"/>
  <c r="H31" i="9"/>
  <c r="J26" i="9"/>
  <c r="J63" i="9" s="1"/>
  <c r="A23" i="9"/>
  <c r="A24" i="9" s="1"/>
  <c r="A25" i="9" s="1"/>
  <c r="A26" i="9" s="1"/>
  <c r="A27" i="9" s="1"/>
  <c r="A28" i="9" s="1"/>
  <c r="A30" i="9" s="1"/>
  <c r="A31" i="9" s="1"/>
  <c r="A32" i="9" s="1"/>
  <c r="A33" i="9" s="1"/>
  <c r="A34" i="9" s="1"/>
  <c r="J24" i="9"/>
  <c r="J61" i="9" s="1"/>
  <c r="J21" i="9"/>
  <c r="J58" i="9" s="1"/>
  <c r="H68" i="9" l="1"/>
  <c r="J31" i="9"/>
  <c r="I30" i="9"/>
  <c r="G30" i="9"/>
  <c r="I67" i="9" l="1"/>
  <c r="G29" i="9"/>
  <c r="G67" i="9"/>
  <c r="K31" i="9"/>
  <c r="K68" i="9" s="1"/>
  <c r="J68" i="9"/>
  <c r="G32" i="9"/>
  <c r="G69" i="9" s="1"/>
  <c r="I22" i="9" l="1"/>
  <c r="I59" i="9" l="1"/>
  <c r="F27" i="9"/>
  <c r="F64" i="9" s="1"/>
  <c r="F34" i="9" l="1"/>
  <c r="I27" i="9"/>
  <c r="I64" i="9" s="1"/>
  <c r="F71" i="9" l="1"/>
  <c r="I34" i="9"/>
  <c r="G22" i="9"/>
  <c r="G59" i="9" s="1"/>
  <c r="I71" i="9" l="1"/>
  <c r="G23" i="9"/>
  <c r="G60" i="9" s="1"/>
  <c r="H23" i="9" l="1"/>
  <c r="G25" i="9"/>
  <c r="G62" i="9" s="1"/>
  <c r="H60" i="9" l="1"/>
  <c r="J23" i="9"/>
  <c r="J60" i="9" s="1"/>
  <c r="H22" i="9"/>
  <c r="G26" i="9"/>
  <c r="G63" i="9" s="1"/>
  <c r="G24" i="9"/>
  <c r="G61" i="9" s="1"/>
  <c r="G20" i="9"/>
  <c r="G57" i="9" s="1"/>
  <c r="G21" i="9"/>
  <c r="G58" i="9" s="1"/>
  <c r="H59" i="9" l="1"/>
  <c r="H27" i="9"/>
  <c r="H64" i="9" s="1"/>
  <c r="J22" i="9"/>
  <c r="G19" i="9"/>
  <c r="G56" i="9" s="1"/>
  <c r="E27" i="9"/>
  <c r="E28" i="9" l="1"/>
  <c r="E64" i="9"/>
  <c r="K22" i="9"/>
  <c r="K59" i="9" s="1"/>
  <c r="J59" i="9"/>
  <c r="J27" i="9"/>
  <c r="J64" i="9" s="1"/>
  <c r="G27" i="9"/>
  <c r="E34" i="9"/>
  <c r="E71" i="9" l="1"/>
  <c r="G28" i="9"/>
  <c r="G64" i="9"/>
  <c r="G34" i="9"/>
  <c r="G71" i="9" l="1"/>
  <c r="K13" i="9"/>
  <c r="F15" i="14"/>
  <c r="K16" i="9" l="1"/>
  <c r="K24" i="9" s="1"/>
  <c r="K61" i="9" s="1"/>
  <c r="K19" i="9" l="1"/>
  <c r="K56" i="9" s="1"/>
  <c r="K26" i="9"/>
  <c r="K63" i="9" s="1"/>
  <c r="K20" i="9"/>
  <c r="K57" i="9" s="1"/>
  <c r="K23" i="9"/>
  <c r="K60" i="9" s="1"/>
  <c r="K21" i="9"/>
  <c r="K58" i="9" s="1"/>
  <c r="K25" i="9"/>
  <c r="K62" i="9" s="1"/>
  <c r="K33" i="9"/>
  <c r="K70" i="9" s="1"/>
  <c r="K27" i="9" l="1"/>
  <c r="K64" i="9" s="1"/>
  <c r="C25" i="10" l="1"/>
  <c r="D25" i="10" s="1"/>
  <c r="G25" i="10" s="1"/>
  <c r="C13" i="10"/>
  <c r="D13" i="10" s="1"/>
  <c r="G13" i="10" s="1"/>
  <c r="C5" i="10"/>
  <c r="D5" i="10" s="1"/>
  <c r="G5" i="10" s="1"/>
  <c r="C6" i="10"/>
  <c r="D6" i="10" s="1"/>
  <c r="G6" i="10" s="1"/>
  <c r="C23" i="10"/>
  <c r="D23" i="10" s="1"/>
  <c r="G23" i="10" s="1"/>
  <c r="C9" i="10"/>
  <c r="D9" i="10" s="1"/>
  <c r="G9" i="10" s="1"/>
  <c r="C12" i="10"/>
  <c r="D12" i="10" s="1"/>
  <c r="G12" i="10" s="1"/>
  <c r="C24" i="10"/>
  <c r="D24" i="10" s="1"/>
  <c r="G24" i="10" s="1"/>
  <c r="C8" i="10"/>
  <c r="D8" i="10" s="1"/>
  <c r="G8" i="10" s="1"/>
  <c r="C4" i="10" l="1"/>
  <c r="D4" i="10" s="1"/>
  <c r="G4" i="10" s="1"/>
  <c r="C3" i="10"/>
  <c r="D3" i="10" s="1"/>
  <c r="G3" i="10" s="1"/>
  <c r="C7" i="10"/>
  <c r="D7" i="10" s="1"/>
  <c r="G7" i="10" s="1"/>
  <c r="C10" i="10" l="1"/>
  <c r="D10" i="10" l="1"/>
  <c r="G10" i="10" l="1"/>
  <c r="C22" i="10" l="1"/>
  <c r="D22" i="10" s="1"/>
  <c r="G22" i="10" s="1"/>
  <c r="C18" i="10" l="1"/>
  <c r="D18" i="10" s="1"/>
  <c r="G18" i="10" s="1"/>
  <c r="C21" i="10" l="1"/>
  <c r="D21" i="10" s="1"/>
  <c r="G21" i="10" s="1"/>
  <c r="C15" i="10"/>
  <c r="D15" i="10" s="1"/>
  <c r="G15" i="10" s="1"/>
  <c r="C17" i="10"/>
  <c r="D17" i="10" s="1"/>
  <c r="G17" i="10" s="1"/>
  <c r="C14" i="10" l="1"/>
  <c r="D14" i="10" s="1"/>
  <c r="G14" i="10" s="1"/>
  <c r="C20" i="10" l="1"/>
  <c r="D20" i="10" s="1"/>
  <c r="G20" i="10" s="1"/>
  <c r="C19" i="10"/>
  <c r="D19" i="10" s="1"/>
  <c r="G19" i="10" s="1"/>
  <c r="C16" i="10" l="1"/>
  <c r="D16" i="10" s="1"/>
  <c r="G16" i="10" s="1"/>
  <c r="C11" i="10" l="1"/>
  <c r="D11" i="10" l="1"/>
  <c r="C26" i="10"/>
  <c r="G11" i="10" l="1"/>
  <c r="G26" i="10" s="1"/>
  <c r="D26" i="10"/>
  <c r="H67" i="9" l="1"/>
  <c r="J30" i="9"/>
  <c r="H34" i="9"/>
  <c r="H71" i="9" l="1"/>
  <c r="J67" i="9"/>
  <c r="J34" i="9"/>
  <c r="K30" i="9"/>
  <c r="J71" i="9" l="1"/>
  <c r="K34" i="9"/>
  <c r="K67" i="9"/>
  <c r="K71" i="9" l="1"/>
  <c r="E35" i="9" l="1"/>
  <c r="F35" i="9"/>
  <c r="G35" i="9" l="1"/>
  <c r="I35" i="9" l="1"/>
  <c r="H35" i="9" l="1"/>
  <c r="J35" i="9" l="1"/>
  <c r="K35" i="9" l="1"/>
</calcChain>
</file>

<file path=xl/sharedStrings.xml><?xml version="1.0" encoding="utf-8"?>
<sst xmlns="http://schemas.openxmlformats.org/spreadsheetml/2006/main" count="329" uniqueCount="171">
  <si>
    <t>Production Factor</t>
  </si>
  <si>
    <t>PUGET SOUND ENERGY</t>
  </si>
  <si>
    <t>Description</t>
  </si>
  <si>
    <t>FERC</t>
  </si>
  <si>
    <t>Prod. O&amp;M incl. Benefits/Taxes</t>
  </si>
  <si>
    <t>Sys Control &amp; Dispatch</t>
  </si>
  <si>
    <t>Lower Snake River</t>
  </si>
  <si>
    <t>Wild Horse</t>
  </si>
  <si>
    <t>Sumas</t>
  </si>
  <si>
    <t>Fredonia 1-4</t>
  </si>
  <si>
    <t>Mint Farm</t>
  </si>
  <si>
    <t>Goldendale</t>
  </si>
  <si>
    <t>Freddie 1</t>
  </si>
  <si>
    <t>Ferndale</t>
  </si>
  <si>
    <t>Upper Baker</t>
  </si>
  <si>
    <t>Lower Baker</t>
  </si>
  <si>
    <t>Encogen</t>
  </si>
  <si>
    <t>Adjustment Description</t>
  </si>
  <si>
    <t>Adjustments</t>
  </si>
  <si>
    <t>Resources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</si>
  <si>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</si>
  <si>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</si>
  <si>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</si>
  <si>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</si>
  <si>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</si>
  <si>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</si>
  <si>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</si>
  <si>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</si>
  <si>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</si>
  <si>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</si>
  <si>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</si>
  <si>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Dec</t>
  </si>
  <si>
    <t>MW</t>
  </si>
  <si>
    <t>Total Life of Contract</t>
  </si>
  <si>
    <t>Dec 24 - Nov 25</t>
  </si>
  <si>
    <t>Dec 23 - Nov 24</t>
  </si>
  <si>
    <t>Dec 22 - Nov 23</t>
  </si>
  <si>
    <t>Dec 21 - Nov 22</t>
  </si>
  <si>
    <t>Dec 20 - Nov 21</t>
  </si>
  <si>
    <t>Dec 19 - Nov 20</t>
  </si>
  <si>
    <t>Dec 18 - Nov 19</t>
  </si>
  <si>
    <t>Dec 17 - Nov 18</t>
  </si>
  <si>
    <t>Dec 16 - Nov 17</t>
  </si>
  <si>
    <t>Dec 15 - Nov 16</t>
  </si>
  <si>
    <t>Dec 14 - Nov 15</t>
  </si>
  <si>
    <t>Volume</t>
  </si>
  <si>
    <t>Centralia Coal Transition PPA - Equity Adder</t>
  </si>
  <si>
    <t>Average</t>
  </si>
  <si>
    <t>Sept</t>
  </si>
  <si>
    <t>Year</t>
  </si>
  <si>
    <t>TEMPERATURE NORMALIZATION</t>
  </si>
  <si>
    <t>REMOVE 449 / SPECIAL CONTRACT</t>
  </si>
  <si>
    <t>Amount</t>
  </si>
  <si>
    <t>Line</t>
  </si>
  <si>
    <t>Production</t>
  </si>
  <si>
    <t>Rate Year:  Twelve Months Ended 5/31/2022</t>
  </si>
  <si>
    <t>Test Year:  Twelve Months Ended 6/30/2020</t>
  </si>
  <si>
    <t>2020 Power Cost Only Rate Case</t>
  </si>
  <si>
    <t>Puget Sound Energy</t>
  </si>
  <si>
    <t>DETERMINATION OF NET POWER COSTS</t>
  </si>
  <si>
    <t>After Prod</t>
  </si>
  <si>
    <t>12ME</t>
  </si>
  <si>
    <t>Reclass</t>
  </si>
  <si>
    <t>Remove</t>
  </si>
  <si>
    <t>Net Before</t>
  </si>
  <si>
    <t>Factor of</t>
  </si>
  <si>
    <t>Ben&amp;Tax</t>
  </si>
  <si>
    <t>Prod Factor</t>
  </si>
  <si>
    <t xml:space="preserve">Total </t>
  </si>
  <si>
    <t>various</t>
  </si>
  <si>
    <t>n/a</t>
  </si>
  <si>
    <t xml:space="preserve"> </t>
  </si>
  <si>
    <t>TEST YEAR ENDED JUNE 30, 2020</t>
  </si>
  <si>
    <t>RATE YEAR ENDED MAY 31, 2022</t>
  </si>
  <si>
    <t>2020 PCORC</t>
  </si>
  <si>
    <t>2019 GRC Final Order</t>
  </si>
  <si>
    <t>Test Year July'19 - June'20</t>
  </si>
  <si>
    <t>Rate Year June'21 - May'22</t>
  </si>
  <si>
    <t>2019 GRC May'20 - Apr'21</t>
  </si>
  <si>
    <t>Change from 2019 GRC Final Order</t>
  </si>
  <si>
    <t>Colstrip 1&amp;2</t>
  </si>
  <si>
    <t>Remove all test year non-major maintenance O&amp;M, proform rate year major maintenance amortization.</t>
  </si>
  <si>
    <t>Colstrip 3&amp;4</t>
  </si>
  <si>
    <t xml:space="preserve">N/A - Rate Year = Test Year </t>
  </si>
  <si>
    <t>Baker License</t>
  </si>
  <si>
    <t>Proform rate year license O&amp;M</t>
  </si>
  <si>
    <t>Snoqualmie 1/2</t>
  </si>
  <si>
    <t>Snoqualmie License</t>
  </si>
  <si>
    <t>Hopkins Ridge</t>
  </si>
  <si>
    <t>Proform rate year Vestas contract + Royalties based on RY MWhs</t>
  </si>
  <si>
    <t>Proforma rate year Siemens contract + Royalties based on RY MWhs.</t>
  </si>
  <si>
    <t>Crystal Mountain</t>
  </si>
  <si>
    <t>No adj: rate year amortization  = test year amortization</t>
  </si>
  <si>
    <t>Proform rate year major maintenance amortization.</t>
  </si>
  <si>
    <t>Frederickson 1/2</t>
  </si>
  <si>
    <t>Whitehorn 2/3</t>
  </si>
  <si>
    <t>Undistrib/Other Including Incentive Clearing, Compliance</t>
  </si>
  <si>
    <t>Glacier Battery</t>
  </si>
  <si>
    <t>3rd Party Transmission Sales calculated with FERC formula rates effective June 2020 through May 2021 (WA $1.9877, Northern Intertie $1.9877, Southern Intertie $0.7506)</t>
  </si>
  <si>
    <t>Northern Intertie Sales - Order 45610005</t>
  </si>
  <si>
    <t>Calendar Year</t>
  </si>
  <si>
    <t>Rate Year     July - June</t>
  </si>
  <si>
    <t>Southern Intertie Sales - Order 45610005</t>
  </si>
  <si>
    <t xml:space="preserve">Total Estimate of 3rd Party Transmission Sales Revenue on NI, SI and WA paths using formula rate detail  </t>
  </si>
  <si>
    <t>Rate Year Power Costs</t>
  </si>
  <si>
    <t>Acct.</t>
  </si>
  <si>
    <t>($ in thousands)</t>
  </si>
  <si>
    <t>Increase / (Decrease)</t>
  </si>
  <si>
    <t>Coal fuel</t>
  </si>
  <si>
    <t>Natural gas fuel</t>
  </si>
  <si>
    <t>555WS</t>
  </si>
  <si>
    <t>Wind and solar purchases</t>
  </si>
  <si>
    <t>555H</t>
  </si>
  <si>
    <t>Hydro purchases</t>
  </si>
  <si>
    <t>555MP</t>
  </si>
  <si>
    <t>Market purchases</t>
  </si>
  <si>
    <t>Other contract purchases</t>
  </si>
  <si>
    <t>Secondary sales</t>
  </si>
  <si>
    <t>Transmission</t>
  </si>
  <si>
    <t>Other revenues</t>
  </si>
  <si>
    <t>Other power supply expense</t>
  </si>
  <si>
    <t>Total Rate Year Power Costs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</si>
  <si>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</si>
  <si>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Rate year: June 2021 through May 2022</t>
  </si>
  <si>
    <t>V</t>
  </si>
  <si>
    <t>F</t>
  </si>
  <si>
    <t>NATURAL GAS FUEL (547)</t>
  </si>
  <si>
    <t>OTHER POWER EXPENSE (557)</t>
  </si>
  <si>
    <t>BROKERAGE FEES</t>
  </si>
  <si>
    <t>VARIABLE ENERGY COSTS + 557</t>
  </si>
  <si>
    <t>PURCHASED POWER (555)</t>
  </si>
  <si>
    <t>WHEELING  (565)</t>
  </si>
  <si>
    <t>SALES TO OTHER UTILITIES (447)</t>
  </si>
  <si>
    <t>PURCHASES / (SALES) OF NON -CORE GAS (456)</t>
  </si>
  <si>
    <t>TOTAL INCREASE (DECREASE) EXPENSE</t>
  </si>
  <si>
    <t xml:space="preserve">TRANS. EXP. INCL. 500KV O&amp;M </t>
  </si>
  <si>
    <t>PRODUCTION O&amp;M</t>
  </si>
  <si>
    <t>Equity Adder Centralia Coal Transition PPA</t>
  </si>
  <si>
    <t>AS-Filed</t>
  </si>
  <si>
    <t>20PCORC RY JUNE 1, 2021 - MAY 31, 2022 Rate Year</t>
  </si>
  <si>
    <t>Equity Return $$ at $1.23 per MWh</t>
  </si>
  <si>
    <t>12MOE May 2022</t>
  </si>
  <si>
    <t>Net RY Before</t>
  </si>
  <si>
    <r>
      <t xml:space="preserve">RESTATED AND PROFORMA </t>
    </r>
    <r>
      <rPr>
        <b/>
        <u/>
        <sz val="10"/>
        <rFont val="Arial"/>
        <family val="2"/>
      </rPr>
      <t>TEST YEAR DELIVERED</t>
    </r>
    <r>
      <rPr>
        <sz val="10"/>
        <rFont val="Arial"/>
        <family val="2"/>
      </rPr>
      <t xml:space="preserve"> LOAD</t>
    </r>
  </si>
  <si>
    <r>
      <t xml:space="preserve">FORECASTED </t>
    </r>
    <r>
      <rPr>
        <b/>
        <u/>
        <sz val="10"/>
        <rFont val="Arial"/>
        <family val="2"/>
      </rPr>
      <t>RATE YEAR DELIVERED</t>
    </r>
    <r>
      <rPr>
        <sz val="10"/>
        <rFont val="Arial"/>
        <family val="2"/>
      </rPr>
      <t xml:space="preserve"> LOAD IN KWHs</t>
    </r>
  </si>
  <si>
    <t>Variable PF</t>
  </si>
  <si>
    <t>OATT TRANSM. INCOME - NI and SI 45610005</t>
  </si>
  <si>
    <t>Ties to I/S</t>
  </si>
  <si>
    <t>Rate Year</t>
  </si>
  <si>
    <t>PKW and RJR</t>
  </si>
  <si>
    <t>TOTAL INCREASE (DECREASE) EXPENSE IN POWER COST ADJ</t>
  </si>
  <si>
    <t>&lt;=Check to I/S</t>
  </si>
  <si>
    <t>Check to SAP=&gt;</t>
  </si>
  <si>
    <t>COAL STEAM FUEL (501)</t>
  </si>
  <si>
    <t xml:space="preserve">Proform rate year major maintenance amortization. </t>
  </si>
  <si>
    <t>REMOVE Schedule 139 Green Direct</t>
  </si>
  <si>
    <t>Check to model=&gt;</t>
  </si>
  <si>
    <t>ACTUAL DELIVERED LOAD</t>
  </si>
  <si>
    <t>PWX MSFT</t>
  </si>
  <si>
    <t>12MOE June 2020</t>
  </si>
  <si>
    <t>Powerex for Microsoft</t>
  </si>
  <si>
    <t>2020 PCORC SUPPLEMENTAL</t>
  </si>
  <si>
    <t>Gas price date: 1/12/2021</t>
  </si>
  <si>
    <t>2020 PCORC SETTLEMENT</t>
  </si>
  <si>
    <t>Change from SUPP</t>
  </si>
  <si>
    <t>2020 PCORC SEETTLEMENT</t>
  </si>
  <si>
    <t>&lt;---Settlement Adjustment</t>
  </si>
  <si>
    <t>COMPLIANCE</t>
  </si>
  <si>
    <t>Settlement</t>
  </si>
  <si>
    <t>Change</t>
  </si>
  <si>
    <t>2020 PCORC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</si>
</sst>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_(* #,##0.00000_);_(* \(#,##0.00000\);_(* &quot;-&quot;??_);_(@_)"/>
    <numFmt numFmtId="168" formatCode="&quot;Adjustment&quot;\ General"/>
    <numFmt numFmtId="169" formatCode="_(* #,##0.000_);_(* \(#,##0.000\);_(* &quot;-&quot;??_);_(@_)"/>
    <numFmt numFmtId="170" formatCode="_(* #,##0.0_);_(* \(#,##0.0\);_(* &quot;-&quot;??_);_(@_)"/>
    <numFmt numFmtId="171" formatCode="0_);\(0\)"/>
    <numFmt numFmtId="172" formatCode="0.000%"/>
    <numFmt numFmtId="173" formatCode="_(* #,##0.000000_);_(* \(#,##0.000000\);_(* &quot;-&quot;??_);_(@_)"/>
    <numFmt numFmtId="174" formatCode="_(* #,##0_);_(* \(#,##0\);_(* &quot;-&quot;?????_);_(@_)"/>
    <numFmt numFmtId="175" formatCode="0.000000%"/>
    <numFmt numFmtId="176" formatCode="_(&quot;$&quot;* #,##0.00000_);_(&quot;$&quot;* \(#,##0.00000\);_(&quot;$&quot;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8"/>
      <color rgb="FF0070C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Helv"/>
    </font>
    <font>
      <b/>
      <sz val="11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9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4" fillId="0" borderId="0" xfId="0" applyFont="1" applyFill="1"/>
    <xf numFmtId="164" fontId="4" fillId="0" borderId="0" xfId="0" applyNumberFormat="1" applyFont="1"/>
    <xf numFmtId="164" fontId="4" fillId="0" borderId="0" xfId="0" applyNumberFormat="1" applyFont="1" applyFill="1" applyBorder="1"/>
    <xf numFmtId="16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4" xfId="0" applyNumberFormat="1" applyFont="1" applyFill="1" applyBorder="1"/>
    <xf numFmtId="0" fontId="4" fillId="0" borderId="4" xfId="0" applyFont="1" applyBorder="1" applyAlignment="1">
      <alignment horizontal="center"/>
    </xf>
    <xf numFmtId="0" fontId="13" fillId="0" borderId="0" xfId="0" applyNumberFormat="1" applyFont="1" applyFill="1" applyAlignment="1"/>
    <xf numFmtId="0" fontId="5" fillId="0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16" xfId="0" applyBorder="1" applyAlignment="1">
      <alignment horizontal="right"/>
    </xf>
    <xf numFmtId="0" fontId="5" fillId="0" borderId="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/>
    </xf>
    <xf numFmtId="164" fontId="4" fillId="0" borderId="13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164" fontId="4" fillId="0" borderId="12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164" fontId="4" fillId="0" borderId="11" xfId="0" applyNumberFormat="1" applyFont="1" applyFill="1" applyBorder="1"/>
    <xf numFmtId="37" fontId="10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11" fillId="0" borderId="0" xfId="0" applyFont="1"/>
    <xf numFmtId="0" fontId="5" fillId="0" borderId="0" xfId="0" applyFont="1" applyAlignment="1">
      <alignment horizontal="center" wrapText="1"/>
    </xf>
    <xf numFmtId="166" fontId="4" fillId="0" borderId="0" xfId="0" applyNumberFormat="1" applyFont="1"/>
    <xf numFmtId="0" fontId="4" fillId="0" borderId="0" xfId="0" quotePrefix="1" applyFont="1"/>
    <xf numFmtId="166" fontId="0" fillId="0" borderId="0" xfId="0" applyNumberFormat="1" applyFont="1"/>
    <xf numFmtId="166" fontId="5" fillId="0" borderId="0" xfId="0" applyNumberFormat="1" applyFont="1" applyFill="1"/>
    <xf numFmtId="166" fontId="0" fillId="0" borderId="0" xfId="0" applyNumberFormat="1" applyFont="1" applyFill="1"/>
    <xf numFmtId="166" fontId="5" fillId="0" borderId="0" xfId="0" applyNumberFormat="1" applyFont="1"/>
    <xf numFmtId="0" fontId="4" fillId="0" borderId="0" xfId="0" applyFont="1" applyAlignment="1">
      <alignment horizontal="right"/>
    </xf>
    <xf numFmtId="166" fontId="5" fillId="0" borderId="0" xfId="0" applyNumberFormat="1" applyFont="1"/>
    <xf numFmtId="0" fontId="5" fillId="0" borderId="0" xfId="0" applyFont="1" applyAlignment="1">
      <alignment horizontal="right"/>
    </xf>
    <xf numFmtId="166" fontId="5" fillId="0" borderId="0" xfId="0" applyNumberFormat="1" applyFont="1" applyFill="1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6" fillId="0" borderId="0" xfId="0" applyNumberFormat="1" applyFont="1" applyAlignment="1">
      <alignment horizontal="center"/>
    </xf>
    <xf numFmtId="0" fontId="2" fillId="0" borderId="0" xfId="0" applyFont="1"/>
    <xf numFmtId="0" fontId="16" fillId="0" borderId="0" xfId="0" applyNumberFormat="1" applyFont="1" applyBorder="1" applyAlignment="1">
      <alignment horizontal="centerContinuous"/>
    </xf>
    <xf numFmtId="0" fontId="17" fillId="0" borderId="0" xfId="0" applyFont="1"/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19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right"/>
    </xf>
    <xf numFmtId="0" fontId="19" fillId="0" borderId="0" xfId="0" applyNumberFormat="1" applyFont="1" applyBorder="1" applyAlignment="1">
      <alignment horizontal="centerContinuous"/>
    </xf>
    <xf numFmtId="0" fontId="21" fillId="0" borderId="20" xfId="0" applyNumberFormat="1" applyFont="1" applyBorder="1" applyAlignment="1">
      <alignment horizontal="left"/>
    </xf>
    <xf numFmtId="0" fontId="21" fillId="0" borderId="1" xfId="0" applyNumberFormat="1" applyFont="1" applyBorder="1" applyAlignment="1">
      <alignment horizontal="center"/>
    </xf>
    <xf numFmtId="0" fontId="23" fillId="0" borderId="2" xfId="0" applyFont="1" applyFill="1" applyBorder="1" applyAlignment="1">
      <alignment horizontal="center" wrapText="1"/>
    </xf>
    <xf numFmtId="17" fontId="2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4" fillId="0" borderId="21" xfId="0" applyNumberFormat="1" applyFont="1" applyFill="1" applyBorder="1" applyAlignment="1">
      <alignment horizontal="left"/>
    </xf>
    <xf numFmtId="0" fontId="25" fillId="0" borderId="1" xfId="0" applyNumberFormat="1" applyFont="1" applyFill="1" applyBorder="1" applyAlignment="1"/>
    <xf numFmtId="42" fontId="19" fillId="0" borderId="22" xfId="0" applyNumberFormat="1" applyFont="1" applyBorder="1"/>
    <xf numFmtId="166" fontId="15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42" fontId="19" fillId="0" borderId="8" xfId="0" applyNumberFormat="1" applyFont="1" applyBorder="1"/>
    <xf numFmtId="0" fontId="21" fillId="0" borderId="21" xfId="0" applyFont="1" applyFill="1" applyBorder="1" applyAlignment="1">
      <alignment horizontal="left"/>
    </xf>
    <xf numFmtId="164" fontId="2" fillId="0" borderId="0" xfId="0" applyNumberFormat="1" applyFont="1" applyBorder="1"/>
    <xf numFmtId="0" fontId="15" fillId="0" borderId="0" xfId="0" applyFont="1" applyBorder="1"/>
    <xf numFmtId="164" fontId="15" fillId="0" borderId="0" xfId="0" applyNumberFormat="1" applyFont="1" applyFill="1" applyBorder="1" applyAlignment="1"/>
    <xf numFmtId="0" fontId="26" fillId="0" borderId="15" xfId="0" applyNumberFormat="1" applyFont="1" applyFill="1" applyBorder="1" applyAlignment="1"/>
    <xf numFmtId="42" fontId="3" fillId="0" borderId="23" xfId="0" applyNumberFormat="1" applyFont="1" applyBorder="1"/>
    <xf numFmtId="43" fontId="2" fillId="0" borderId="0" xfId="0" applyNumberFormat="1" applyFont="1" applyBorder="1"/>
    <xf numFmtId="164" fontId="2" fillId="0" borderId="6" xfId="0" applyNumberFormat="1" applyFont="1" applyBorder="1"/>
    <xf numFmtId="0" fontId="21" fillId="0" borderId="24" xfId="0" applyFont="1" applyFill="1" applyBorder="1" applyAlignment="1">
      <alignment horizontal="left"/>
    </xf>
    <xf numFmtId="0" fontId="25" fillId="0" borderId="4" xfId="0" applyNumberFormat="1" applyFont="1" applyFill="1" applyBorder="1" applyAlignment="1">
      <alignment horizontal="left"/>
    </xf>
    <xf numFmtId="164" fontId="28" fillId="0" borderId="0" xfId="0" applyNumberFormat="1" applyFont="1" applyBorder="1"/>
    <xf numFmtId="169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5" fillId="0" borderId="0" xfId="0" applyNumberFormat="1" applyFont="1" applyFill="1" applyBorder="1" applyAlignment="1"/>
    <xf numFmtId="165" fontId="29" fillId="0" borderId="0" xfId="0" applyNumberFormat="1" applyFont="1" applyFill="1" applyBorder="1" applyAlignment="1"/>
    <xf numFmtId="17" fontId="15" fillId="0" borderId="0" xfId="0" applyNumberFormat="1" applyFont="1" applyFill="1" applyBorder="1" applyAlignment="1">
      <alignment horizontal="center"/>
    </xf>
    <xf numFmtId="170" fontId="30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1" fillId="0" borderId="0" xfId="0" applyNumberFormat="1" applyFont="1" applyFill="1" applyBorder="1" applyAlignment="1"/>
    <xf numFmtId="17" fontId="22" fillId="0" borderId="0" xfId="0" applyNumberFormat="1" applyFont="1" applyFill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 applyAlignment="1"/>
    <xf numFmtId="42" fontId="31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164" fontId="15" fillId="0" borderId="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17" fontId="22" fillId="0" borderId="0" xfId="0" applyNumberFormat="1" applyFont="1" applyFill="1" applyBorder="1" applyAlignment="1">
      <alignment horizontal="center" wrapText="1"/>
    </xf>
    <xf numFmtId="164" fontId="27" fillId="0" borderId="0" xfId="0" applyNumberFormat="1" applyFont="1" applyFill="1" applyBorder="1" applyAlignment="1">
      <alignment horizontal="center"/>
    </xf>
    <xf numFmtId="171" fontId="33" fillId="0" borderId="0" xfId="0" applyNumberFormat="1" applyFont="1" applyFill="1" applyAlignment="1">
      <alignment horizontal="left"/>
    </xf>
    <xf numFmtId="0" fontId="34" fillId="0" borderId="0" xfId="0" applyFont="1" applyFill="1"/>
    <xf numFmtId="0" fontId="34" fillId="0" borderId="0" xfId="0" applyFont="1"/>
    <xf numFmtId="0" fontId="35" fillId="0" borderId="0" xfId="0" applyFont="1" applyFill="1" applyAlignment="1">
      <alignment horizontal="right"/>
    </xf>
    <xf numFmtId="0" fontId="35" fillId="0" borderId="0" xfId="0" applyFont="1" applyFill="1" applyAlignment="1">
      <alignment horizontal="left"/>
    </xf>
    <xf numFmtId="0" fontId="34" fillId="0" borderId="0" xfId="0" applyFont="1" applyFill="1" applyAlignment="1"/>
    <xf numFmtId="0" fontId="35" fillId="0" borderId="0" xfId="0" applyFont="1" applyFill="1" applyAlignment="1"/>
    <xf numFmtId="0" fontId="35" fillId="0" borderId="0" xfId="0" applyFont="1" applyFill="1" applyBorder="1" applyAlignment="1">
      <alignment horizontal="right"/>
    </xf>
    <xf numFmtId="0" fontId="36" fillId="0" borderId="0" xfId="0" quotePrefix="1" applyFont="1" applyFill="1" applyBorder="1" applyAlignment="1">
      <alignment horizontal="centerContinuous"/>
    </xf>
    <xf numFmtId="0" fontId="35" fillId="0" borderId="0" xfId="0" applyFont="1" applyFill="1" applyAlignment="1">
      <alignment horizontal="centerContinuous"/>
    </xf>
    <xf numFmtId="0" fontId="34" fillId="0" borderId="0" xfId="0" applyFont="1" applyFill="1" applyAlignment="1">
      <alignment horizontal="centerContinuous"/>
    </xf>
    <xf numFmtId="166" fontId="34" fillId="0" borderId="0" xfId="0" applyNumberFormat="1" applyFont="1" applyFill="1"/>
    <xf numFmtId="0" fontId="37" fillId="0" borderId="0" xfId="0" applyFont="1" applyFill="1" applyBorder="1" applyAlignment="1">
      <alignment horizontal="centerContinuous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/>
    <xf numFmtId="166" fontId="34" fillId="0" borderId="0" xfId="0" applyNumberFormat="1" applyFont="1" applyFill="1"/>
    <xf numFmtId="166" fontId="34" fillId="0" borderId="0" xfId="0" applyNumberFormat="1" applyFont="1" applyFill="1"/>
    <xf numFmtId="164" fontId="34" fillId="0" borderId="0" xfId="0" applyNumberFormat="1" applyFont="1" applyFill="1"/>
    <xf numFmtId="164" fontId="34" fillId="0" borderId="0" xfId="0" applyNumberFormat="1" applyFont="1" applyFill="1"/>
    <xf numFmtId="164" fontId="34" fillId="0" borderId="0" xfId="0" applyNumberFormat="1" applyFont="1" applyFill="1" applyBorder="1"/>
    <xf numFmtId="164" fontId="34" fillId="0" borderId="0" xfId="0" applyNumberFormat="1" applyFont="1" applyFill="1" applyBorder="1"/>
    <xf numFmtId="164" fontId="34" fillId="0" borderId="3" xfId="0" applyNumberFormat="1" applyFont="1" applyFill="1" applyBorder="1"/>
    <xf numFmtId="166" fontId="34" fillId="0" borderId="5" xfId="0" applyNumberFormat="1" applyFont="1" applyFill="1" applyBorder="1"/>
    <xf numFmtId="0" fontId="39" fillId="0" borderId="0" xfId="0" applyFont="1" applyFill="1"/>
    <xf numFmtId="0" fontId="33" fillId="0" borderId="0" xfId="0" applyNumberFormat="1" applyFont="1" applyFill="1" applyAlignment="1">
      <alignment horizontal="center"/>
    </xf>
    <xf numFmtId="171" fontId="40" fillId="0" borderId="0" xfId="0" applyNumberFormat="1" applyFont="1" applyFill="1" applyBorder="1" applyAlignment="1">
      <alignment horizontal="left"/>
    </xf>
    <xf numFmtId="171" fontId="33" fillId="0" borderId="0" xfId="0" applyNumberFormat="1" applyFont="1" applyFill="1" applyBorder="1" applyAlignment="1">
      <alignment horizontal="left"/>
    </xf>
    <xf numFmtId="171" fontId="33" fillId="0" borderId="0" xfId="0" applyNumberFormat="1" applyFont="1" applyFill="1" applyBorder="1" applyAlignment="1"/>
    <xf numFmtId="0" fontId="41" fillId="0" borderId="0" xfId="0" applyNumberFormat="1" applyFont="1" applyFill="1" applyAlignment="1"/>
    <xf numFmtId="0" fontId="12" fillId="0" borderId="0" xfId="0" applyNumberFormat="1" applyFont="1" applyFill="1" applyAlignment="1"/>
    <xf numFmtId="0" fontId="2" fillId="0" borderId="0" xfId="0" applyNumberFormat="1" applyFont="1" applyFill="1" applyAlignment="1"/>
    <xf numFmtId="0" fontId="42" fillId="0" borderId="0" xfId="0" applyNumberFormat="1" applyFont="1" applyFill="1" applyAlignment="1"/>
    <xf numFmtId="16" fontId="42" fillId="0" borderId="0" xfId="0" applyNumberFormat="1" applyFont="1" applyFill="1" applyAlignment="1"/>
    <xf numFmtId="164" fontId="7" fillId="0" borderId="0" xfId="0" applyNumberFormat="1" applyFont="1" applyFill="1" applyAlignment="1"/>
    <xf numFmtId="164" fontId="12" fillId="0" borderId="5" xfId="0" applyNumberFormat="1" applyFont="1" applyFill="1" applyBorder="1" applyAlignment="1"/>
    <xf numFmtId="164" fontId="12" fillId="0" borderId="0" xfId="0" applyNumberFormat="1" applyFont="1" applyFill="1" applyAlignment="1"/>
    <xf numFmtId="5" fontId="7" fillId="0" borderId="0" xfId="0" applyNumberFormat="1" applyFont="1" applyFill="1" applyAlignment="1"/>
    <xf numFmtId="5" fontId="12" fillId="0" borderId="5" xfId="0" applyNumberFormat="1" applyFont="1" applyFill="1" applyBorder="1" applyAlignment="1"/>
    <xf numFmtId="5" fontId="12" fillId="0" borderId="0" xfId="0" applyNumberFormat="1" applyFont="1" applyFill="1" applyAlignment="1"/>
    <xf numFmtId="0" fontId="43" fillId="0" borderId="0" xfId="0" applyNumberFormat="1" applyFont="1" applyFill="1" applyAlignment="1"/>
    <xf numFmtId="0" fontId="2" fillId="0" borderId="0" xfId="0" applyNumberFormat="1" applyFont="1" applyFill="1" applyBorder="1" applyAlignment="1"/>
    <xf numFmtId="5" fontId="12" fillId="0" borderId="0" xfId="0" applyNumberFormat="1" applyFont="1" applyFill="1" applyBorder="1" applyAlignment="1"/>
    <xf numFmtId="171" fontId="33" fillId="0" borderId="0" xfId="0" applyNumberFormat="1" applyFont="1" applyFill="1" applyAlignment="1">
      <alignment horizontal="center"/>
    </xf>
    <xf numFmtId="0" fontId="34" fillId="0" borderId="1" xfId="0" applyFont="1" applyFill="1" applyBorder="1" applyAlignment="1">
      <alignment horizontal="center"/>
    </xf>
    <xf numFmtId="14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1" xfId="0" applyFont="1" applyFill="1" applyBorder="1"/>
    <xf numFmtId="0" fontId="38" fillId="0" borderId="13" xfId="0" applyNumberFormat="1" applyFont="1" applyFill="1" applyBorder="1" applyAlignment="1">
      <alignment horizontal="center"/>
    </xf>
    <xf numFmtId="173" fontId="34" fillId="0" borderId="0" xfId="0" applyNumberFormat="1" applyFont="1" applyFill="1" applyBorder="1" applyAlignment="1">
      <alignment horizontal="center"/>
    </xf>
    <xf numFmtId="43" fontId="4" fillId="0" borderId="0" xfId="0" applyNumberFormat="1" applyFont="1"/>
    <xf numFmtId="164" fontId="4" fillId="0" borderId="0" xfId="0" applyNumberFormat="1" applyFont="1" applyFill="1"/>
    <xf numFmtId="43" fontId="4" fillId="0" borderId="0" xfId="0" applyNumberFormat="1" applyFont="1" applyBorder="1"/>
    <xf numFmtId="172" fontId="4" fillId="0" borderId="0" xfId="0" applyNumberFormat="1" applyFont="1" applyFill="1"/>
    <xf numFmtId="2" fontId="4" fillId="0" borderId="0" xfId="0" applyNumberFormat="1" applyFont="1"/>
    <xf numFmtId="0" fontId="45" fillId="0" borderId="0" xfId="0" applyFont="1" applyFill="1" applyAlignment="1">
      <alignment horizontal="right"/>
    </xf>
    <xf numFmtId="0" fontId="46" fillId="0" borderId="0" xfId="0" applyFont="1" applyFill="1" applyAlignment="1">
      <alignment horizontal="right"/>
    </xf>
    <xf numFmtId="0" fontId="45" fillId="0" borderId="0" xfId="0" applyFont="1" applyFill="1" applyAlignment="1">
      <alignment horizontal="left"/>
    </xf>
    <xf numFmtId="168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Continuous"/>
    </xf>
    <xf numFmtId="0" fontId="38" fillId="0" borderId="0" xfId="0" applyNumberFormat="1" applyFont="1" applyFill="1" applyBorder="1" applyAlignment="1">
      <alignment horizontal="center"/>
    </xf>
    <xf numFmtId="172" fontId="38" fillId="0" borderId="0" xfId="0" applyNumberFormat="1" applyFont="1" applyFill="1" applyBorder="1" applyAlignment="1">
      <alignment horizontal="center"/>
    </xf>
    <xf numFmtId="173" fontId="44" fillId="0" borderId="0" xfId="0" applyNumberFormat="1" applyFont="1" applyFill="1" applyBorder="1" applyAlignment="1">
      <alignment horizontal="center"/>
    </xf>
    <xf numFmtId="166" fontId="34" fillId="0" borderId="0" xfId="0" applyNumberFormat="1" applyFont="1" applyFill="1" applyBorder="1"/>
    <xf numFmtId="167" fontId="4" fillId="0" borderId="2" xfId="0" applyNumberFormat="1" applyFont="1" applyFill="1" applyBorder="1"/>
    <xf numFmtId="0" fontId="38" fillId="0" borderId="12" xfId="0" applyNumberFormat="1" applyFont="1" applyFill="1" applyBorder="1" applyAlignment="1">
      <alignment horizontal="center"/>
    </xf>
    <xf numFmtId="167" fontId="38" fillId="0" borderId="14" xfId="0" applyNumberFormat="1" applyFont="1" applyFill="1" applyBorder="1" applyAlignment="1">
      <alignment horizontal="center"/>
    </xf>
    <xf numFmtId="167" fontId="34" fillId="0" borderId="0" xfId="0" applyNumberFormat="1" applyFont="1" applyFill="1" applyBorder="1" applyAlignment="1"/>
    <xf numFmtId="164" fontId="0" fillId="0" borderId="0" xfId="0" applyNumberFormat="1"/>
    <xf numFmtId="175" fontId="4" fillId="0" borderId="0" xfId="0" applyNumberFormat="1" applyFont="1"/>
    <xf numFmtId="0" fontId="48" fillId="0" borderId="0" xfId="0" applyFont="1"/>
    <xf numFmtId="0" fontId="47" fillId="0" borderId="0" xfId="0" applyFont="1"/>
    <xf numFmtId="164" fontId="19" fillId="0" borderId="17" xfId="0" applyNumberFormat="1" applyFont="1" applyBorder="1"/>
    <xf numFmtId="176" fontId="2" fillId="0" borderId="0" xfId="0" applyNumberFormat="1" applyFont="1" applyBorder="1"/>
    <xf numFmtId="0" fontId="1" fillId="0" borderId="0" xfId="0" applyFont="1"/>
    <xf numFmtId="164" fontId="0" fillId="0" borderId="0" xfId="0" applyNumberFormat="1" applyFont="1"/>
    <xf numFmtId="43" fontId="0" fillId="0" borderId="0" xfId="0" applyNumberFormat="1" applyFont="1"/>
    <xf numFmtId="0" fontId="4" fillId="0" borderId="0" xfId="0" applyFont="1"/>
    <xf numFmtId="0" fontId="5" fillId="0" borderId="13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center"/>
    </xf>
    <xf numFmtId="166" fontId="4" fillId="0" borderId="0" xfId="0" applyNumberFormat="1" applyFont="1" applyFill="1"/>
    <xf numFmtId="0" fontId="5" fillId="0" borderId="0" xfId="0" applyFont="1" applyFill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Fill="1"/>
    <xf numFmtId="174" fontId="0" fillId="0" borderId="0" xfId="0" applyNumberFormat="1" applyFill="1"/>
    <xf numFmtId="43" fontId="4" fillId="0" borderId="0" xfId="0" applyNumberFormat="1" applyFont="1" applyFill="1"/>
    <xf numFmtId="166" fontId="5" fillId="0" borderId="2" xfId="0" applyNumberFormat="1" applyFont="1" applyFill="1" applyBorder="1"/>
    <xf numFmtId="0" fontId="34" fillId="3" borderId="0" xfId="0" applyFont="1" applyFill="1" applyAlignment="1">
      <alignment horizontal="center"/>
    </xf>
    <xf numFmtId="0" fontId="34" fillId="3" borderId="0" xfId="0" applyFont="1" applyFill="1"/>
    <xf numFmtId="171" fontId="40" fillId="3" borderId="0" xfId="0" applyNumberFormat="1" applyFont="1" applyFill="1" applyBorder="1" applyAlignment="1">
      <alignment horizontal="left"/>
    </xf>
    <xf numFmtId="171" fontId="33" fillId="3" borderId="0" xfId="0" applyNumberFormat="1" applyFont="1" applyFill="1" applyAlignment="1">
      <alignment horizontal="left"/>
    </xf>
    <xf numFmtId="166" fontId="34" fillId="3" borderId="0" xfId="0" applyNumberFormat="1" applyFont="1" applyFill="1"/>
    <xf numFmtId="164" fontId="34" fillId="3" borderId="0" xfId="0" applyNumberFormat="1" applyFont="1" applyFill="1"/>
    <xf numFmtId="0" fontId="33" fillId="3" borderId="0" xfId="0" applyNumberFormat="1" applyFont="1" applyFill="1" applyAlignment="1">
      <alignment horizontal="center"/>
    </xf>
    <xf numFmtId="164" fontId="34" fillId="3" borderId="0" xfId="0" applyNumberFormat="1" applyFont="1" applyFill="1" applyBorder="1"/>
    <xf numFmtId="171" fontId="33" fillId="3" borderId="0" xfId="0" applyNumberFormat="1" applyFont="1" applyFill="1" applyBorder="1" applyAlignment="1">
      <alignment horizontal="left"/>
    </xf>
    <xf numFmtId="164" fontId="34" fillId="3" borderId="3" xfId="0" applyNumberFormat="1" applyFont="1" applyFill="1" applyBorder="1"/>
    <xf numFmtId="0" fontId="45" fillId="3" borderId="0" xfId="0" applyFont="1" applyFill="1" applyAlignment="1">
      <alignment horizontal="right"/>
    </xf>
    <xf numFmtId="0" fontId="46" fillId="3" borderId="0" xfId="0" applyFont="1" applyFill="1" applyAlignment="1">
      <alignment horizontal="right"/>
    </xf>
    <xf numFmtId="0" fontId="45" fillId="3" borderId="0" xfId="0" applyFont="1" applyFill="1" applyAlignment="1">
      <alignment horizontal="left"/>
    </xf>
    <xf numFmtId="0" fontId="34" fillId="3" borderId="0" xfId="0" applyFont="1" applyFill="1" applyBorder="1" applyAlignment="1">
      <alignment horizontal="center"/>
    </xf>
    <xf numFmtId="171" fontId="33" fillId="3" borderId="0" xfId="0" applyNumberFormat="1" applyFont="1" applyFill="1" applyBorder="1" applyAlignment="1"/>
    <xf numFmtId="166" fontId="34" fillId="3" borderId="5" xfId="0" applyNumberFormat="1" applyFont="1" applyFill="1" applyBorder="1"/>
    <xf numFmtId="0" fontId="5" fillId="0" borderId="11" xfId="0" applyFont="1" applyFill="1" applyBorder="1" applyAlignment="1">
      <alignment horizontal="center" wrapText="1"/>
    </xf>
    <xf numFmtId="164" fontId="0" fillId="0" borderId="5" xfId="0" applyNumberFormat="1" applyBorder="1"/>
    <xf numFmtId="164" fontId="11" fillId="0" borderId="0" xfId="1" applyNumberFormat="1" applyFont="1"/>
    <xf numFmtId="0" fontId="11" fillId="2" borderId="6" xfId="0" applyFont="1" applyFill="1" applyBorder="1" applyAlignment="1">
      <alignment vertical="center" wrapText="1"/>
    </xf>
    <xf numFmtId="0" fontId="50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0-TYPwrCosts-20PCORC-1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R-4-Production-OM-20PCORC-12-2020(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oduction%20OM%20(C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4.00-PROD-ADJ-20PCORC-12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0890-PSE-WP-PKW-2020%20PCORC%20power%20cost%20summary-06-16-2021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ummary"/>
      <sheetName val="TY"/>
      <sheetName val="Prod Exp Power Costs by Order"/>
      <sheetName val="Prod Exp O&amp;M by Order"/>
      <sheetName val="Revenue and Montana Tax"/>
      <sheetName val="500KV"/>
      <sheetName val="PTAX &amp; BENEFITS"/>
      <sheetName val="ZRW_ZTP6"/>
    </sheetNames>
    <sheetDataSet>
      <sheetData sheetId="0"/>
      <sheetData sheetId="1">
        <row r="3">
          <cell r="B3">
            <v>81044146.280000001</v>
          </cell>
        </row>
        <row r="32">
          <cell r="C32">
            <v>-6480453.6300000008</v>
          </cell>
        </row>
        <row r="47">
          <cell r="C47">
            <v>728609.68</v>
          </cell>
        </row>
        <row r="53">
          <cell r="B53">
            <v>81044146.280000001</v>
          </cell>
        </row>
        <row r="54">
          <cell r="B54">
            <v>183617976.11000001</v>
          </cell>
        </row>
        <row r="55">
          <cell r="B55">
            <v>535009174.27999997</v>
          </cell>
        </row>
        <row r="56">
          <cell r="B56">
            <v>-23522407.310000002</v>
          </cell>
        </row>
        <row r="57">
          <cell r="B57">
            <v>489609.01</v>
          </cell>
        </row>
        <row r="58">
          <cell r="B58">
            <v>123883050.72</v>
          </cell>
        </row>
        <row r="59">
          <cell r="B59">
            <v>-189780073.88</v>
          </cell>
        </row>
        <row r="60">
          <cell r="B60">
            <v>-9520817.3900000006</v>
          </cell>
        </row>
        <row r="62">
          <cell r="B62">
            <v>701220657.82000005</v>
          </cell>
        </row>
        <row r="64">
          <cell r="B64">
            <v>2297906.31</v>
          </cell>
        </row>
        <row r="65">
          <cell r="B65">
            <v>703518564.12999988</v>
          </cell>
        </row>
        <row r="69">
          <cell r="C69">
            <v>120717329.14999999</v>
          </cell>
        </row>
        <row r="71">
          <cell r="C71">
            <v>7602656.5</v>
          </cell>
        </row>
        <row r="72">
          <cell r="C72">
            <v>128319985.64999999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>
        <row r="33">
          <cell r="I33">
            <v>826086705.82999992</v>
          </cell>
          <cell r="J33">
            <v>-9900562.8100000005</v>
          </cell>
          <cell r="K33">
            <v>816186143.01999986</v>
          </cell>
          <cell r="O33">
            <v>874443508.94588673</v>
          </cell>
          <cell r="P33">
            <v>-9900562.8100000005</v>
          </cell>
          <cell r="Q33">
            <v>864542946.13588655</v>
          </cell>
          <cell r="S33">
            <v>877238328.61185849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duction O&amp;M Summary"/>
      <sheetName val="Production O&amp;M Adjustments"/>
      <sheetName val="Test Year_Jul'19-Jun'20 (C)"/>
      <sheetName val="Major Maintenance (C) "/>
      <sheetName val="Test Year Amortization (C)"/>
      <sheetName val="Colstrip 3&amp;4 Talen budget (C)"/>
      <sheetName val="Freddie 1 Atlantic Power (C)"/>
      <sheetName val="Hydro License O&amp;M (C)"/>
      <sheetName val="Wild Horse Royalties (C)"/>
      <sheetName val="Vestas_Wild Horse (C)"/>
      <sheetName val="Vestas Wild Horse Extn (C)"/>
      <sheetName val="Hopkins Ridge Royalties (C)"/>
      <sheetName val="Vestas Hopkins Ridge (C)"/>
      <sheetName val="LSR1 Leases (C)"/>
      <sheetName val="LSR1 Siemens (C)"/>
      <sheetName val="Wind Generation (C)"/>
      <sheetName val="Exhibit_Prod O&amp;M"/>
      <sheetName val="Exhibit_Test Yr Adjustments"/>
      <sheetName val="Exhibit_Test Yr by FERC"/>
      <sheetName val="Exhibit_Amort Comparison (C)"/>
      <sheetName val="Exhibit_Wx Comparison (C)"/>
    </sheetNames>
    <sheetDataSet>
      <sheetData sheetId="0"/>
      <sheetData sheetId="1">
        <row r="3">
          <cell r="B3">
            <v>15360708.629999999</v>
          </cell>
          <cell r="C3">
            <v>-15274767.629999999</v>
          </cell>
          <cell r="F3">
            <v>1448718</v>
          </cell>
        </row>
        <row r="4">
          <cell r="B4">
            <v>20850021.259999998</v>
          </cell>
          <cell r="C4">
            <v>-1374493.0199999998</v>
          </cell>
          <cell r="F4">
            <v>17650331.915403496</v>
          </cell>
        </row>
        <row r="5">
          <cell r="B5">
            <v>3689935.3000000287</v>
          </cell>
          <cell r="C5">
            <v>0</v>
          </cell>
          <cell r="F5">
            <v>2377548.1299999906</v>
          </cell>
        </row>
        <row r="6">
          <cell r="B6">
            <v>4787334.5100000212</v>
          </cell>
          <cell r="C6">
            <v>0</v>
          </cell>
          <cell r="F6">
            <v>6916980.6699999394</v>
          </cell>
        </row>
        <row r="7">
          <cell r="B7">
            <v>2620205.6600000006</v>
          </cell>
          <cell r="C7">
            <v>282576.00219179923</v>
          </cell>
          <cell r="F7">
            <v>2881401.3882521</v>
          </cell>
        </row>
        <row r="8">
          <cell r="B8">
            <v>3477531.4300000193</v>
          </cell>
          <cell r="C8">
            <v>0</v>
          </cell>
          <cell r="F8">
            <v>3912163.9099999415</v>
          </cell>
        </row>
        <row r="9">
          <cell r="B9">
            <v>252629.72</v>
          </cell>
          <cell r="C9">
            <v>286681.15848059999</v>
          </cell>
          <cell r="F9">
            <v>403236.76025379996</v>
          </cell>
        </row>
        <row r="10">
          <cell r="B10">
            <v>7340011.9699999988</v>
          </cell>
          <cell r="C10">
            <v>70339.623094501556</v>
          </cell>
          <cell r="F10">
            <v>7466530.7827237509</v>
          </cell>
        </row>
        <row r="11">
          <cell r="B11">
            <v>10563932.359999999</v>
          </cell>
          <cell r="C11">
            <v>456716.17058259994</v>
          </cell>
          <cell r="F11">
            <v>11279896.497953692</v>
          </cell>
        </row>
        <row r="12">
          <cell r="B12">
            <v>12740258.789999999</v>
          </cell>
          <cell r="C12">
            <v>266190.06372111384</v>
          </cell>
          <cell r="F12">
            <v>13947992.919323642</v>
          </cell>
        </row>
        <row r="13">
          <cell r="B13">
            <v>144213.31</v>
          </cell>
          <cell r="C13">
            <v>0</v>
          </cell>
          <cell r="F13">
            <v>145177.78000000006</v>
          </cell>
        </row>
        <row r="14">
          <cell r="B14">
            <v>5830115.2699999483</v>
          </cell>
          <cell r="C14">
            <v>0.84000000002561137</v>
          </cell>
          <cell r="F14">
            <v>5826998.3700000281</v>
          </cell>
        </row>
        <row r="15">
          <cell r="B15">
            <v>7272075.5700000003</v>
          </cell>
          <cell r="C15">
            <v>0</v>
          </cell>
          <cell r="F15">
            <v>7205208.0599999987</v>
          </cell>
        </row>
        <row r="16">
          <cell r="B16">
            <v>3948857.2699999996</v>
          </cell>
          <cell r="C16">
            <v>458586.05030280445</v>
          </cell>
          <cell r="F16">
            <v>4540880.1766496804</v>
          </cell>
        </row>
        <row r="17">
          <cell r="B17">
            <v>1894766.0400000003</v>
          </cell>
          <cell r="C17">
            <v>-55397.14</v>
          </cell>
          <cell r="F17">
            <v>1584888.6099999978</v>
          </cell>
        </row>
        <row r="18">
          <cell r="B18">
            <v>4376260.3899999978</v>
          </cell>
          <cell r="C18">
            <v>153051.06666666662</v>
          </cell>
          <cell r="F18">
            <v>4765514.5599999996</v>
          </cell>
        </row>
        <row r="19">
          <cell r="B19">
            <v>7965311.0400000047</v>
          </cell>
          <cell r="C19">
            <v>0</v>
          </cell>
          <cell r="F19">
            <v>7686664.0200000014</v>
          </cell>
        </row>
        <row r="20">
          <cell r="B20">
            <v>7383065.29</v>
          </cell>
          <cell r="C20">
            <v>-413761.87</v>
          </cell>
          <cell r="F20">
            <v>6796734.3599999873</v>
          </cell>
        </row>
        <row r="21">
          <cell r="B21">
            <v>4832921.0500000007</v>
          </cell>
          <cell r="C21">
            <v>-1.7999999999592546</v>
          </cell>
          <cell r="F21">
            <v>5450490.2600000016</v>
          </cell>
        </row>
        <row r="22">
          <cell r="B22">
            <v>1632749.7199999988</v>
          </cell>
          <cell r="C22">
            <v>-33708.054388489196</v>
          </cell>
          <cell r="F22">
            <v>1777918.3856115101</v>
          </cell>
        </row>
        <row r="23">
          <cell r="B23">
            <v>0</v>
          </cell>
          <cell r="C23">
            <v>0</v>
          </cell>
          <cell r="F23">
            <v>0</v>
          </cell>
        </row>
        <row r="24">
          <cell r="B24">
            <v>1290296.92</v>
          </cell>
          <cell r="C24">
            <v>0</v>
          </cell>
          <cell r="F24">
            <v>1207561.8700000001</v>
          </cell>
        </row>
        <row r="25">
          <cell r="B25">
            <v>66784.149999999994</v>
          </cell>
          <cell r="C25">
            <v>0</v>
          </cell>
          <cell r="F25">
            <v>30103.989999999998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PCORC RJR WP"/>
      <sheetName val="Adj. 15.01 2020PCORC Suppl"/>
      <sheetName val="2019 GRC---&gt;"/>
      <sheetName val="Cols 3&amp;4 Detail"/>
      <sheetName val="Adj. 21.01 p1 Compl Filing"/>
      <sheetName val="Adj. 21.01 p2 Compl Filing"/>
      <sheetName val="RJR Prod O&amp;M Support"/>
      <sheetName val="Cols 3&amp;4 Common"/>
      <sheetName val="Cols 3&amp;4 MM"/>
    </sheetNames>
    <sheetDataSet>
      <sheetData sheetId="0">
        <row r="32">
          <cell r="D32">
            <v>-1027139.1622982528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Factor===&gt;"/>
      <sheetName val="Exh BDJ-4 p1 (Prod Factor)"/>
      <sheetName val="GPI (F2020)"/>
      <sheetName val="Temperature Adjust Excl 139"/>
      <sheetName val="Schedule 139 Load"/>
      <sheetName val="UE-190529 LR - Energy"/>
    </sheetNames>
    <sheetDataSet>
      <sheetData sheetId="0"/>
      <sheetData sheetId="1">
        <row r="6">
          <cell r="G6">
            <v>22535857020.00946</v>
          </cell>
        </row>
        <row r="7">
          <cell r="G7">
            <v>-2296743088.5840001</v>
          </cell>
        </row>
        <row r="8">
          <cell r="G8">
            <v>-679392876.079</v>
          </cell>
        </row>
        <row r="9">
          <cell r="G9">
            <v>125765490.74369743</v>
          </cell>
        </row>
        <row r="10">
          <cell r="E10">
            <v>19359468123.921001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26C Power Cost summary"/>
      <sheetName val="27C Summary by resource"/>
      <sheetName val="28C Aurora total"/>
      <sheetName val="29C Not in Aurora"/>
      <sheetName val="30C Energy prices"/>
      <sheetName val="31C Gas MTM"/>
      <sheetName val="32C Transmission"/>
      <sheetName val="33C Mid C summary"/>
      <sheetName val="34C Fixed Gas Transport"/>
      <sheetName val="35C Day-ahead wind int."/>
      <sheetName val="36C Distillate fuel"/>
      <sheetName val="37C Non-fuel start costs"/>
      <sheetName val="23C Colstrip fixed fuel"/>
      <sheetName val="24 FERC 557 Costs"/>
    </sheetNames>
    <sheetDataSet>
      <sheetData sheetId="0"/>
      <sheetData sheetId="1">
        <row r="7">
          <cell r="O7">
            <v>41753.818174172084</v>
          </cell>
        </row>
        <row r="8">
          <cell r="O8">
            <v>155199.1101660729</v>
          </cell>
        </row>
        <row r="9">
          <cell r="O9">
            <v>14178.879207</v>
          </cell>
        </row>
        <row r="10">
          <cell r="O10">
            <v>154629.58259088211</v>
          </cell>
        </row>
        <row r="11">
          <cell r="O11">
            <v>75775.032755105276</v>
          </cell>
        </row>
        <row r="12">
          <cell r="O12">
            <v>283341.49241290003</v>
          </cell>
        </row>
        <row r="13">
          <cell r="O13">
            <v>-46206.031410176474</v>
          </cell>
        </row>
        <row r="14">
          <cell r="O14">
            <v>128266.35805674571</v>
          </cell>
        </row>
        <row r="15">
          <cell r="O15">
            <v>-57639.705130644863</v>
          </cell>
        </row>
        <row r="16">
          <cell r="O16">
            <v>14722.501100000003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A10" zoomScaleNormal="100" workbookViewId="0">
      <selection activeCell="J28" sqref="J28"/>
    </sheetView>
  </sheetViews>
  <sheetFormatPr defaultColWidth="9.28515625" defaultRowHeight="12.75" x14ac:dyDescent="0.2"/>
  <cols>
    <col min="1" max="1" width="9.28515625" style="105" bestFit="1" customWidth="1"/>
    <col min="2" max="2" width="6.7109375" style="105" bestFit="1" customWidth="1"/>
    <col min="3" max="3" width="7.28515625" style="105" customWidth="1"/>
    <col min="4" max="4" width="53.7109375" style="105" bestFit="1" customWidth="1"/>
    <col min="5" max="5" width="14" style="105" bestFit="1" customWidth="1"/>
    <col min="6" max="6" width="11.85546875" style="105" bestFit="1" customWidth="1"/>
    <col min="7" max="7" width="13.28515625" style="105" bestFit="1" customWidth="1"/>
    <col min="8" max="8" width="17.42578125" style="105" bestFit="1" customWidth="1"/>
    <col min="9" max="9" width="13.5703125" style="105" bestFit="1" customWidth="1"/>
    <col min="10" max="10" width="15.28515625" style="105" bestFit="1" customWidth="1"/>
    <col min="11" max="11" width="16.7109375" style="105" customWidth="1"/>
    <col min="12" max="12" width="5.28515625" style="105" customWidth="1"/>
    <col min="13" max="13" width="10.7109375" style="105" bestFit="1" customWidth="1"/>
    <col min="14" max="16384" width="9.28515625" style="105"/>
  </cols>
  <sheetData>
    <row r="1" spans="1:14" x14ac:dyDescent="0.2">
      <c r="A1" s="104"/>
      <c r="B1" s="104"/>
      <c r="C1" s="104"/>
      <c r="D1" s="128"/>
      <c r="E1" s="104"/>
      <c r="F1" s="104"/>
      <c r="G1" s="104"/>
      <c r="H1" s="104"/>
      <c r="I1" s="104"/>
      <c r="J1" s="104"/>
      <c r="K1" s="104"/>
      <c r="L1" s="104"/>
      <c r="M1" s="104"/>
    </row>
    <row r="2" spans="1:14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6"/>
      <c r="L2" s="106"/>
      <c r="M2" s="104"/>
    </row>
    <row r="3" spans="1:14" x14ac:dyDescent="0.2">
      <c r="A3" s="215" t="s">
        <v>167</v>
      </c>
      <c r="B3" s="104"/>
      <c r="C3" s="104"/>
      <c r="D3" s="104"/>
      <c r="E3" s="104"/>
      <c r="F3" s="104"/>
      <c r="G3" s="104"/>
      <c r="H3" s="104"/>
      <c r="I3" s="104"/>
      <c r="J3" s="104"/>
      <c r="K3" s="106"/>
      <c r="L3" s="106"/>
      <c r="M3" s="104"/>
    </row>
    <row r="4" spans="1:14" x14ac:dyDescent="0.2">
      <c r="A4" s="107" t="s">
        <v>1</v>
      </c>
      <c r="B4" s="108"/>
      <c r="C4" s="108"/>
      <c r="D4" s="108"/>
      <c r="E4" s="108"/>
      <c r="F4" s="108"/>
      <c r="G4" s="108"/>
      <c r="H4" s="109"/>
      <c r="I4" s="108"/>
      <c r="J4" s="108"/>
      <c r="K4" s="110"/>
      <c r="L4" s="110"/>
      <c r="M4" s="104"/>
    </row>
    <row r="5" spans="1:14" x14ac:dyDescent="0.2">
      <c r="A5" s="107" t="s">
        <v>59</v>
      </c>
      <c r="B5" s="108"/>
      <c r="C5" s="108"/>
      <c r="D5" s="108"/>
      <c r="E5" s="108"/>
      <c r="F5" s="108"/>
      <c r="G5" s="108"/>
      <c r="H5" s="109"/>
      <c r="I5" s="108"/>
      <c r="J5" s="108"/>
      <c r="K5" s="110"/>
      <c r="L5" s="110"/>
      <c r="M5" s="104"/>
    </row>
    <row r="6" spans="1:14" ht="13.5" x14ac:dyDescent="0.25">
      <c r="A6" s="107" t="s">
        <v>72</v>
      </c>
      <c r="B6" s="108"/>
      <c r="C6" s="108"/>
      <c r="D6" s="108"/>
      <c r="E6" s="108"/>
      <c r="F6" s="108"/>
      <c r="G6" s="108"/>
      <c r="H6" s="109"/>
      <c r="I6" s="108"/>
      <c r="J6"/>
      <c r="K6"/>
      <c r="L6" s="111"/>
      <c r="M6" s="104"/>
    </row>
    <row r="7" spans="1:14" x14ac:dyDescent="0.2">
      <c r="A7" s="107" t="s">
        <v>73</v>
      </c>
      <c r="B7" s="108"/>
      <c r="C7" s="108"/>
      <c r="D7" s="108"/>
      <c r="E7" s="108"/>
      <c r="F7" s="108"/>
      <c r="G7" s="108"/>
      <c r="H7" s="109"/>
      <c r="I7" s="108"/>
      <c r="J7"/>
      <c r="K7"/>
      <c r="L7" s="162"/>
      <c r="M7" s="104"/>
    </row>
    <row r="8" spans="1:14" x14ac:dyDescent="0.2">
      <c r="A8" s="112"/>
      <c r="B8" s="113"/>
      <c r="C8" s="113"/>
      <c r="D8" s="113"/>
      <c r="E8" s="113"/>
      <c r="F8" s="113"/>
      <c r="G8" s="113"/>
      <c r="H8" s="113"/>
      <c r="I8" s="113"/>
      <c r="J8"/>
      <c r="K8"/>
      <c r="L8" s="163"/>
      <c r="M8" s="104"/>
    </row>
    <row r="9" spans="1:14" x14ac:dyDescent="0.2">
      <c r="A9" s="112"/>
      <c r="B9" s="113"/>
      <c r="C9" s="113"/>
      <c r="D9" s="113"/>
      <c r="E9" s="113"/>
      <c r="F9" s="113"/>
      <c r="G9" s="113"/>
      <c r="H9" s="113"/>
      <c r="I9" s="114"/>
      <c r="J9"/>
      <c r="K9"/>
      <c r="L9" s="113"/>
      <c r="M9" s="104"/>
    </row>
    <row r="10" spans="1:14" ht="13.5" thickBot="1" x14ac:dyDescent="0.25">
      <c r="A10" s="112"/>
      <c r="B10" s="113"/>
      <c r="C10" s="113"/>
      <c r="D10" s="113"/>
      <c r="E10" s="113"/>
      <c r="F10" s="113"/>
      <c r="G10" s="113"/>
      <c r="H10" s="113"/>
      <c r="I10" s="114"/>
      <c r="J10" s="113"/>
      <c r="K10" s="113"/>
      <c r="L10" s="113"/>
      <c r="M10" s="104"/>
    </row>
    <row r="11" spans="1:14" ht="15" x14ac:dyDescent="0.25">
      <c r="A11" s="112"/>
      <c r="B11" s="113"/>
      <c r="C11" s="113"/>
      <c r="D11" s="113"/>
      <c r="E11" s="113"/>
      <c r="F11" s="113"/>
      <c r="G11" s="113"/>
      <c r="H11" s="113"/>
      <c r="I11" s="114"/>
      <c r="J11"/>
      <c r="K11" s="152" t="s">
        <v>145</v>
      </c>
      <c r="L11" s="165"/>
      <c r="M11" s="104"/>
    </row>
    <row r="12" spans="1:14" ht="15" x14ac:dyDescent="0.25">
      <c r="A12" s="112"/>
      <c r="B12" s="113"/>
      <c r="C12" s="113"/>
      <c r="D12" s="113"/>
      <c r="E12" s="113"/>
      <c r="F12" s="113"/>
      <c r="G12" s="113"/>
      <c r="H12" s="113"/>
      <c r="I12" s="114"/>
      <c r="J12"/>
      <c r="K12" s="169" t="s">
        <v>0</v>
      </c>
      <c r="L12" s="164"/>
      <c r="M12" s="104"/>
    </row>
    <row r="13" spans="1:14" ht="15.75" thickBot="1" x14ac:dyDescent="0.3">
      <c r="A13" s="112"/>
      <c r="B13" s="113"/>
      <c r="C13" s="113"/>
      <c r="D13" s="113"/>
      <c r="E13" s="113"/>
      <c r="F13" s="113"/>
      <c r="G13" s="113"/>
      <c r="H13" s="113"/>
      <c r="I13" s="114"/>
      <c r="J13"/>
      <c r="K13" s="170">
        <f>+ProdFctr!F28</f>
        <v>1.01684</v>
      </c>
      <c r="L13" s="166"/>
      <c r="M13" s="104"/>
    </row>
    <row r="14" spans="1:14" x14ac:dyDescent="0.2">
      <c r="A14" s="104"/>
      <c r="B14" s="104"/>
      <c r="C14" s="104"/>
      <c r="D14" s="104"/>
      <c r="E14" s="115"/>
      <c r="F14" s="116"/>
      <c r="G14" s="147" t="s">
        <v>142</v>
      </c>
      <c r="H14" s="147" t="s">
        <v>148</v>
      </c>
      <c r="I14" s="113"/>
      <c r="J14" s="104"/>
      <c r="K14" s="117" t="s">
        <v>60</v>
      </c>
      <c r="L14" s="117"/>
      <c r="M14" s="104"/>
    </row>
    <row r="15" spans="1:14" x14ac:dyDescent="0.2">
      <c r="A15" s="104"/>
      <c r="B15" s="104"/>
      <c r="C15" s="104"/>
      <c r="D15" s="104"/>
      <c r="E15" s="117" t="s">
        <v>61</v>
      </c>
      <c r="F15" s="118" t="s">
        <v>63</v>
      </c>
      <c r="G15" s="147" t="s">
        <v>67</v>
      </c>
      <c r="H15" s="147" t="s">
        <v>149</v>
      </c>
      <c r="I15" s="117" t="s">
        <v>62</v>
      </c>
      <c r="J15" s="117" t="s">
        <v>64</v>
      </c>
      <c r="K15" s="117" t="s">
        <v>65</v>
      </c>
      <c r="L15" s="117"/>
      <c r="M15"/>
      <c r="N15"/>
    </row>
    <row r="16" spans="1:14" x14ac:dyDescent="0.2">
      <c r="A16" s="116" t="s">
        <v>53</v>
      </c>
      <c r="B16" s="119" t="s">
        <v>3</v>
      </c>
      <c r="C16" s="119"/>
      <c r="D16" s="119" t="s">
        <v>2</v>
      </c>
      <c r="E16" s="149">
        <v>44012</v>
      </c>
      <c r="F16" s="150" t="s">
        <v>66</v>
      </c>
      <c r="G16" s="147" t="s">
        <v>147</v>
      </c>
      <c r="H16" s="147" t="s">
        <v>141</v>
      </c>
      <c r="I16" s="116" t="s">
        <v>66</v>
      </c>
      <c r="J16" s="116" t="s">
        <v>67</v>
      </c>
      <c r="K16" s="171">
        <f>+K13</f>
        <v>1.01684</v>
      </c>
      <c r="L16" s="153"/>
      <c r="M16"/>
      <c r="N16"/>
    </row>
    <row r="17" spans="1:14" x14ac:dyDescent="0.2">
      <c r="A17" s="151"/>
      <c r="B17" s="151"/>
      <c r="C17" s="151"/>
      <c r="D17" s="151"/>
      <c r="E17" s="151"/>
      <c r="F17" s="151"/>
      <c r="G17" s="151"/>
      <c r="H17" s="148" t="s">
        <v>68</v>
      </c>
      <c r="I17" s="148"/>
      <c r="J17" s="151"/>
      <c r="K17" s="148"/>
      <c r="L17" s="116"/>
      <c r="M17"/>
      <c r="N17"/>
    </row>
    <row r="18" spans="1:14" x14ac:dyDescent="0.2">
      <c r="A18" s="117">
        <v>1</v>
      </c>
      <c r="B18" s="104"/>
      <c r="C18" s="104"/>
      <c r="D18" s="130" t="s">
        <v>129</v>
      </c>
      <c r="E18" s="104"/>
      <c r="F18" s="104"/>
      <c r="G18" s="104"/>
      <c r="H18" s="104"/>
      <c r="I18" s="104"/>
      <c r="J18" s="104"/>
      <c r="K18" s="104"/>
      <c r="L18" s="104"/>
      <c r="M18"/>
      <c r="N18"/>
    </row>
    <row r="19" spans="1:14" x14ac:dyDescent="0.2">
      <c r="A19" s="117">
        <f t="shared" ref="A19:A34" si="0">A18+1</f>
        <v>2</v>
      </c>
      <c r="B19" s="117">
        <v>501</v>
      </c>
      <c r="C19" s="117" t="s">
        <v>124</v>
      </c>
      <c r="D19" s="103" t="s">
        <v>153</v>
      </c>
      <c r="E19" s="114">
        <f>+[1]Summary!B53</f>
        <v>81044146.280000001</v>
      </c>
      <c r="F19" s="114"/>
      <c r="G19" s="120">
        <f t="shared" ref="G19:G26" si="1">SUM(E19:F19)</f>
        <v>81044146.280000001</v>
      </c>
      <c r="H19" s="120">
        <f>+PKW!C7*1000</f>
        <v>41753818.174172081</v>
      </c>
      <c r="I19" s="121">
        <v>0</v>
      </c>
      <c r="J19" s="121">
        <f t="shared" ref="J19:J26" si="2">SUM(H19:I19)</f>
        <v>41753818.174172081</v>
      </c>
      <c r="K19" s="121">
        <f>IF(C19="V",J19*$K$16,J19)</f>
        <v>42456952.472225137</v>
      </c>
      <c r="L19" s="121"/>
      <c r="M19"/>
      <c r="N19"/>
    </row>
    <row r="20" spans="1:14" x14ac:dyDescent="0.2">
      <c r="A20" s="117">
        <f t="shared" si="0"/>
        <v>3</v>
      </c>
      <c r="B20" s="117">
        <v>547</v>
      </c>
      <c r="C20" s="117" t="s">
        <v>124</v>
      </c>
      <c r="D20" s="103" t="s">
        <v>126</v>
      </c>
      <c r="E20" s="122">
        <f>+[1]Summary!B54</f>
        <v>183617976.11000001</v>
      </c>
      <c r="F20" s="122"/>
      <c r="G20" s="122">
        <f t="shared" si="1"/>
        <v>183617976.11000001</v>
      </c>
      <c r="H20" s="122">
        <f>+PKW!C8*1000</f>
        <v>155199110.16607291</v>
      </c>
      <c r="I20" s="123"/>
      <c r="J20" s="123">
        <f t="shared" si="2"/>
        <v>155199110.16607291</v>
      </c>
      <c r="K20" s="123">
        <f t="shared" ref="K20:K26" si="3">IF(C20="V",J20*$K$16,J20)</f>
        <v>157812663.18126956</v>
      </c>
      <c r="L20" s="123"/>
      <c r="M20"/>
      <c r="N20"/>
    </row>
    <row r="21" spans="1:14" x14ac:dyDescent="0.2">
      <c r="A21" s="117">
        <f t="shared" si="0"/>
        <v>4</v>
      </c>
      <c r="B21" s="117">
        <v>555</v>
      </c>
      <c r="C21" s="117" t="s">
        <v>124</v>
      </c>
      <c r="D21" s="103" t="s">
        <v>130</v>
      </c>
      <c r="E21" s="122">
        <f>+[1]Summary!B55</f>
        <v>535009174.27999997</v>
      </c>
      <c r="F21" s="122"/>
      <c r="G21" s="122">
        <f t="shared" si="1"/>
        <v>535009174.27999997</v>
      </c>
      <c r="H21" s="122">
        <f>SUM(PKW!C9:C12)*1000</f>
        <v>527924986.96588749</v>
      </c>
      <c r="I21" s="123">
        <v>0</v>
      </c>
      <c r="J21" s="123">
        <f t="shared" si="2"/>
        <v>527924986.96588749</v>
      </c>
      <c r="K21" s="123">
        <f t="shared" si="3"/>
        <v>536815243.74639302</v>
      </c>
      <c r="L21" s="123"/>
      <c r="M21"/>
      <c r="N21"/>
    </row>
    <row r="22" spans="1:14" x14ac:dyDescent="0.2">
      <c r="A22" s="117">
        <f t="shared" si="0"/>
        <v>5</v>
      </c>
      <c r="B22" s="117">
        <v>557</v>
      </c>
      <c r="C22" s="129" t="s">
        <v>125</v>
      </c>
      <c r="D22" s="103" t="s">
        <v>127</v>
      </c>
      <c r="E22" s="123">
        <f>+[1]Summary!B56+[1]Summary!$B$64</f>
        <v>-21224501.000000004</v>
      </c>
      <c r="F22" s="122">
        <f>-[1]Summary!$B$64</f>
        <v>-2297906.31</v>
      </c>
      <c r="G22" s="122">
        <f t="shared" si="1"/>
        <v>-23522407.310000002</v>
      </c>
      <c r="H22" s="123">
        <f>+PKW!C16*1000-H23</f>
        <v>14232892.090000004</v>
      </c>
      <c r="I22" s="123">
        <f>+F22</f>
        <v>-2297906.31</v>
      </c>
      <c r="J22" s="123">
        <f t="shared" si="2"/>
        <v>11934985.780000003</v>
      </c>
      <c r="K22" s="123">
        <f t="shared" si="3"/>
        <v>11934985.780000003</v>
      </c>
      <c r="L22" s="123"/>
      <c r="M22"/>
      <c r="N22"/>
    </row>
    <row r="23" spans="1:14" x14ac:dyDescent="0.2">
      <c r="A23" s="117">
        <f t="shared" si="0"/>
        <v>6</v>
      </c>
      <c r="B23" s="117">
        <v>557</v>
      </c>
      <c r="C23" s="129" t="s">
        <v>124</v>
      </c>
      <c r="D23" s="103" t="s">
        <v>128</v>
      </c>
      <c r="E23" s="122">
        <f>+[1]Summary!B57</f>
        <v>489609.01</v>
      </c>
      <c r="F23" s="122"/>
      <c r="G23" s="122">
        <f t="shared" si="1"/>
        <v>489609.01</v>
      </c>
      <c r="H23" s="122">
        <f>+G23</f>
        <v>489609.01</v>
      </c>
      <c r="I23" s="123"/>
      <c r="J23" s="123">
        <f t="shared" si="2"/>
        <v>489609.01</v>
      </c>
      <c r="K23" s="123">
        <f t="shared" si="3"/>
        <v>497854.02572839998</v>
      </c>
      <c r="L23" s="123"/>
      <c r="M23"/>
      <c r="N23"/>
    </row>
    <row r="24" spans="1:14" x14ac:dyDescent="0.2">
      <c r="A24" s="117">
        <f t="shared" si="0"/>
        <v>7</v>
      </c>
      <c r="B24" s="117">
        <v>565</v>
      </c>
      <c r="C24" s="117" t="s">
        <v>124</v>
      </c>
      <c r="D24" s="103" t="s">
        <v>131</v>
      </c>
      <c r="E24" s="125">
        <f>+[1]Summary!B58</f>
        <v>123883050.72</v>
      </c>
      <c r="F24" s="125"/>
      <c r="G24" s="125">
        <f t="shared" si="1"/>
        <v>123883050.72</v>
      </c>
      <c r="H24" s="125">
        <f>+PKW!C14*1000</f>
        <v>128266358.05674571</v>
      </c>
      <c r="I24" s="124">
        <f>SUM(F24:F24)</f>
        <v>0</v>
      </c>
      <c r="J24" s="124">
        <f t="shared" si="2"/>
        <v>128266358.05674571</v>
      </c>
      <c r="K24" s="124">
        <f t="shared" si="3"/>
        <v>130426363.52642131</v>
      </c>
      <c r="L24" s="124"/>
      <c r="M24"/>
      <c r="N24"/>
    </row>
    <row r="25" spans="1:14" x14ac:dyDescent="0.2">
      <c r="A25" s="117">
        <f t="shared" si="0"/>
        <v>8</v>
      </c>
      <c r="B25" s="117">
        <v>447</v>
      </c>
      <c r="C25" s="117" t="s">
        <v>124</v>
      </c>
      <c r="D25" s="103" t="s">
        <v>132</v>
      </c>
      <c r="E25" s="122">
        <f>+[1]Summary!B59</f>
        <v>-189780073.88</v>
      </c>
      <c r="F25" s="122"/>
      <c r="G25" s="122">
        <f t="shared" si="1"/>
        <v>-189780073.88</v>
      </c>
      <c r="H25" s="122">
        <f>+PKW!C13*1000</f>
        <v>-46206031.410176471</v>
      </c>
      <c r="I25" s="123"/>
      <c r="J25" s="123">
        <f t="shared" si="2"/>
        <v>-46206031.410176471</v>
      </c>
      <c r="K25" s="123">
        <f t="shared" si="3"/>
        <v>-46984140.979123838</v>
      </c>
      <c r="L25" s="123"/>
      <c r="M25"/>
      <c r="N25"/>
    </row>
    <row r="26" spans="1:14" x14ac:dyDescent="0.2">
      <c r="A26" s="117">
        <f t="shared" si="0"/>
        <v>9</v>
      </c>
      <c r="B26" s="117">
        <v>456</v>
      </c>
      <c r="C26" s="117" t="s">
        <v>124</v>
      </c>
      <c r="D26" s="103" t="s">
        <v>133</v>
      </c>
      <c r="E26" s="122">
        <f>+[1]Summary!B60</f>
        <v>-9520817.3900000006</v>
      </c>
      <c r="F26" s="122"/>
      <c r="G26" s="122">
        <f t="shared" si="1"/>
        <v>-9520817.3900000006</v>
      </c>
      <c r="H26" s="122">
        <f>+PKW!C15*1000</f>
        <v>-57639705.130644865</v>
      </c>
      <c r="I26" s="123">
        <f>SUM(F26:F26)</f>
        <v>0</v>
      </c>
      <c r="J26" s="123">
        <f t="shared" si="2"/>
        <v>-57639705.130644865</v>
      </c>
      <c r="K26" s="123">
        <f t="shared" si="3"/>
        <v>-58610357.76504492</v>
      </c>
      <c r="L26" s="123"/>
      <c r="M26"/>
      <c r="N26"/>
    </row>
    <row r="27" spans="1:14" x14ac:dyDescent="0.2">
      <c r="A27" s="117">
        <f t="shared" si="0"/>
        <v>10</v>
      </c>
      <c r="B27" s="104"/>
      <c r="C27" s="104"/>
      <c r="D27" s="131" t="s">
        <v>134</v>
      </c>
      <c r="E27" s="126">
        <f t="shared" ref="E27:K27" si="4">SUM(E19:E26)</f>
        <v>703518564.13</v>
      </c>
      <c r="F27" s="126">
        <f t="shared" si="4"/>
        <v>-2297906.31</v>
      </c>
      <c r="G27" s="126">
        <f t="shared" si="4"/>
        <v>701220657.81999993</v>
      </c>
      <c r="H27" s="126">
        <f t="shared" si="4"/>
        <v>764021037.92205679</v>
      </c>
      <c r="I27" s="126">
        <f t="shared" si="4"/>
        <v>-2297906.31</v>
      </c>
      <c r="J27" s="126">
        <f t="shared" si="4"/>
        <v>761723131.61205661</v>
      </c>
      <c r="K27" s="126">
        <f t="shared" si="4"/>
        <v>774349563.98786855</v>
      </c>
      <c r="L27" s="125"/>
      <c r="M27"/>
      <c r="N27"/>
    </row>
    <row r="28" spans="1:14" x14ac:dyDescent="0.2">
      <c r="A28" s="117">
        <f t="shared" si="0"/>
        <v>11</v>
      </c>
      <c r="B28" s="104"/>
      <c r="C28" s="104"/>
      <c r="D28" s="159" t="s">
        <v>152</v>
      </c>
      <c r="E28" s="125">
        <f>+[1]Summary!$B$65-E27</f>
        <v>0</v>
      </c>
      <c r="F28" s="160"/>
      <c r="G28" s="125">
        <f>+[1]Summary!$B$62-G27</f>
        <v>0</v>
      </c>
      <c r="H28" s="161" t="s">
        <v>151</v>
      </c>
      <c r="I28" s="124"/>
      <c r="J28" s="124"/>
      <c r="K28" s="124"/>
      <c r="L28" s="124"/>
      <c r="M28"/>
      <c r="N28"/>
    </row>
    <row r="29" spans="1:14" x14ac:dyDescent="0.2">
      <c r="A29" s="117"/>
      <c r="B29" s="104"/>
      <c r="C29" s="104"/>
      <c r="D29" s="159" t="s">
        <v>152</v>
      </c>
      <c r="E29" s="125">
        <f>+[1]Summary!$C$72-E30</f>
        <v>0</v>
      </c>
      <c r="F29" s="125"/>
      <c r="G29" s="125">
        <f>+[1]Summary!$C$69-G30</f>
        <v>0</v>
      </c>
      <c r="H29" s="161" t="s">
        <v>151</v>
      </c>
      <c r="I29" s="124"/>
      <c r="J29" s="124"/>
      <c r="K29" s="124"/>
      <c r="L29" s="124"/>
      <c r="M29"/>
      <c r="N29"/>
    </row>
    <row r="30" spans="1:14" x14ac:dyDescent="0.2">
      <c r="A30" s="117">
        <f>A28+1</f>
        <v>12</v>
      </c>
      <c r="B30" s="116" t="s">
        <v>69</v>
      </c>
      <c r="C30" s="129" t="s">
        <v>125</v>
      </c>
      <c r="D30" s="132" t="s">
        <v>136</v>
      </c>
      <c r="E30" s="123">
        <f>+[1]Summary!$C$72</f>
        <v>128319985.64999999</v>
      </c>
      <c r="F30" s="125">
        <f>-[1]Summary!$C$71</f>
        <v>-7602656.5</v>
      </c>
      <c r="G30" s="122">
        <f>SUM(E30:F30)</f>
        <v>120717329.14999999</v>
      </c>
      <c r="H30" s="124">
        <f>+'Production O&amp;M Summary RJR'!D28</f>
        <v>112114857.94835338</v>
      </c>
      <c r="I30" s="124">
        <f>+F30</f>
        <v>-7602656.5</v>
      </c>
      <c r="J30" s="124">
        <f>SUM(H30:I30)</f>
        <v>104512201.44835338</v>
      </c>
      <c r="K30" s="123">
        <f t="shared" ref="K30:K33" si="5">IF(C30="V",J30*$K$16,J30)</f>
        <v>104512201.44835338</v>
      </c>
      <c r="L30" s="123"/>
      <c r="M30"/>
      <c r="N30"/>
    </row>
    <row r="31" spans="1:14" x14ac:dyDescent="0.2">
      <c r="A31" s="117">
        <f t="shared" si="0"/>
        <v>13</v>
      </c>
      <c r="B31" s="117" t="s">
        <v>69</v>
      </c>
      <c r="C31" s="129" t="s">
        <v>125</v>
      </c>
      <c r="D31" s="131" t="s">
        <v>135</v>
      </c>
      <c r="E31" s="122">
        <f>+[1]Summary!$C$47</f>
        <v>728609.68</v>
      </c>
      <c r="F31" s="125"/>
      <c r="G31" s="122">
        <f>SUM(E31:F31)</f>
        <v>728609.68</v>
      </c>
      <c r="H31" s="124">
        <f>+G31</f>
        <v>728609.68</v>
      </c>
      <c r="I31" s="124"/>
      <c r="J31" s="124">
        <f>SUM(H31:I31)</f>
        <v>728609.68</v>
      </c>
      <c r="K31" s="123">
        <f t="shared" si="5"/>
        <v>728609.68</v>
      </c>
      <c r="L31" s="123"/>
      <c r="M31"/>
      <c r="N31"/>
    </row>
    <row r="32" spans="1:14" x14ac:dyDescent="0.2">
      <c r="A32" s="117">
        <f t="shared" si="0"/>
        <v>14</v>
      </c>
      <c r="B32" s="117">
        <v>4561</v>
      </c>
      <c r="C32" s="129" t="s">
        <v>125</v>
      </c>
      <c r="D32" s="131" t="s">
        <v>146</v>
      </c>
      <c r="E32" s="122">
        <f>+[1]Summary!$C$32</f>
        <v>-6480453.6300000008</v>
      </c>
      <c r="F32" s="122"/>
      <c r="G32" s="122">
        <f>SUM(E32:F32)</f>
        <v>-6480453.6300000008</v>
      </c>
      <c r="H32" s="124">
        <f>-'OATT Trans Rev'!D31</f>
        <v>-6515420.6045234576</v>
      </c>
      <c r="I32" s="123">
        <f>SUM(F32:F32)</f>
        <v>0</v>
      </c>
      <c r="J32" s="124">
        <f>SUM(H32:I32)</f>
        <v>-6515420.6045234576</v>
      </c>
      <c r="K32" s="123">
        <f t="shared" si="5"/>
        <v>-6515420.6045234576</v>
      </c>
      <c r="L32" s="123"/>
      <c r="M32"/>
      <c r="N32"/>
    </row>
    <row r="33" spans="1:15" x14ac:dyDescent="0.2">
      <c r="A33" s="117">
        <f t="shared" si="0"/>
        <v>15</v>
      </c>
      <c r="B33" s="117" t="s">
        <v>70</v>
      </c>
      <c r="C33" s="117" t="s">
        <v>124</v>
      </c>
      <c r="D33" s="131" t="s">
        <v>137</v>
      </c>
      <c r="E33" s="122">
        <v>0</v>
      </c>
      <c r="F33" s="122"/>
      <c r="G33" s="122">
        <f>SUM(E33:F33)</f>
        <v>0</v>
      </c>
      <c r="H33" s="124">
        <f>SUM('Centralia Equity Kicker'!I33)</f>
        <v>4094424</v>
      </c>
      <c r="I33" s="123"/>
      <c r="J33" s="124">
        <f>SUM(H33:I33)</f>
        <v>4094424</v>
      </c>
      <c r="K33" s="123">
        <f t="shared" si="5"/>
        <v>4163374.1001599999</v>
      </c>
      <c r="L33" s="123"/>
      <c r="M33"/>
      <c r="N33"/>
    </row>
    <row r="34" spans="1:15" ht="13.5" thickBot="1" x14ac:dyDescent="0.25">
      <c r="A34" s="117">
        <f t="shared" si="0"/>
        <v>16</v>
      </c>
      <c r="B34" s="104"/>
      <c r="C34" s="104"/>
      <c r="D34" s="131" t="s">
        <v>150</v>
      </c>
      <c r="E34" s="127">
        <f t="shared" ref="E34:K34" si="6">+E27+SUM(E30:E33)</f>
        <v>826086705.83000004</v>
      </c>
      <c r="F34" s="127">
        <f t="shared" si="6"/>
        <v>-9900562.8100000005</v>
      </c>
      <c r="G34" s="127">
        <f t="shared" si="6"/>
        <v>816186143.01999998</v>
      </c>
      <c r="H34" s="127">
        <f t="shared" si="6"/>
        <v>874443508.94588673</v>
      </c>
      <c r="I34" s="127">
        <f t="shared" si="6"/>
        <v>-9900562.8100000005</v>
      </c>
      <c r="J34" s="127">
        <f t="shared" si="6"/>
        <v>864542946.13588655</v>
      </c>
      <c r="K34" s="127">
        <f t="shared" si="6"/>
        <v>877238328.61185849</v>
      </c>
      <c r="L34" s="167"/>
      <c r="M34"/>
      <c r="N34"/>
    </row>
    <row r="35" spans="1:15" ht="13.5" thickTop="1" x14ac:dyDescent="0.2">
      <c r="A35" s="117"/>
      <c r="B35" s="104"/>
      <c r="C35" s="104"/>
      <c r="D35" s="159" t="s">
        <v>156</v>
      </c>
      <c r="E35" s="121">
        <f>+'[2]SEF-15 Adjustments'!I33-E34</f>
        <v>0</v>
      </c>
      <c r="F35" s="121">
        <f>+'[2]SEF-15 Adjustments'!J33-F34</f>
        <v>0</v>
      </c>
      <c r="G35" s="121">
        <f>+'[2]SEF-15 Adjustments'!K33-G34</f>
        <v>0</v>
      </c>
      <c r="H35" s="121">
        <f>+'[2]SEF-15 Adjustments'!O33-H34</f>
        <v>0</v>
      </c>
      <c r="I35" s="121">
        <f>+'[2]SEF-15 Adjustments'!P33-I34</f>
        <v>0</v>
      </c>
      <c r="J35" s="121">
        <f>+'[2]SEF-15 Adjustments'!Q33-J34</f>
        <v>0</v>
      </c>
      <c r="K35" s="121">
        <f>+'[2]SEF-15 Adjustments'!$S$33-K34</f>
        <v>0</v>
      </c>
      <c r="L35" s="104"/>
      <c r="M35"/>
      <c r="N35"/>
    </row>
    <row r="36" spans="1:15" x14ac:dyDescent="0.2">
      <c r="A36" s="117" t="s">
        <v>168</v>
      </c>
      <c r="B36" s="104"/>
      <c r="C36" s="104"/>
    </row>
    <row r="37" spans="1:15" x14ac:dyDescent="0.2">
      <c r="A37" s="195">
        <v>1</v>
      </c>
      <c r="B37" s="196"/>
      <c r="C37" s="196"/>
      <c r="D37" s="197" t="s">
        <v>129</v>
      </c>
      <c r="E37" s="196"/>
      <c r="F37" s="196"/>
      <c r="G37" s="196"/>
      <c r="H37" s="196"/>
      <c r="I37" s="196"/>
      <c r="J37" s="196"/>
      <c r="K37" s="196"/>
      <c r="L37"/>
      <c r="M37" s="174"/>
      <c r="N37" s="174"/>
      <c r="O37" s="175"/>
    </row>
    <row r="38" spans="1:15" x14ac:dyDescent="0.2">
      <c r="A38" s="195">
        <v>2</v>
      </c>
      <c r="B38" s="195">
        <v>501</v>
      </c>
      <c r="C38" s="195" t="s">
        <v>124</v>
      </c>
      <c r="D38" s="198" t="s">
        <v>153</v>
      </c>
      <c r="E38" s="199">
        <v>81044146.280000001</v>
      </c>
      <c r="F38" s="199"/>
      <c r="G38" s="199">
        <v>81044146.280000001</v>
      </c>
      <c r="H38" s="199">
        <v>41215350.588549577</v>
      </c>
      <c r="I38" s="199">
        <v>0</v>
      </c>
      <c r="J38" s="199">
        <v>41215350.588549577</v>
      </c>
      <c r="K38" s="199">
        <v>41909417.092460752</v>
      </c>
      <c r="L38"/>
      <c r="M38" s="174"/>
      <c r="N38" s="174"/>
      <c r="O38" s="175"/>
    </row>
    <row r="39" spans="1:15" x14ac:dyDescent="0.2">
      <c r="A39" s="195">
        <v>3</v>
      </c>
      <c r="B39" s="195">
        <v>547</v>
      </c>
      <c r="C39" s="195" t="s">
        <v>124</v>
      </c>
      <c r="D39" s="198" t="s">
        <v>126</v>
      </c>
      <c r="E39" s="200">
        <v>183617976.11000001</v>
      </c>
      <c r="F39" s="200"/>
      <c r="G39" s="200">
        <v>183617976.11000001</v>
      </c>
      <c r="H39" s="200">
        <v>144478789.62741747</v>
      </c>
      <c r="I39" s="200"/>
      <c r="J39" s="200">
        <v>144478789.62741747</v>
      </c>
      <c r="K39" s="200">
        <v>146911812.44474319</v>
      </c>
      <c r="L39"/>
      <c r="M39" s="174"/>
      <c r="N39" s="174"/>
      <c r="O39" s="175"/>
    </row>
    <row r="40" spans="1:15" x14ac:dyDescent="0.2">
      <c r="A40" s="195">
        <v>4</v>
      </c>
      <c r="B40" s="195">
        <v>555</v>
      </c>
      <c r="C40" s="195" t="s">
        <v>124</v>
      </c>
      <c r="D40" s="198" t="s">
        <v>130</v>
      </c>
      <c r="E40" s="200">
        <v>535009174.27999997</v>
      </c>
      <c r="F40" s="200"/>
      <c r="G40" s="200">
        <v>535009174.27999997</v>
      </c>
      <c r="H40" s="200">
        <v>519811111.82544428</v>
      </c>
      <c r="I40" s="200">
        <v>0</v>
      </c>
      <c r="J40" s="200">
        <v>519811111.82544428</v>
      </c>
      <c r="K40" s="200">
        <v>528564730.94858474</v>
      </c>
      <c r="L40"/>
      <c r="M40" s="174"/>
      <c r="N40" s="174"/>
      <c r="O40" s="175"/>
    </row>
    <row r="41" spans="1:15" x14ac:dyDescent="0.2">
      <c r="A41" s="195">
        <v>5</v>
      </c>
      <c r="B41" s="195">
        <v>557</v>
      </c>
      <c r="C41" s="201" t="s">
        <v>125</v>
      </c>
      <c r="D41" s="198" t="s">
        <v>127</v>
      </c>
      <c r="E41" s="200">
        <v>-21224501.000000004</v>
      </c>
      <c r="F41" s="200">
        <v>-2297906.31</v>
      </c>
      <c r="G41" s="200">
        <v>-23522407.310000002</v>
      </c>
      <c r="H41" s="200">
        <v>14232892.090000004</v>
      </c>
      <c r="I41" s="200">
        <v>-2297906.31</v>
      </c>
      <c r="J41" s="200">
        <v>11934985.780000003</v>
      </c>
      <c r="K41" s="200">
        <v>11934985.780000003</v>
      </c>
      <c r="L41"/>
      <c r="M41" s="174"/>
      <c r="N41" s="174"/>
      <c r="O41" s="175"/>
    </row>
    <row r="42" spans="1:15" x14ac:dyDescent="0.2">
      <c r="A42" s="195">
        <v>6</v>
      </c>
      <c r="B42" s="195">
        <v>557</v>
      </c>
      <c r="C42" s="201" t="s">
        <v>124</v>
      </c>
      <c r="D42" s="198" t="s">
        <v>128</v>
      </c>
      <c r="E42" s="200">
        <v>489609.01</v>
      </c>
      <c r="F42" s="200"/>
      <c r="G42" s="200">
        <v>489609.01</v>
      </c>
      <c r="H42" s="200">
        <v>489609.01</v>
      </c>
      <c r="I42" s="200"/>
      <c r="J42" s="200">
        <v>489609.01</v>
      </c>
      <c r="K42" s="200">
        <v>497854.02572839998</v>
      </c>
      <c r="L42"/>
      <c r="M42" s="174"/>
      <c r="N42" s="174"/>
      <c r="O42" s="175"/>
    </row>
    <row r="43" spans="1:15" x14ac:dyDescent="0.2">
      <c r="A43" s="195">
        <v>7</v>
      </c>
      <c r="B43" s="195">
        <v>565</v>
      </c>
      <c r="C43" s="195" t="s">
        <v>124</v>
      </c>
      <c r="D43" s="198" t="s">
        <v>131</v>
      </c>
      <c r="E43" s="202">
        <v>123883050.72</v>
      </c>
      <c r="F43" s="202"/>
      <c r="G43" s="202">
        <v>123883050.72</v>
      </c>
      <c r="H43" s="202">
        <v>128368962.69839641</v>
      </c>
      <c r="I43" s="202">
        <v>0</v>
      </c>
      <c r="J43" s="202">
        <v>128368962.69839641</v>
      </c>
      <c r="K43" s="202">
        <v>130530696.03023741</v>
      </c>
      <c r="L43"/>
      <c r="M43" s="174"/>
      <c r="N43" s="174"/>
      <c r="O43" s="175"/>
    </row>
    <row r="44" spans="1:15" x14ac:dyDescent="0.2">
      <c r="A44" s="195">
        <v>8</v>
      </c>
      <c r="B44" s="195">
        <v>447</v>
      </c>
      <c r="C44" s="195" t="s">
        <v>124</v>
      </c>
      <c r="D44" s="198" t="s">
        <v>132</v>
      </c>
      <c r="E44" s="200">
        <v>-189780073.88</v>
      </c>
      <c r="F44" s="200"/>
      <c r="G44" s="200">
        <v>-189780073.88</v>
      </c>
      <c r="H44" s="200">
        <v>-40634148.431298904</v>
      </c>
      <c r="I44" s="200"/>
      <c r="J44" s="200">
        <v>-40634148.431298904</v>
      </c>
      <c r="K44" s="200">
        <v>-41318427.490881979</v>
      </c>
      <c r="L44"/>
      <c r="M44" s="175"/>
      <c r="N44" s="175"/>
      <c r="O44" s="175"/>
    </row>
    <row r="45" spans="1:15" x14ac:dyDescent="0.2">
      <c r="A45" s="195">
        <v>9</v>
      </c>
      <c r="B45" s="195">
        <v>456</v>
      </c>
      <c r="C45" s="195" t="s">
        <v>124</v>
      </c>
      <c r="D45" s="198" t="s">
        <v>133</v>
      </c>
      <c r="E45" s="200">
        <v>-9520817.3900000006</v>
      </c>
      <c r="F45" s="200"/>
      <c r="G45" s="200">
        <v>-9520817.3900000006</v>
      </c>
      <c r="H45" s="200">
        <v>-49105604.528008431</v>
      </c>
      <c r="I45" s="200">
        <v>0</v>
      </c>
      <c r="J45" s="200">
        <v>-49105604.528008431</v>
      </c>
      <c r="K45" s="200">
        <v>-49932542.908260092</v>
      </c>
      <c r="L45"/>
      <c r="M45" s="175"/>
      <c r="N45" s="175"/>
      <c r="O45" s="175"/>
    </row>
    <row r="46" spans="1:15" x14ac:dyDescent="0.2">
      <c r="A46" s="195">
        <v>10</v>
      </c>
      <c r="B46" s="196"/>
      <c r="C46" s="196"/>
      <c r="D46" s="203" t="s">
        <v>134</v>
      </c>
      <c r="E46" s="204">
        <v>703518564.13</v>
      </c>
      <c r="F46" s="204">
        <v>-2297906.31</v>
      </c>
      <c r="G46" s="204">
        <v>701220657.81999993</v>
      </c>
      <c r="H46" s="204">
        <v>758856962.88050056</v>
      </c>
      <c r="I46" s="204">
        <v>-2297906.31</v>
      </c>
      <c r="J46" s="204">
        <v>756559056.57050049</v>
      </c>
      <c r="K46" s="204">
        <v>769098525.92261243</v>
      </c>
      <c r="L46"/>
      <c r="M46" s="175"/>
      <c r="N46" s="175"/>
      <c r="O46" s="175"/>
    </row>
    <row r="47" spans="1:15" x14ac:dyDescent="0.2">
      <c r="A47" s="195">
        <v>11</v>
      </c>
      <c r="B47" s="196"/>
      <c r="C47" s="196"/>
      <c r="D47" s="205" t="s">
        <v>152</v>
      </c>
      <c r="E47" s="202">
        <v>0</v>
      </c>
      <c r="F47" s="206"/>
      <c r="G47" s="202">
        <v>0</v>
      </c>
      <c r="H47" s="207" t="s">
        <v>151</v>
      </c>
      <c r="I47" s="202"/>
      <c r="J47" s="202"/>
      <c r="K47" s="202"/>
      <c r="L47"/>
      <c r="M47" s="175"/>
      <c r="N47" s="175"/>
      <c r="O47" s="175"/>
    </row>
    <row r="48" spans="1:15" x14ac:dyDescent="0.2">
      <c r="A48" s="195"/>
      <c r="B48" s="196"/>
      <c r="C48" s="196"/>
      <c r="D48" s="205" t="s">
        <v>152</v>
      </c>
      <c r="E48" s="202">
        <v>0</v>
      </c>
      <c r="F48" s="202"/>
      <c r="G48" s="202">
        <v>0</v>
      </c>
      <c r="H48" s="207" t="s">
        <v>151</v>
      </c>
      <c r="I48" s="202"/>
      <c r="J48" s="202"/>
      <c r="K48" s="202"/>
      <c r="L48"/>
      <c r="M48" s="175"/>
      <c r="N48" s="175"/>
      <c r="O48" s="175"/>
    </row>
    <row r="49" spans="1:15" x14ac:dyDescent="0.2">
      <c r="A49" s="195">
        <v>12</v>
      </c>
      <c r="B49" s="208" t="s">
        <v>69</v>
      </c>
      <c r="C49" s="201" t="s">
        <v>125</v>
      </c>
      <c r="D49" s="209" t="s">
        <v>136</v>
      </c>
      <c r="E49" s="200">
        <v>128319985.64999999</v>
      </c>
      <c r="F49" s="202">
        <v>-7602656.5</v>
      </c>
      <c r="G49" s="200">
        <v>120717329.14999999</v>
      </c>
      <c r="H49" s="202">
        <v>112114857.94835338</v>
      </c>
      <c r="I49" s="202">
        <v>-7602656.5</v>
      </c>
      <c r="J49" s="202">
        <v>104512201.44835338</v>
      </c>
      <c r="K49" s="200">
        <v>104512201.44835338</v>
      </c>
      <c r="L49"/>
      <c r="M49" s="175"/>
      <c r="N49" s="175"/>
      <c r="O49" s="175"/>
    </row>
    <row r="50" spans="1:15" x14ac:dyDescent="0.2">
      <c r="A50" s="195">
        <v>13</v>
      </c>
      <c r="B50" s="195" t="s">
        <v>69</v>
      </c>
      <c r="C50" s="201" t="s">
        <v>125</v>
      </c>
      <c r="D50" s="203" t="s">
        <v>135</v>
      </c>
      <c r="E50" s="200">
        <v>728609.68</v>
      </c>
      <c r="F50" s="202"/>
      <c r="G50" s="200">
        <v>728609.68</v>
      </c>
      <c r="H50" s="202">
        <v>728609.68</v>
      </c>
      <c r="I50" s="202"/>
      <c r="J50" s="202">
        <v>728609.68</v>
      </c>
      <c r="K50" s="200">
        <v>728609.68</v>
      </c>
      <c r="L50"/>
      <c r="M50" s="175"/>
      <c r="N50" s="175"/>
      <c r="O50" s="175"/>
    </row>
    <row r="51" spans="1:15" x14ac:dyDescent="0.2">
      <c r="A51" s="195">
        <v>14</v>
      </c>
      <c r="B51" s="195">
        <v>4561</v>
      </c>
      <c r="C51" s="201" t="s">
        <v>125</v>
      </c>
      <c r="D51" s="203" t="s">
        <v>146</v>
      </c>
      <c r="E51" s="200">
        <v>-6480453.6300000008</v>
      </c>
      <c r="F51" s="200"/>
      <c r="G51" s="200">
        <v>-6480453.6300000008</v>
      </c>
      <c r="H51" s="202">
        <v>-6515420.6045234576</v>
      </c>
      <c r="I51" s="200">
        <v>0</v>
      </c>
      <c r="J51" s="202">
        <v>-6515420.6045234576</v>
      </c>
      <c r="K51" s="200">
        <v>-6515420.6045234576</v>
      </c>
      <c r="L51"/>
      <c r="M51" s="175"/>
      <c r="N51" s="175"/>
      <c r="O51" s="175"/>
    </row>
    <row r="52" spans="1:15" x14ac:dyDescent="0.2">
      <c r="A52" s="195">
        <v>15</v>
      </c>
      <c r="B52" s="195" t="s">
        <v>70</v>
      </c>
      <c r="C52" s="195" t="s">
        <v>124</v>
      </c>
      <c r="D52" s="203" t="s">
        <v>137</v>
      </c>
      <c r="E52" s="200">
        <v>0</v>
      </c>
      <c r="F52" s="200"/>
      <c r="G52" s="200">
        <v>0</v>
      </c>
      <c r="H52" s="202">
        <v>4094424</v>
      </c>
      <c r="I52" s="200"/>
      <c r="J52" s="202">
        <v>4094424</v>
      </c>
      <c r="K52" s="200">
        <v>4163374.1001599999</v>
      </c>
      <c r="L52"/>
      <c r="M52" s="175"/>
      <c r="N52" s="175"/>
      <c r="O52" s="175"/>
    </row>
    <row r="53" spans="1:15" ht="13.5" thickBot="1" x14ac:dyDescent="0.25">
      <c r="A53" s="195">
        <v>16</v>
      </c>
      <c r="B53" s="196"/>
      <c r="C53" s="196"/>
      <c r="D53" s="203" t="s">
        <v>150</v>
      </c>
      <c r="E53" s="210">
        <v>826086705.83000004</v>
      </c>
      <c r="F53" s="210">
        <v>-9900562.8100000005</v>
      </c>
      <c r="G53" s="210">
        <v>816186143.01999998</v>
      </c>
      <c r="H53" s="210">
        <v>869279433.90433049</v>
      </c>
      <c r="I53" s="210">
        <v>-9900562.8100000005</v>
      </c>
      <c r="J53" s="210">
        <v>859378871.09433043</v>
      </c>
      <c r="K53" s="210">
        <v>871987290.54660237</v>
      </c>
      <c r="L53"/>
      <c r="M53" s="175"/>
      <c r="N53" s="175"/>
      <c r="O53" s="175"/>
    </row>
    <row r="54" spans="1:15" ht="13.5" thickTop="1" x14ac:dyDescent="0.2">
      <c r="A54" s="105" t="s">
        <v>169</v>
      </c>
      <c r="D54"/>
      <c r="E54"/>
      <c r="F54"/>
      <c r="G54"/>
      <c r="H54"/>
      <c r="I54"/>
      <c r="J54"/>
      <c r="K54"/>
      <c r="L54"/>
      <c r="M54" s="175"/>
      <c r="N54" s="175"/>
      <c r="O54" s="175"/>
    </row>
    <row r="55" spans="1:15" x14ac:dyDescent="0.2">
      <c r="A55" s="195">
        <v>1</v>
      </c>
      <c r="B55" s="196"/>
      <c r="C55" s="196"/>
      <c r="D55" s="197" t="s">
        <v>129</v>
      </c>
      <c r="E55" s="196"/>
      <c r="F55" s="196"/>
      <c r="G55" s="196"/>
      <c r="H55" s="196"/>
      <c r="I55" s="196"/>
      <c r="J55" s="196"/>
      <c r="K55" s="196"/>
      <c r="L55"/>
      <c r="M55" s="175"/>
      <c r="N55" s="175"/>
      <c r="O55" s="175"/>
    </row>
    <row r="56" spans="1:15" x14ac:dyDescent="0.2">
      <c r="A56" s="195">
        <v>2</v>
      </c>
      <c r="B56" s="195">
        <v>501</v>
      </c>
      <c r="C56" s="195" t="s">
        <v>124</v>
      </c>
      <c r="D56" s="198" t="s">
        <v>153</v>
      </c>
      <c r="E56" s="199">
        <f>+E19-E38</f>
        <v>0</v>
      </c>
      <c r="F56" s="199">
        <f t="shared" ref="F56:K56" si="7">+F19-F38</f>
        <v>0</v>
      </c>
      <c r="G56" s="199">
        <f t="shared" si="7"/>
        <v>0</v>
      </c>
      <c r="H56" s="199">
        <f t="shared" si="7"/>
        <v>538467.58562250435</v>
      </c>
      <c r="I56" s="199">
        <f t="shared" si="7"/>
        <v>0</v>
      </c>
      <c r="J56" s="199">
        <f t="shared" si="7"/>
        <v>538467.58562250435</v>
      </c>
      <c r="K56" s="199">
        <f t="shared" si="7"/>
        <v>547535.37976438552</v>
      </c>
      <c r="L56"/>
      <c r="M56" s="175"/>
      <c r="N56" s="175"/>
      <c r="O56" s="175"/>
    </row>
    <row r="57" spans="1:15" x14ac:dyDescent="0.2">
      <c r="A57" s="195">
        <v>3</v>
      </c>
      <c r="B57" s="195">
        <v>547</v>
      </c>
      <c r="C57" s="195" t="s">
        <v>124</v>
      </c>
      <c r="D57" s="198" t="s">
        <v>126</v>
      </c>
      <c r="E57" s="200">
        <f t="shared" ref="E57:K57" si="8">+E20-E39</f>
        <v>0</v>
      </c>
      <c r="F57" s="200">
        <f t="shared" si="8"/>
        <v>0</v>
      </c>
      <c r="G57" s="200">
        <f t="shared" si="8"/>
        <v>0</v>
      </c>
      <c r="H57" s="200">
        <f t="shared" si="8"/>
        <v>10720320.53865543</v>
      </c>
      <c r="I57" s="200">
        <f t="shared" si="8"/>
        <v>0</v>
      </c>
      <c r="J57" s="200">
        <f t="shared" si="8"/>
        <v>10720320.53865543</v>
      </c>
      <c r="K57" s="200">
        <f t="shared" si="8"/>
        <v>10900850.73652637</v>
      </c>
      <c r="L57"/>
      <c r="M57" s="175"/>
      <c r="N57" s="175"/>
      <c r="O57" s="175"/>
    </row>
    <row r="58" spans="1:15" x14ac:dyDescent="0.2">
      <c r="A58" s="195">
        <v>4</v>
      </c>
      <c r="B58" s="195">
        <v>555</v>
      </c>
      <c r="C58" s="195" t="s">
        <v>124</v>
      </c>
      <c r="D58" s="198" t="s">
        <v>130</v>
      </c>
      <c r="E58" s="200">
        <f t="shared" ref="E58:K58" si="9">+E21-E40</f>
        <v>0</v>
      </c>
      <c r="F58" s="200">
        <f t="shared" si="9"/>
        <v>0</v>
      </c>
      <c r="G58" s="200">
        <f t="shared" si="9"/>
        <v>0</v>
      </c>
      <c r="H58" s="200">
        <f t="shared" si="9"/>
        <v>8113875.1404432058</v>
      </c>
      <c r="I58" s="200">
        <f t="shared" si="9"/>
        <v>0</v>
      </c>
      <c r="J58" s="200">
        <f t="shared" si="9"/>
        <v>8113875.1404432058</v>
      </c>
      <c r="K58" s="200">
        <f t="shared" si="9"/>
        <v>8250512.7978082895</v>
      </c>
      <c r="L58"/>
      <c r="M58" s="175"/>
      <c r="N58" s="175"/>
      <c r="O58" s="175"/>
    </row>
    <row r="59" spans="1:15" x14ac:dyDescent="0.2">
      <c r="A59" s="195">
        <v>5</v>
      </c>
      <c r="B59" s="195">
        <v>557</v>
      </c>
      <c r="C59" s="201" t="s">
        <v>125</v>
      </c>
      <c r="D59" s="198" t="s">
        <v>127</v>
      </c>
      <c r="E59" s="200">
        <f t="shared" ref="E59:K59" si="10">+E22-E41</f>
        <v>0</v>
      </c>
      <c r="F59" s="200">
        <f t="shared" si="10"/>
        <v>0</v>
      </c>
      <c r="G59" s="200">
        <f t="shared" si="10"/>
        <v>0</v>
      </c>
      <c r="H59" s="200">
        <f t="shared" si="10"/>
        <v>0</v>
      </c>
      <c r="I59" s="200">
        <f t="shared" si="10"/>
        <v>0</v>
      </c>
      <c r="J59" s="200">
        <f t="shared" si="10"/>
        <v>0</v>
      </c>
      <c r="K59" s="200">
        <f t="shared" si="10"/>
        <v>0</v>
      </c>
      <c r="L59"/>
      <c r="M59" s="175"/>
      <c r="N59" s="175"/>
      <c r="O59" s="175"/>
    </row>
    <row r="60" spans="1:15" x14ac:dyDescent="0.2">
      <c r="A60" s="195">
        <v>6</v>
      </c>
      <c r="B60" s="195">
        <v>557</v>
      </c>
      <c r="C60" s="201" t="s">
        <v>124</v>
      </c>
      <c r="D60" s="198" t="s">
        <v>128</v>
      </c>
      <c r="E60" s="200">
        <f t="shared" ref="E60:K60" si="11">+E23-E42</f>
        <v>0</v>
      </c>
      <c r="F60" s="200">
        <f t="shared" si="11"/>
        <v>0</v>
      </c>
      <c r="G60" s="200">
        <f t="shared" si="11"/>
        <v>0</v>
      </c>
      <c r="H60" s="200">
        <f t="shared" si="11"/>
        <v>0</v>
      </c>
      <c r="I60" s="200">
        <f t="shared" si="11"/>
        <v>0</v>
      </c>
      <c r="J60" s="200">
        <f t="shared" si="11"/>
        <v>0</v>
      </c>
      <c r="K60" s="200">
        <f t="shared" si="11"/>
        <v>0</v>
      </c>
      <c r="L60"/>
      <c r="M60" s="175"/>
      <c r="N60" s="175"/>
      <c r="O60" s="175"/>
    </row>
    <row r="61" spans="1:15" x14ac:dyDescent="0.2">
      <c r="A61" s="195">
        <v>7</v>
      </c>
      <c r="B61" s="195">
        <v>565</v>
      </c>
      <c r="C61" s="195" t="s">
        <v>124</v>
      </c>
      <c r="D61" s="198" t="s">
        <v>131</v>
      </c>
      <c r="E61" s="202">
        <f t="shared" ref="E61:K61" si="12">+E24-E43</f>
        <v>0</v>
      </c>
      <c r="F61" s="202">
        <f t="shared" si="12"/>
        <v>0</v>
      </c>
      <c r="G61" s="202">
        <f t="shared" si="12"/>
        <v>0</v>
      </c>
      <c r="H61" s="202">
        <f t="shared" si="12"/>
        <v>-102604.64165070653</v>
      </c>
      <c r="I61" s="202">
        <f t="shared" si="12"/>
        <v>0</v>
      </c>
      <c r="J61" s="202">
        <f t="shared" si="12"/>
        <v>-102604.64165070653</v>
      </c>
      <c r="K61" s="202">
        <f t="shared" si="12"/>
        <v>-104332.50381609797</v>
      </c>
      <c r="L61"/>
      <c r="M61" s="175"/>
      <c r="N61" s="175"/>
      <c r="O61" s="175"/>
    </row>
    <row r="62" spans="1:15" x14ac:dyDescent="0.2">
      <c r="A62" s="195">
        <v>8</v>
      </c>
      <c r="B62" s="195">
        <v>447</v>
      </c>
      <c r="C62" s="195" t="s">
        <v>124</v>
      </c>
      <c r="D62" s="198" t="s">
        <v>132</v>
      </c>
      <c r="E62" s="200">
        <f t="shared" ref="E62:K62" si="13">+E25-E44</f>
        <v>0</v>
      </c>
      <c r="F62" s="200">
        <f t="shared" si="13"/>
        <v>0</v>
      </c>
      <c r="G62" s="200">
        <f t="shared" si="13"/>
        <v>0</v>
      </c>
      <c r="H62" s="200">
        <f t="shared" si="13"/>
        <v>-5571882.9788775668</v>
      </c>
      <c r="I62" s="200">
        <f t="shared" si="13"/>
        <v>0</v>
      </c>
      <c r="J62" s="200">
        <f t="shared" si="13"/>
        <v>-5571882.9788775668</v>
      </c>
      <c r="K62" s="200">
        <f t="shared" si="13"/>
        <v>-5665713.4882418588</v>
      </c>
      <c r="L62"/>
      <c r="M62" s="175"/>
      <c r="N62" s="175"/>
      <c r="O62" s="175"/>
    </row>
    <row r="63" spans="1:15" x14ac:dyDescent="0.2">
      <c r="A63" s="195">
        <v>9</v>
      </c>
      <c r="B63" s="195">
        <v>456</v>
      </c>
      <c r="C63" s="195" t="s">
        <v>124</v>
      </c>
      <c r="D63" s="198" t="s">
        <v>133</v>
      </c>
      <c r="E63" s="200">
        <f t="shared" ref="E63:K63" si="14">+E26-E45</f>
        <v>0</v>
      </c>
      <c r="F63" s="200">
        <f t="shared" si="14"/>
        <v>0</v>
      </c>
      <c r="G63" s="200">
        <f t="shared" si="14"/>
        <v>0</v>
      </c>
      <c r="H63" s="200">
        <f t="shared" si="14"/>
        <v>-8534100.6026364341</v>
      </c>
      <c r="I63" s="200">
        <f t="shared" si="14"/>
        <v>0</v>
      </c>
      <c r="J63" s="200">
        <f t="shared" si="14"/>
        <v>-8534100.6026364341</v>
      </c>
      <c r="K63" s="200">
        <f t="shared" si="14"/>
        <v>-8677814.856784828</v>
      </c>
      <c r="L63"/>
      <c r="M63" s="175"/>
      <c r="N63" s="175"/>
      <c r="O63" s="175"/>
    </row>
    <row r="64" spans="1:15" x14ac:dyDescent="0.2">
      <c r="A64" s="195">
        <v>10</v>
      </c>
      <c r="B64" s="196"/>
      <c r="C64" s="196"/>
      <c r="D64" s="203" t="s">
        <v>134</v>
      </c>
      <c r="E64" s="204">
        <f t="shared" ref="E64:K64" si="15">+E27-E46</f>
        <v>0</v>
      </c>
      <c r="F64" s="204">
        <f t="shared" si="15"/>
        <v>0</v>
      </c>
      <c r="G64" s="204">
        <f t="shared" si="15"/>
        <v>0</v>
      </c>
      <c r="H64" s="204">
        <f t="shared" si="15"/>
        <v>5164075.0415562391</v>
      </c>
      <c r="I64" s="204">
        <f t="shared" si="15"/>
        <v>0</v>
      </c>
      <c r="J64" s="204">
        <f t="shared" si="15"/>
        <v>5164075.0415561199</v>
      </c>
      <c r="K64" s="204">
        <f t="shared" si="15"/>
        <v>5251038.0652561188</v>
      </c>
      <c r="L64"/>
      <c r="M64" s="175"/>
      <c r="N64" s="175"/>
      <c r="O64" s="175"/>
    </row>
    <row r="65" spans="1:15" x14ac:dyDescent="0.2">
      <c r="A65" s="195">
        <v>11</v>
      </c>
      <c r="B65" s="196"/>
      <c r="C65" s="196"/>
      <c r="D65" s="205" t="s">
        <v>152</v>
      </c>
      <c r="E65" s="202">
        <v>0</v>
      </c>
      <c r="F65" s="206"/>
      <c r="G65" s="202">
        <v>0</v>
      </c>
      <c r="H65" s="207" t="s">
        <v>151</v>
      </c>
      <c r="I65" s="202"/>
      <c r="J65" s="202"/>
      <c r="K65" s="202"/>
      <c r="L65"/>
      <c r="M65" s="175"/>
      <c r="N65" s="175"/>
      <c r="O65" s="175"/>
    </row>
    <row r="66" spans="1:15" x14ac:dyDescent="0.2">
      <c r="A66" s="195"/>
      <c r="B66" s="196"/>
      <c r="C66" s="196"/>
      <c r="D66" s="205" t="s">
        <v>152</v>
      </c>
      <c r="E66" s="202">
        <v>0</v>
      </c>
      <c r="F66" s="202"/>
      <c r="G66" s="202">
        <v>0</v>
      </c>
      <c r="H66" s="207" t="s">
        <v>151</v>
      </c>
      <c r="I66" s="202"/>
      <c r="J66" s="202"/>
      <c r="K66" s="202"/>
      <c r="L66"/>
      <c r="M66" s="175"/>
      <c r="N66" s="175"/>
      <c r="O66" s="175"/>
    </row>
    <row r="67" spans="1:15" x14ac:dyDescent="0.2">
      <c r="A67" s="195">
        <v>12</v>
      </c>
      <c r="B67" s="208" t="s">
        <v>69</v>
      </c>
      <c r="C67" s="201" t="s">
        <v>125</v>
      </c>
      <c r="D67" s="209" t="s">
        <v>136</v>
      </c>
      <c r="E67" s="200">
        <f t="shared" ref="E67:K67" si="16">+E30-E49</f>
        <v>0</v>
      </c>
      <c r="F67" s="202">
        <f t="shared" si="16"/>
        <v>0</v>
      </c>
      <c r="G67" s="200">
        <f t="shared" si="16"/>
        <v>0</v>
      </c>
      <c r="H67" s="202">
        <f t="shared" si="16"/>
        <v>0</v>
      </c>
      <c r="I67" s="202">
        <f t="shared" si="16"/>
        <v>0</v>
      </c>
      <c r="J67" s="202">
        <f t="shared" si="16"/>
        <v>0</v>
      </c>
      <c r="K67" s="200">
        <f t="shared" si="16"/>
        <v>0</v>
      </c>
      <c r="L67"/>
      <c r="M67" s="175"/>
      <c r="N67" s="175"/>
      <c r="O67" s="175"/>
    </row>
    <row r="68" spans="1:15" x14ac:dyDescent="0.2">
      <c r="A68" s="195">
        <v>13</v>
      </c>
      <c r="B68" s="195" t="s">
        <v>69</v>
      </c>
      <c r="C68" s="201" t="s">
        <v>125</v>
      </c>
      <c r="D68" s="203" t="s">
        <v>135</v>
      </c>
      <c r="E68" s="200">
        <f t="shared" ref="E68:K68" si="17">+E31-E50</f>
        <v>0</v>
      </c>
      <c r="F68" s="202">
        <f t="shared" si="17"/>
        <v>0</v>
      </c>
      <c r="G68" s="200">
        <f t="shared" si="17"/>
        <v>0</v>
      </c>
      <c r="H68" s="202">
        <f t="shared" si="17"/>
        <v>0</v>
      </c>
      <c r="I68" s="202">
        <f t="shared" si="17"/>
        <v>0</v>
      </c>
      <c r="J68" s="202">
        <f t="shared" si="17"/>
        <v>0</v>
      </c>
      <c r="K68" s="200">
        <f t="shared" si="17"/>
        <v>0</v>
      </c>
      <c r="L68"/>
      <c r="M68" s="175"/>
      <c r="N68" s="175"/>
      <c r="O68" s="175"/>
    </row>
    <row r="69" spans="1:15" x14ac:dyDescent="0.2">
      <c r="A69" s="195">
        <v>14</v>
      </c>
      <c r="B69" s="195">
        <v>4561</v>
      </c>
      <c r="C69" s="201" t="s">
        <v>125</v>
      </c>
      <c r="D69" s="203" t="s">
        <v>146</v>
      </c>
      <c r="E69" s="200">
        <f t="shared" ref="E69:K69" si="18">+E32-E51</f>
        <v>0</v>
      </c>
      <c r="F69" s="200">
        <f t="shared" si="18"/>
        <v>0</v>
      </c>
      <c r="G69" s="200">
        <f t="shared" si="18"/>
        <v>0</v>
      </c>
      <c r="H69" s="202">
        <f t="shared" si="18"/>
        <v>0</v>
      </c>
      <c r="I69" s="200">
        <f t="shared" si="18"/>
        <v>0</v>
      </c>
      <c r="J69" s="202">
        <f t="shared" si="18"/>
        <v>0</v>
      </c>
      <c r="K69" s="200">
        <f t="shared" si="18"/>
        <v>0</v>
      </c>
      <c r="L69"/>
      <c r="M69" s="175"/>
      <c r="N69" s="175"/>
      <c r="O69" s="175"/>
    </row>
    <row r="70" spans="1:15" x14ac:dyDescent="0.2">
      <c r="A70" s="195">
        <v>15</v>
      </c>
      <c r="B70" s="195" t="s">
        <v>70</v>
      </c>
      <c r="C70" s="195" t="s">
        <v>124</v>
      </c>
      <c r="D70" s="203" t="s">
        <v>137</v>
      </c>
      <c r="E70" s="200">
        <f t="shared" ref="E70:K70" si="19">+E33-E52</f>
        <v>0</v>
      </c>
      <c r="F70" s="200">
        <f t="shared" si="19"/>
        <v>0</v>
      </c>
      <c r="G70" s="200">
        <f t="shared" si="19"/>
        <v>0</v>
      </c>
      <c r="H70" s="202">
        <f t="shared" si="19"/>
        <v>0</v>
      </c>
      <c r="I70" s="200">
        <f t="shared" si="19"/>
        <v>0</v>
      </c>
      <c r="J70" s="202">
        <f t="shared" si="19"/>
        <v>0</v>
      </c>
      <c r="K70" s="200">
        <f t="shared" si="19"/>
        <v>0</v>
      </c>
      <c r="L70"/>
    </row>
    <row r="71" spans="1:15" ht="13.5" thickBot="1" x14ac:dyDescent="0.25">
      <c r="A71" s="195">
        <v>16</v>
      </c>
      <c r="B71" s="196"/>
      <c r="C71" s="196"/>
      <c r="D71" s="203" t="s">
        <v>150</v>
      </c>
      <c r="E71" s="210">
        <f t="shared" ref="E71:K71" si="20">+E34-E53</f>
        <v>0</v>
      </c>
      <c r="F71" s="210">
        <f t="shared" si="20"/>
        <v>0</v>
      </c>
      <c r="G71" s="210">
        <f t="shared" si="20"/>
        <v>0</v>
      </c>
      <c r="H71" s="210">
        <f t="shared" si="20"/>
        <v>5164075.0415562391</v>
      </c>
      <c r="I71" s="210">
        <f t="shared" si="20"/>
        <v>0</v>
      </c>
      <c r="J71" s="210">
        <f t="shared" si="20"/>
        <v>5164075.0415561199</v>
      </c>
      <c r="K71" s="210">
        <f t="shared" si="20"/>
        <v>5251038.0652561188</v>
      </c>
    </row>
    <row r="72" spans="1:15" ht="13.5" thickTop="1" x14ac:dyDescent="0.2"/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zoomScaleNormal="100" workbookViewId="0">
      <selection activeCell="E24" sqref="E24"/>
    </sheetView>
  </sheetViews>
  <sheetFormatPr defaultColWidth="9.28515625" defaultRowHeight="15" x14ac:dyDescent="0.25"/>
  <cols>
    <col min="1" max="1" width="6.7109375" style="52" customWidth="1"/>
    <col min="2" max="2" width="25" style="52" bestFit="1" customWidth="1"/>
    <col min="3" max="3" width="13.42578125" style="52" bestFit="1" customWidth="1"/>
    <col min="4" max="4" width="11.5703125" style="52" bestFit="1" customWidth="1"/>
    <col min="5" max="5" width="11.28515625" style="52" bestFit="1" customWidth="1"/>
    <col min="6" max="6" width="13.7109375" style="52" bestFit="1" customWidth="1"/>
    <col min="7" max="7" width="11.5703125" style="52" bestFit="1" customWidth="1"/>
    <col min="8" max="8" width="9.7109375" style="52" bestFit="1" customWidth="1"/>
    <col min="9" max="10" width="9.28515625" style="52"/>
    <col min="11" max="11" width="14" style="52" bestFit="1" customWidth="1"/>
    <col min="12" max="16384" width="9.28515625" style="52"/>
  </cols>
  <sheetData>
    <row r="1" spans="1:16" ht="18.75" x14ac:dyDescent="0.3">
      <c r="A1" s="49" t="s">
        <v>58</v>
      </c>
      <c r="B1" s="50"/>
      <c r="C1" s="51"/>
      <c r="D1" s="51"/>
      <c r="E1" s="51"/>
      <c r="F1" s="53"/>
      <c r="G1" s="53"/>
      <c r="H1" s="53"/>
      <c r="I1" s="53"/>
      <c r="J1" s="53"/>
      <c r="K1" s="53"/>
    </row>
    <row r="2" spans="1:16" ht="21" x14ac:dyDescent="0.35">
      <c r="A2" s="54" t="s">
        <v>104</v>
      </c>
      <c r="B2" s="50"/>
      <c r="C2" s="51"/>
      <c r="D2" s="51"/>
      <c r="E2" s="51"/>
      <c r="F2" s="53"/>
      <c r="G2" s="53"/>
      <c r="H2" s="53"/>
      <c r="I2" s="53"/>
      <c r="J2" s="53"/>
      <c r="K2" s="53"/>
    </row>
    <row r="3" spans="1:16" ht="18.75" x14ac:dyDescent="0.3">
      <c r="A3" s="55" t="s">
        <v>74</v>
      </c>
      <c r="B3" s="50"/>
      <c r="C3" s="51"/>
      <c r="D3" s="51"/>
      <c r="E3" s="51"/>
      <c r="F3" s="53"/>
      <c r="G3" s="53"/>
      <c r="H3" s="53"/>
      <c r="I3" s="53"/>
      <c r="J3" s="53"/>
      <c r="K3" s="53"/>
    </row>
    <row r="4" spans="1:16" ht="18.75" x14ac:dyDescent="0.3">
      <c r="B4" s="56"/>
      <c r="C4" s="51"/>
      <c r="D4" s="51"/>
      <c r="E4" s="51"/>
      <c r="F4" s="53"/>
      <c r="G4" s="53"/>
      <c r="H4" s="53"/>
      <c r="I4" s="53"/>
      <c r="J4" s="53"/>
      <c r="K4" s="53"/>
    </row>
    <row r="5" spans="1:16" ht="16.5" thickBot="1" x14ac:dyDescent="0.3">
      <c r="B5" s="50"/>
      <c r="C5" s="57"/>
      <c r="D5" s="57"/>
      <c r="E5" s="58"/>
      <c r="F5" s="59"/>
      <c r="G5" s="59"/>
      <c r="H5" s="59"/>
      <c r="I5" s="59"/>
      <c r="J5" s="59"/>
      <c r="K5" s="59"/>
    </row>
    <row r="6" spans="1:16" ht="27" thickBot="1" x14ac:dyDescent="0.3">
      <c r="A6" s="60" t="s">
        <v>105</v>
      </c>
      <c r="B6" s="61" t="s">
        <v>106</v>
      </c>
      <c r="C6" s="62" t="s">
        <v>170</v>
      </c>
      <c r="D6" s="62" t="s">
        <v>163</v>
      </c>
      <c r="E6" s="62" t="s">
        <v>107</v>
      </c>
      <c r="F6" s="63"/>
      <c r="G6"/>
      <c r="H6"/>
      <c r="I6"/>
      <c r="J6"/>
      <c r="K6"/>
      <c r="L6"/>
      <c r="M6" s="63"/>
      <c r="N6" s="64"/>
      <c r="O6" s="63"/>
      <c r="P6" s="63"/>
    </row>
    <row r="7" spans="1:16" x14ac:dyDescent="0.25">
      <c r="A7" s="65">
        <v>501</v>
      </c>
      <c r="B7" s="66" t="s">
        <v>108</v>
      </c>
      <c r="C7" s="67">
        <f>+'[6]26C Power Cost summary'!O7</f>
        <v>41753.818174172084</v>
      </c>
      <c r="D7" s="67">
        <v>41215.350588549576</v>
      </c>
      <c r="E7" s="67">
        <f>+C7-D7</f>
        <v>538.46758562250761</v>
      </c>
      <c r="F7" s="68"/>
      <c r="G7"/>
      <c r="H7"/>
      <c r="I7"/>
      <c r="J7"/>
      <c r="K7"/>
      <c r="L7"/>
      <c r="M7" s="68"/>
      <c r="O7" s="68"/>
      <c r="P7" s="68"/>
    </row>
    <row r="8" spans="1:16" x14ac:dyDescent="0.25">
      <c r="A8" s="65">
        <v>547</v>
      </c>
      <c r="B8" s="69" t="s">
        <v>109</v>
      </c>
      <c r="C8" s="70">
        <f>+'[6]26C Power Cost summary'!O8</f>
        <v>155199.1101660729</v>
      </c>
      <c r="D8" s="70">
        <v>144478.78962741749</v>
      </c>
      <c r="E8" s="70">
        <f t="shared" ref="E8:E16" si="0">+C8-D8</f>
        <v>10720.320538655418</v>
      </c>
      <c r="F8" s="68"/>
      <c r="G8"/>
      <c r="H8"/>
      <c r="I8"/>
      <c r="J8"/>
      <c r="K8"/>
      <c r="L8"/>
      <c r="M8" s="68"/>
      <c r="O8" s="68"/>
      <c r="P8" s="68"/>
    </row>
    <row r="9" spans="1:16" x14ac:dyDescent="0.25">
      <c r="A9" s="65" t="s">
        <v>110</v>
      </c>
      <c r="B9" s="69" t="s">
        <v>111</v>
      </c>
      <c r="C9" s="70">
        <f>+'[6]26C Power Cost summary'!O9</f>
        <v>14178.879207</v>
      </c>
      <c r="D9" s="70">
        <v>14178.879207</v>
      </c>
      <c r="E9" s="70">
        <f t="shared" si="0"/>
        <v>0</v>
      </c>
      <c r="F9" s="68"/>
      <c r="G9"/>
      <c r="H9"/>
      <c r="I9"/>
      <c r="J9"/>
      <c r="K9"/>
      <c r="L9"/>
      <c r="M9" s="68"/>
      <c r="O9" s="68"/>
      <c r="P9" s="68"/>
    </row>
    <row r="10" spans="1:16" x14ac:dyDescent="0.25">
      <c r="A10" s="71" t="s">
        <v>112</v>
      </c>
      <c r="B10" s="69" t="s">
        <v>113</v>
      </c>
      <c r="C10" s="70">
        <f>+'[6]26C Power Cost summary'!O10</f>
        <v>154629.58259088211</v>
      </c>
      <c r="D10" s="70">
        <v>154629.58259088211</v>
      </c>
      <c r="E10" s="70">
        <f t="shared" si="0"/>
        <v>0</v>
      </c>
      <c r="F10" s="68"/>
      <c r="G10"/>
      <c r="H10"/>
      <c r="I10"/>
      <c r="J10"/>
      <c r="K10"/>
      <c r="L10"/>
      <c r="M10" s="68"/>
      <c r="O10" s="68"/>
      <c r="P10" s="68"/>
    </row>
    <row r="11" spans="1:16" x14ac:dyDescent="0.25">
      <c r="A11" s="71" t="s">
        <v>114</v>
      </c>
      <c r="B11" s="69" t="s">
        <v>115</v>
      </c>
      <c r="C11" s="70">
        <f>+'[6]26C Power Cost summary'!O11</f>
        <v>75775.032755105276</v>
      </c>
      <c r="D11" s="70">
        <v>82086.133194662194</v>
      </c>
      <c r="E11" s="70">
        <f t="shared" si="0"/>
        <v>-6311.100439556918</v>
      </c>
      <c r="F11" s="68"/>
      <c r="G11"/>
      <c r="H11"/>
      <c r="I11"/>
      <c r="J11"/>
      <c r="K11"/>
      <c r="L11"/>
      <c r="M11" s="68"/>
      <c r="O11" s="68"/>
      <c r="P11" s="68"/>
    </row>
    <row r="12" spans="1:16" x14ac:dyDescent="0.25">
      <c r="A12" s="65">
        <v>555</v>
      </c>
      <c r="B12" s="69" t="s">
        <v>116</v>
      </c>
      <c r="C12" s="70">
        <f>+'[6]26C Power Cost summary'!O12</f>
        <v>283341.49241290003</v>
      </c>
      <c r="D12" s="70">
        <v>268916.5168329</v>
      </c>
      <c r="E12" s="70">
        <f t="shared" si="0"/>
        <v>14424.975580000028</v>
      </c>
      <c r="F12" s="68"/>
      <c r="G12"/>
      <c r="H12"/>
      <c r="I12"/>
      <c r="J12"/>
      <c r="K12"/>
      <c r="L12"/>
      <c r="M12" s="68"/>
      <c r="O12" s="68"/>
      <c r="P12" s="68"/>
    </row>
    <row r="13" spans="1:16" x14ac:dyDescent="0.25">
      <c r="A13" s="65">
        <v>447</v>
      </c>
      <c r="B13" s="69" t="s">
        <v>117</v>
      </c>
      <c r="C13" s="70">
        <f>+'[6]26C Power Cost summary'!O13</f>
        <v>-46206.031410176474</v>
      </c>
      <c r="D13" s="70">
        <v>-40634.148431298905</v>
      </c>
      <c r="E13" s="70">
        <f t="shared" si="0"/>
        <v>-5571.8829788775693</v>
      </c>
      <c r="F13" s="68"/>
      <c r="G13"/>
      <c r="H13"/>
      <c r="I13"/>
      <c r="J13"/>
      <c r="K13"/>
      <c r="L13"/>
      <c r="M13" s="68"/>
      <c r="O13" s="68"/>
      <c r="P13" s="68"/>
    </row>
    <row r="14" spans="1:16" x14ac:dyDescent="0.25">
      <c r="A14" s="71">
        <v>565</v>
      </c>
      <c r="B14" s="69" t="s">
        <v>118</v>
      </c>
      <c r="C14" s="70">
        <f>+'[6]26C Power Cost summary'!O14</f>
        <v>128266.35805674571</v>
      </c>
      <c r="D14" s="70">
        <v>128368.96269839641</v>
      </c>
      <c r="E14" s="70">
        <f t="shared" si="0"/>
        <v>-102.60464165070152</v>
      </c>
      <c r="F14" s="68"/>
      <c r="G14"/>
      <c r="H14"/>
      <c r="I14"/>
      <c r="J14"/>
      <c r="K14"/>
      <c r="L14"/>
      <c r="M14" s="68"/>
      <c r="O14" s="68"/>
      <c r="P14" s="68"/>
    </row>
    <row r="15" spans="1:16" x14ac:dyDescent="0.25">
      <c r="A15" s="71">
        <v>456</v>
      </c>
      <c r="B15" s="69" t="s">
        <v>119</v>
      </c>
      <c r="C15" s="70">
        <f>+'[6]26C Power Cost summary'!O15</f>
        <v>-57639.705130644863</v>
      </c>
      <c r="D15" s="70">
        <v>-49105.604528008429</v>
      </c>
      <c r="E15" s="70">
        <f t="shared" si="0"/>
        <v>-8534.1006026364339</v>
      </c>
      <c r="F15" s="68"/>
      <c r="G15"/>
      <c r="H15"/>
      <c r="I15"/>
      <c r="J15"/>
      <c r="K15"/>
      <c r="L15"/>
      <c r="M15" s="72"/>
    </row>
    <row r="16" spans="1:16" ht="15.75" thickBot="1" x14ac:dyDescent="0.3">
      <c r="A16" s="65">
        <v>557</v>
      </c>
      <c r="B16" s="69" t="s">
        <v>120</v>
      </c>
      <c r="C16" s="70">
        <f>+'[6]26C Power Cost summary'!O16</f>
        <v>14722.501100000003</v>
      </c>
      <c r="D16" s="70">
        <v>14722.501100000003</v>
      </c>
      <c r="E16" s="70">
        <f t="shared" si="0"/>
        <v>0</v>
      </c>
      <c r="F16" s="68"/>
      <c r="G16"/>
      <c r="H16"/>
      <c r="I16"/>
      <c r="J16"/>
      <c r="K16"/>
      <c r="L16"/>
      <c r="M16" s="74"/>
      <c r="N16" s="73"/>
      <c r="O16" s="74"/>
      <c r="P16" s="74"/>
    </row>
    <row r="17" spans="1:12" ht="15.75" thickTop="1" x14ac:dyDescent="0.25">
      <c r="A17" s="65"/>
      <c r="B17" s="75" t="s">
        <v>121</v>
      </c>
      <c r="C17" s="76">
        <f>SUM(C7:C16)</f>
        <v>764021.03792205686</v>
      </c>
      <c r="D17" s="76">
        <f>SUM(D7:D16)</f>
        <v>758856.96288050048</v>
      </c>
      <c r="E17" s="76">
        <f>SUM(E7:E16)</f>
        <v>5164.0750415563307</v>
      </c>
      <c r="F17" s="177"/>
      <c r="G17"/>
      <c r="H17"/>
      <c r="I17"/>
      <c r="J17"/>
      <c r="K17"/>
      <c r="L17"/>
    </row>
    <row r="18" spans="1:12" x14ac:dyDescent="0.25">
      <c r="A18" s="65"/>
      <c r="B18" s="69"/>
      <c r="C18" s="78"/>
      <c r="D18" s="78"/>
      <c r="E18" s="78"/>
      <c r="F18" s="77"/>
      <c r="G18"/>
      <c r="H18"/>
      <c r="I18"/>
      <c r="J18"/>
      <c r="K18"/>
      <c r="L18"/>
    </row>
    <row r="19" spans="1:12" x14ac:dyDescent="0.25">
      <c r="A19" s="79"/>
      <c r="B19" s="80" t="s">
        <v>122</v>
      </c>
      <c r="C19" s="176">
        <v>20803204.999228034</v>
      </c>
      <c r="D19" s="176">
        <v>20803204.999228034</v>
      </c>
      <c r="E19" s="176">
        <f>+C19-D19</f>
        <v>0</v>
      </c>
      <c r="F19" s="81"/>
      <c r="G19"/>
      <c r="H19"/>
      <c r="I19"/>
      <c r="J19"/>
      <c r="K19"/>
      <c r="L19"/>
    </row>
    <row r="20" spans="1:12" x14ac:dyDescent="0.25">
      <c r="C20" s="82"/>
      <c r="D20" s="83"/>
      <c r="F20" s="77"/>
      <c r="G20"/>
      <c r="H20"/>
      <c r="I20"/>
      <c r="J20"/>
      <c r="K20"/>
      <c r="L20"/>
    </row>
    <row r="21" spans="1:12" ht="18.75" x14ac:dyDescent="0.3">
      <c r="A21" s="84"/>
      <c r="B21" s="85"/>
      <c r="C21" s="85"/>
      <c r="D21" s="86"/>
      <c r="E21" s="87"/>
      <c r="F21" s="88"/>
      <c r="G21"/>
      <c r="H21"/>
      <c r="I21"/>
      <c r="J21"/>
      <c r="K21"/>
      <c r="L21"/>
    </row>
    <row r="22" spans="1:12" x14ac:dyDescent="0.25">
      <c r="A22" s="84" t="s">
        <v>123</v>
      </c>
      <c r="B22" s="88"/>
      <c r="C22" s="89"/>
      <c r="D22" s="90"/>
      <c r="E22" s="91"/>
      <c r="F22" s="88"/>
      <c r="G22"/>
      <c r="H22"/>
      <c r="I22"/>
      <c r="J22"/>
      <c r="K22"/>
      <c r="L22"/>
    </row>
    <row r="23" spans="1:12" x14ac:dyDescent="0.25">
      <c r="A23" s="92" t="s">
        <v>162</v>
      </c>
      <c r="B23" s="88"/>
      <c r="C23" s="94"/>
      <c r="D23" s="90"/>
      <c r="E23" s="91"/>
      <c r="F23" s="88"/>
      <c r="G23"/>
      <c r="H23"/>
      <c r="I23"/>
      <c r="J23"/>
      <c r="K23"/>
      <c r="L23"/>
    </row>
    <row r="24" spans="1:12" x14ac:dyDescent="0.25">
      <c r="A24" s="95"/>
      <c r="B24" s="93"/>
      <c r="C24" s="89"/>
      <c r="D24" s="90"/>
      <c r="E24" s="96"/>
      <c r="F24" s="88"/>
      <c r="G24"/>
      <c r="H24"/>
      <c r="I24"/>
      <c r="J24"/>
      <c r="K24"/>
      <c r="L24"/>
    </row>
    <row r="25" spans="1:12" x14ac:dyDescent="0.25">
      <c r="A25" s="95"/>
      <c r="B25" s="93"/>
      <c r="C25" s="89"/>
      <c r="D25" s="90"/>
      <c r="E25" s="96"/>
      <c r="F25" s="88"/>
      <c r="G25" s="88"/>
      <c r="H25" s="88"/>
      <c r="I25" s="88"/>
      <c r="J25" s="88"/>
      <c r="K25" s="88"/>
      <c r="L25" s="88"/>
    </row>
    <row r="26" spans="1:12" x14ac:dyDescent="0.25">
      <c r="A26" s="95"/>
      <c r="B26" s="93"/>
      <c r="C26" s="89"/>
      <c r="D26" s="90"/>
      <c r="E26" s="96"/>
      <c r="F26" s="88"/>
      <c r="G26" s="88"/>
      <c r="H26" s="88"/>
      <c r="I26" s="88"/>
      <c r="J26" s="88"/>
      <c r="K26" s="88"/>
      <c r="L26" s="88"/>
    </row>
    <row r="27" spans="1:12" x14ac:dyDescent="0.25">
      <c r="A27" s="95"/>
      <c r="B27" s="93"/>
      <c r="C27" s="89"/>
      <c r="D27" s="90"/>
      <c r="E27" s="96"/>
      <c r="F27" s="88"/>
      <c r="G27" s="88"/>
      <c r="H27" s="88"/>
      <c r="I27" s="88"/>
      <c r="J27" s="88"/>
      <c r="K27" s="88"/>
      <c r="L27" s="88"/>
    </row>
    <row r="28" spans="1:12" x14ac:dyDescent="0.25">
      <c r="A28" s="95"/>
      <c r="B28" s="93"/>
      <c r="C28" s="89"/>
      <c r="D28" s="90"/>
      <c r="E28" s="96"/>
      <c r="F28" s="88"/>
      <c r="G28" s="88"/>
      <c r="H28" s="88"/>
      <c r="I28" s="88"/>
      <c r="J28" s="88"/>
      <c r="K28" s="88"/>
      <c r="L28" s="88"/>
    </row>
    <row r="29" spans="1:12" x14ac:dyDescent="0.25">
      <c r="A29" s="95"/>
      <c r="B29" s="93"/>
      <c r="C29" s="89"/>
      <c r="D29" s="90"/>
      <c r="E29" s="96"/>
      <c r="F29" s="88"/>
      <c r="G29" s="88"/>
      <c r="H29" s="88"/>
      <c r="I29" s="88"/>
      <c r="J29" s="88"/>
      <c r="K29" s="88"/>
      <c r="L29" s="88"/>
    </row>
    <row r="30" spans="1:12" x14ac:dyDescent="0.25">
      <c r="A30" s="84"/>
      <c r="B30" s="93"/>
      <c r="C30" s="89"/>
      <c r="D30" s="90"/>
      <c r="E30" s="96"/>
      <c r="F30" s="88"/>
      <c r="G30" s="88"/>
      <c r="H30" s="88"/>
      <c r="I30" s="88"/>
      <c r="J30" s="88"/>
      <c r="K30" s="88"/>
      <c r="L30" s="88"/>
    </row>
    <row r="31" spans="1:12" x14ac:dyDescent="0.25">
      <c r="A31" s="97"/>
      <c r="B31" s="97"/>
      <c r="C31" s="89"/>
      <c r="D31" s="90"/>
      <c r="E31" s="96"/>
      <c r="F31" s="88"/>
      <c r="G31" s="88"/>
      <c r="H31" s="88"/>
      <c r="I31" s="88"/>
      <c r="J31" s="88"/>
      <c r="K31" s="88"/>
      <c r="L31" s="88"/>
    </row>
    <row r="32" spans="1:12" x14ac:dyDescent="0.25">
      <c r="A32" s="84"/>
      <c r="B32" s="93"/>
      <c r="C32" s="89"/>
      <c r="D32" s="90"/>
      <c r="E32" s="96"/>
      <c r="F32" s="88"/>
      <c r="G32" s="88"/>
      <c r="H32" s="88"/>
      <c r="I32" s="88"/>
      <c r="J32" s="88"/>
      <c r="K32" s="88"/>
      <c r="L32" s="88"/>
    </row>
    <row r="33" spans="1:5" x14ac:dyDescent="0.25">
      <c r="A33" s="97"/>
      <c r="B33" s="97"/>
      <c r="C33" s="89"/>
      <c r="D33" s="90"/>
      <c r="E33" s="96"/>
    </row>
    <row r="34" spans="1:5" x14ac:dyDescent="0.25">
      <c r="A34" s="97"/>
      <c r="B34" s="97"/>
      <c r="C34" s="89"/>
      <c r="D34" s="90"/>
      <c r="E34" s="96"/>
    </row>
    <row r="35" spans="1:5" ht="18.75" x14ac:dyDescent="0.3">
      <c r="A35" s="84"/>
      <c r="B35" s="85"/>
      <c r="C35" s="89"/>
      <c r="D35" s="90"/>
      <c r="E35" s="96"/>
    </row>
    <row r="36" spans="1:5" x14ac:dyDescent="0.25">
      <c r="A36" s="89"/>
      <c r="B36" s="89"/>
      <c r="C36" s="89"/>
      <c r="D36" s="90"/>
      <c r="E36" s="96"/>
    </row>
    <row r="37" spans="1:5" ht="18.75" x14ac:dyDescent="0.3">
      <c r="A37" s="95"/>
      <c r="B37" s="93"/>
      <c r="C37" s="85"/>
      <c r="D37" s="96"/>
      <c r="E37" s="96"/>
    </row>
    <row r="38" spans="1:5" x14ac:dyDescent="0.25">
      <c r="A38" s="95"/>
      <c r="B38" s="93"/>
      <c r="C38" s="89"/>
      <c r="D38" s="96"/>
      <c r="E38" s="96"/>
    </row>
    <row r="39" spans="1:5" x14ac:dyDescent="0.25">
      <c r="A39" s="95"/>
      <c r="B39" s="93"/>
      <c r="C39" s="93"/>
      <c r="D39" s="96"/>
      <c r="E39" s="96"/>
    </row>
    <row r="40" spans="1:5" x14ac:dyDescent="0.25">
      <c r="A40" s="95"/>
      <c r="B40" s="93"/>
      <c r="C40" s="93"/>
      <c r="D40" s="96"/>
      <c r="E40" s="96"/>
    </row>
    <row r="41" spans="1:5" x14ac:dyDescent="0.25">
      <c r="A41" s="95"/>
      <c r="B41" s="93"/>
      <c r="C41" s="93"/>
      <c r="D41" s="96"/>
      <c r="E41" s="96"/>
    </row>
    <row r="42" spans="1:5" x14ac:dyDescent="0.25">
      <c r="A42" s="95"/>
      <c r="B42" s="93"/>
      <c r="C42" s="93"/>
      <c r="D42" s="96"/>
      <c r="E42" s="96"/>
    </row>
    <row r="43" spans="1:5" x14ac:dyDescent="0.25">
      <c r="A43" s="95"/>
      <c r="B43" s="93"/>
      <c r="C43" s="93"/>
      <c r="D43" s="96"/>
      <c r="E43" s="96"/>
    </row>
    <row r="44" spans="1:5" x14ac:dyDescent="0.25">
      <c r="A44" s="84"/>
      <c r="B44" s="93"/>
      <c r="C44" s="93"/>
      <c r="D44" s="96"/>
      <c r="E44" s="96"/>
    </row>
    <row r="45" spans="1:5" x14ac:dyDescent="0.25">
      <c r="A45" s="97"/>
      <c r="B45" s="97"/>
      <c r="C45" s="93"/>
      <c r="D45" s="96"/>
      <c r="E45" s="96"/>
    </row>
    <row r="46" spans="1:5" x14ac:dyDescent="0.25">
      <c r="A46" s="84"/>
      <c r="B46" s="93"/>
      <c r="C46" s="93"/>
      <c r="D46" s="96"/>
      <c r="E46" s="96"/>
    </row>
    <row r="47" spans="1:5" x14ac:dyDescent="0.25">
      <c r="A47" s="84"/>
      <c r="B47" s="93"/>
      <c r="C47" s="98"/>
      <c r="D47" s="96"/>
      <c r="E47" s="96"/>
    </row>
    <row r="48" spans="1:5" ht="18.75" x14ac:dyDescent="0.3">
      <c r="A48" s="84"/>
      <c r="B48" s="85"/>
      <c r="C48" s="99"/>
      <c r="D48" s="96"/>
      <c r="E48" s="96"/>
    </row>
    <row r="49" spans="1:5" x14ac:dyDescent="0.25">
      <c r="A49" s="89"/>
      <c r="B49" s="89"/>
      <c r="C49" s="99"/>
      <c r="D49" s="96"/>
      <c r="E49" s="96"/>
    </row>
    <row r="50" spans="1:5" x14ac:dyDescent="0.25">
      <c r="A50" s="95"/>
      <c r="B50" s="93"/>
      <c r="C50" s="86"/>
      <c r="D50" s="96"/>
      <c r="E50" s="96"/>
    </row>
    <row r="51" spans="1:5" x14ac:dyDescent="0.25">
      <c r="A51" s="95"/>
      <c r="B51" s="93"/>
      <c r="C51" s="90"/>
      <c r="D51" s="96"/>
      <c r="E51" s="96"/>
    </row>
    <row r="52" spans="1:5" x14ac:dyDescent="0.25">
      <c r="A52" s="95"/>
      <c r="B52" s="93"/>
      <c r="C52" s="100"/>
      <c r="D52" s="96"/>
      <c r="E52" s="96"/>
    </row>
    <row r="53" spans="1:5" x14ac:dyDescent="0.25">
      <c r="A53" s="95"/>
      <c r="B53" s="93"/>
      <c r="C53" s="100"/>
      <c r="D53" s="96"/>
      <c r="E53" s="96"/>
    </row>
    <row r="54" spans="1:5" x14ac:dyDescent="0.25">
      <c r="A54" s="95"/>
      <c r="B54" s="93"/>
      <c r="C54" s="100"/>
      <c r="D54" s="96"/>
      <c r="E54" s="96"/>
    </row>
    <row r="55" spans="1:5" x14ac:dyDescent="0.25">
      <c r="A55" s="95"/>
      <c r="B55" s="93"/>
      <c r="C55" s="100"/>
      <c r="D55" s="96"/>
      <c r="E55" s="96"/>
    </row>
    <row r="56" spans="1:5" x14ac:dyDescent="0.25">
      <c r="A56" s="95"/>
      <c r="B56" s="93"/>
      <c r="C56" s="100"/>
      <c r="D56" s="96"/>
      <c r="E56" s="96"/>
    </row>
    <row r="57" spans="1:5" x14ac:dyDescent="0.25">
      <c r="A57" s="84"/>
      <c r="B57" s="93"/>
      <c r="C57" s="100"/>
      <c r="D57" s="96"/>
      <c r="E57" s="96"/>
    </row>
    <row r="58" spans="1:5" x14ac:dyDescent="0.25">
      <c r="A58" s="97"/>
      <c r="B58" s="97"/>
      <c r="C58" s="100"/>
      <c r="D58" s="96"/>
      <c r="E58" s="96"/>
    </row>
    <row r="59" spans="1:5" x14ac:dyDescent="0.25">
      <c r="A59" s="84"/>
      <c r="B59" s="93"/>
      <c r="C59" s="100"/>
      <c r="D59" s="96"/>
      <c r="E59" s="96"/>
    </row>
    <row r="60" spans="1:5" x14ac:dyDescent="0.25">
      <c r="A60" s="97"/>
      <c r="B60" s="97"/>
      <c r="C60" s="98"/>
      <c r="D60" s="96"/>
      <c r="E60" s="96"/>
    </row>
    <row r="61" spans="1:5" x14ac:dyDescent="0.25">
      <c r="A61" s="97"/>
      <c r="B61" s="97"/>
      <c r="C61" s="99"/>
      <c r="D61" s="96"/>
      <c r="E61" s="96"/>
    </row>
    <row r="62" spans="1:5" ht="18.75" x14ac:dyDescent="0.3">
      <c r="A62" s="84"/>
      <c r="B62" s="85"/>
      <c r="C62" s="96"/>
      <c r="D62" s="96"/>
      <c r="E62" s="96"/>
    </row>
    <row r="63" spans="1:5" x14ac:dyDescent="0.25">
      <c r="A63" s="89"/>
      <c r="B63" s="89"/>
      <c r="C63" s="96"/>
      <c r="D63" s="96"/>
      <c r="E63" s="96"/>
    </row>
    <row r="64" spans="1:5" x14ac:dyDescent="0.25">
      <c r="A64" s="95"/>
      <c r="B64" s="93"/>
      <c r="C64" s="101"/>
      <c r="D64" s="96"/>
      <c r="E64" s="96"/>
    </row>
    <row r="65" spans="1:5" x14ac:dyDescent="0.25">
      <c r="A65" s="95"/>
      <c r="B65" s="93"/>
      <c r="C65" s="90"/>
      <c r="D65" s="96"/>
      <c r="E65" s="96"/>
    </row>
    <row r="66" spans="1:5" x14ac:dyDescent="0.25">
      <c r="A66" s="95"/>
      <c r="B66" s="93"/>
      <c r="C66" s="100"/>
      <c r="D66" s="96"/>
      <c r="E66" s="96"/>
    </row>
    <row r="67" spans="1:5" x14ac:dyDescent="0.25">
      <c r="A67" s="95"/>
      <c r="B67" s="93"/>
      <c r="C67" s="100"/>
      <c r="D67" s="96"/>
      <c r="E67" s="96"/>
    </row>
    <row r="68" spans="1:5" x14ac:dyDescent="0.25">
      <c r="A68" s="95"/>
      <c r="B68" s="93"/>
      <c r="C68" s="100"/>
      <c r="D68" s="96"/>
      <c r="E68" s="96"/>
    </row>
    <row r="69" spans="1:5" x14ac:dyDescent="0.25">
      <c r="A69" s="95"/>
      <c r="B69" s="93"/>
      <c r="C69" s="100"/>
      <c r="D69" s="96"/>
      <c r="E69" s="96"/>
    </row>
    <row r="70" spans="1:5" x14ac:dyDescent="0.25">
      <c r="A70" s="95"/>
      <c r="B70" s="93"/>
      <c r="C70" s="100"/>
      <c r="D70" s="96"/>
      <c r="E70" s="96"/>
    </row>
    <row r="71" spans="1:5" x14ac:dyDescent="0.25">
      <c r="A71" s="84"/>
      <c r="B71" s="93"/>
      <c r="C71" s="100"/>
      <c r="D71" s="96"/>
      <c r="E71" s="96"/>
    </row>
    <row r="72" spans="1:5" x14ac:dyDescent="0.25">
      <c r="A72" s="97"/>
      <c r="B72" s="97"/>
      <c r="C72" s="100"/>
      <c r="D72" s="96"/>
      <c r="E72" s="96"/>
    </row>
    <row r="73" spans="1:5" x14ac:dyDescent="0.25">
      <c r="A73" s="84"/>
      <c r="B73" s="93"/>
      <c r="C73" s="100"/>
      <c r="D73" s="96"/>
      <c r="E73" s="96"/>
    </row>
    <row r="74" spans="1:5" x14ac:dyDescent="0.25">
      <c r="A74" s="84"/>
      <c r="B74" s="93"/>
      <c r="C74" s="98"/>
      <c r="D74" s="96"/>
      <c r="E74" s="96"/>
    </row>
    <row r="75" spans="1:5" x14ac:dyDescent="0.25">
      <c r="A75" s="97"/>
      <c r="B75" s="97"/>
      <c r="C75" s="99"/>
      <c r="D75" s="96"/>
      <c r="E75" s="96"/>
    </row>
    <row r="76" spans="1:5" x14ac:dyDescent="0.25">
      <c r="A76" s="88"/>
      <c r="B76" s="88"/>
      <c r="C76" s="99"/>
      <c r="D76" s="96"/>
      <c r="E76" s="96"/>
    </row>
    <row r="77" spans="1:5" x14ac:dyDescent="0.25">
      <c r="A77" s="88"/>
      <c r="B77" s="88"/>
      <c r="C77" s="102"/>
      <c r="D77" s="96"/>
      <c r="E77" s="96"/>
    </row>
    <row r="78" spans="1:5" x14ac:dyDescent="0.25">
      <c r="A78" s="88"/>
      <c r="B78" s="88"/>
      <c r="C78" s="96"/>
      <c r="D78" s="96"/>
      <c r="E78" s="96"/>
    </row>
    <row r="79" spans="1:5" x14ac:dyDescent="0.25">
      <c r="C79" s="96"/>
      <c r="D79" s="96"/>
      <c r="E79" s="96"/>
    </row>
    <row r="80" spans="1:5" x14ac:dyDescent="0.25">
      <c r="C80" s="96"/>
      <c r="D80" s="96"/>
      <c r="E80" s="96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="90" zoomScaleNormal="9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31" sqref="E31"/>
    </sheetView>
  </sheetViews>
  <sheetFormatPr defaultRowHeight="12.75" x14ac:dyDescent="0.2"/>
  <cols>
    <col min="1" max="1" width="19.7109375" customWidth="1"/>
    <col min="2" max="2" width="14.28515625" customWidth="1"/>
    <col min="3" max="3" width="12.7109375" customWidth="1"/>
    <col min="4" max="4" width="14.42578125" customWidth="1"/>
    <col min="5" max="5" width="48.5703125" customWidth="1"/>
    <col min="6" max="6" width="14" customWidth="1"/>
    <col min="7" max="7" width="13.7109375" customWidth="1"/>
    <col min="8" max="8" width="19.7109375" customWidth="1"/>
    <col min="9" max="9" width="15.7109375" customWidth="1"/>
    <col min="10" max="10" width="15.140625" customWidth="1"/>
  </cols>
  <sheetData>
    <row r="1" spans="1:10" ht="39" thickBot="1" x14ac:dyDescent="0.25">
      <c r="B1" s="182" t="s">
        <v>74</v>
      </c>
      <c r="C1" s="15"/>
      <c r="D1" s="182" t="s">
        <v>165</v>
      </c>
      <c r="E1" s="183" t="str">
        <f>IFERROR(IF(ROUND(SUM(F38:F53),0)&lt;&gt;0,"## ERROR IN WORKBOOK ##",""),"## ERROR IN WORKBOOK ##")</f>
        <v/>
      </c>
      <c r="F1" s="182" t="s">
        <v>75</v>
      </c>
      <c r="G1" s="16"/>
      <c r="I1" s="182" t="s">
        <v>161</v>
      </c>
      <c r="J1" s="182" t="s">
        <v>74</v>
      </c>
    </row>
    <row r="2" spans="1:10" ht="40.5" customHeight="1" thickBot="1" x14ac:dyDescent="0.3">
      <c r="A2" s="17" t="s">
        <v>19</v>
      </c>
      <c r="B2" s="18" t="s">
        <v>76</v>
      </c>
      <c r="C2" s="19" t="s">
        <v>18</v>
      </c>
      <c r="D2" s="18" t="s">
        <v>77</v>
      </c>
      <c r="E2" s="20" t="s">
        <v>17</v>
      </c>
      <c r="F2" s="21" t="s">
        <v>78</v>
      </c>
      <c r="G2" s="21" t="s">
        <v>79</v>
      </c>
      <c r="I2" s="211" t="s">
        <v>77</v>
      </c>
      <c r="J2" s="18" t="s">
        <v>164</v>
      </c>
    </row>
    <row r="3" spans="1:10" ht="25.5" x14ac:dyDescent="0.2">
      <c r="A3" s="22" t="s">
        <v>80</v>
      </c>
      <c r="B3" s="23">
        <f>'[3]Production O&amp;M Summary'!B3</f>
        <v>15360708.629999999</v>
      </c>
      <c r="C3" s="23">
        <f>'[3]Production O&amp;M Summary'!C3</f>
        <v>-15274767.629999999</v>
      </c>
      <c r="D3" s="23">
        <f>SUM(B3:C3)</f>
        <v>85941</v>
      </c>
      <c r="E3" s="24" t="s">
        <v>81</v>
      </c>
      <c r="F3" s="23">
        <f>'[3]Production O&amp;M Summary'!F3</f>
        <v>1448718</v>
      </c>
      <c r="G3" s="25">
        <f>D3-F3</f>
        <v>-1362777</v>
      </c>
      <c r="I3" s="23">
        <v>85941</v>
      </c>
      <c r="J3" s="23">
        <f>+D3-I3</f>
        <v>0</v>
      </c>
    </row>
    <row r="4" spans="1:10" x14ac:dyDescent="0.2">
      <c r="A4" s="22" t="s">
        <v>82</v>
      </c>
      <c r="B4" s="25">
        <f>'[3]Production O&amp;M Summary'!B4</f>
        <v>20850021.259999998</v>
      </c>
      <c r="C4" s="26">
        <f>'[3]Production O&amp;M Summary'!C4</f>
        <v>-1374493.0199999998</v>
      </c>
      <c r="D4" s="26">
        <f t="shared" ref="D4:D25" si="0">SUM(B4:C4)</f>
        <v>19475528.239999998</v>
      </c>
      <c r="E4" s="27" t="s">
        <v>154</v>
      </c>
      <c r="F4" s="26">
        <f>'[3]Production O&amp;M Summary'!F4</f>
        <v>17650331.915403496</v>
      </c>
      <c r="G4" s="25">
        <f t="shared" ref="G4:G25" si="1">D4-F4</f>
        <v>1825196.3245965019</v>
      </c>
      <c r="I4" s="26">
        <v>19475528.239999998</v>
      </c>
      <c r="J4" s="26">
        <f t="shared" ref="J4:J25" si="2">+D4-I4</f>
        <v>0</v>
      </c>
    </row>
    <row r="5" spans="1:10" x14ac:dyDescent="0.2">
      <c r="A5" s="22" t="s">
        <v>15</v>
      </c>
      <c r="B5" s="25">
        <f>'[3]Production O&amp;M Summary'!B5</f>
        <v>3689935.3000000287</v>
      </c>
      <c r="C5" s="26">
        <f>'[3]Production O&amp;M Summary'!C5</f>
        <v>0</v>
      </c>
      <c r="D5" s="26">
        <f t="shared" si="0"/>
        <v>3689935.3000000287</v>
      </c>
      <c r="E5" s="27" t="s">
        <v>83</v>
      </c>
      <c r="F5" s="26">
        <f>'[3]Production O&amp;M Summary'!F5</f>
        <v>2377548.1299999906</v>
      </c>
      <c r="G5" s="25">
        <f t="shared" si="1"/>
        <v>1312387.1700000381</v>
      </c>
      <c r="I5" s="26">
        <v>3689935.3000000287</v>
      </c>
      <c r="J5" s="26">
        <f t="shared" si="2"/>
        <v>0</v>
      </c>
    </row>
    <row r="6" spans="1:10" x14ac:dyDescent="0.2">
      <c r="A6" s="22" t="s">
        <v>14</v>
      </c>
      <c r="B6" s="25">
        <f>'[3]Production O&amp;M Summary'!B6</f>
        <v>4787334.5100000212</v>
      </c>
      <c r="C6" s="26">
        <f>'[3]Production O&amp;M Summary'!C6</f>
        <v>0</v>
      </c>
      <c r="D6" s="26">
        <f t="shared" si="0"/>
        <v>4787334.5100000212</v>
      </c>
      <c r="E6" s="27" t="s">
        <v>83</v>
      </c>
      <c r="F6" s="26">
        <f>'[3]Production O&amp;M Summary'!F6</f>
        <v>6916980.6699999394</v>
      </c>
      <c r="G6" s="25">
        <f t="shared" si="1"/>
        <v>-2129646.1599999182</v>
      </c>
      <c r="I6" s="26">
        <v>4787334.5100000212</v>
      </c>
      <c r="J6" s="26">
        <f t="shared" si="2"/>
        <v>0</v>
      </c>
    </row>
    <row r="7" spans="1:10" x14ac:dyDescent="0.2">
      <c r="A7" s="22" t="s">
        <v>84</v>
      </c>
      <c r="B7" s="25">
        <f>'[3]Production O&amp;M Summary'!B7</f>
        <v>2620205.6600000006</v>
      </c>
      <c r="C7" s="26">
        <f>'[3]Production O&amp;M Summary'!C7</f>
        <v>282576.00219179923</v>
      </c>
      <c r="D7" s="26">
        <f t="shared" si="0"/>
        <v>2902781.6621917998</v>
      </c>
      <c r="E7" s="27" t="s">
        <v>85</v>
      </c>
      <c r="F7" s="26">
        <f>'[3]Production O&amp;M Summary'!F7</f>
        <v>2881401.3882521</v>
      </c>
      <c r="G7" s="25">
        <f t="shared" si="1"/>
        <v>21380.273939699866</v>
      </c>
      <c r="I7" s="26">
        <v>2902781.6621917998</v>
      </c>
      <c r="J7" s="26">
        <f t="shared" si="2"/>
        <v>0</v>
      </c>
    </row>
    <row r="8" spans="1:10" x14ac:dyDescent="0.2">
      <c r="A8" s="22" t="s">
        <v>86</v>
      </c>
      <c r="B8" s="25">
        <f>'[3]Production O&amp;M Summary'!B8</f>
        <v>3477531.4300000193</v>
      </c>
      <c r="C8" s="26">
        <f>'[3]Production O&amp;M Summary'!C8</f>
        <v>0</v>
      </c>
      <c r="D8" s="26">
        <f t="shared" si="0"/>
        <v>3477531.4300000193</v>
      </c>
      <c r="E8" s="27" t="s">
        <v>83</v>
      </c>
      <c r="F8" s="26">
        <f>'[3]Production O&amp;M Summary'!F8</f>
        <v>3912163.9099999415</v>
      </c>
      <c r="G8" s="25">
        <f t="shared" si="1"/>
        <v>-434632.47999992222</v>
      </c>
      <c r="I8" s="26">
        <v>3477531.4300000193</v>
      </c>
      <c r="J8" s="26">
        <f t="shared" si="2"/>
        <v>0</v>
      </c>
    </row>
    <row r="9" spans="1:10" x14ac:dyDescent="0.2">
      <c r="A9" s="22" t="s">
        <v>87</v>
      </c>
      <c r="B9" s="25">
        <f>'[3]Production O&amp;M Summary'!B9</f>
        <v>252629.72</v>
      </c>
      <c r="C9" s="26">
        <f>'[3]Production O&amp;M Summary'!C9</f>
        <v>286681.15848059999</v>
      </c>
      <c r="D9" s="26">
        <f t="shared" si="0"/>
        <v>539310.87848059996</v>
      </c>
      <c r="E9" s="27" t="s">
        <v>85</v>
      </c>
      <c r="F9" s="26">
        <f>'[3]Production O&amp;M Summary'!F9</f>
        <v>403236.76025379996</v>
      </c>
      <c r="G9" s="25">
        <f t="shared" si="1"/>
        <v>136074.1182268</v>
      </c>
      <c r="I9" s="26">
        <v>539310.87848059996</v>
      </c>
      <c r="J9" s="26">
        <f t="shared" si="2"/>
        <v>0</v>
      </c>
    </row>
    <row r="10" spans="1:10" ht="25.5" x14ac:dyDescent="0.2">
      <c r="A10" s="22" t="s">
        <v>88</v>
      </c>
      <c r="B10" s="25">
        <f>'[3]Production O&amp;M Summary'!B10</f>
        <v>7340011.9699999988</v>
      </c>
      <c r="C10" s="26">
        <f>'[3]Production O&amp;M Summary'!C10</f>
        <v>70339.623094501556</v>
      </c>
      <c r="D10" s="26">
        <f t="shared" si="0"/>
        <v>7410351.5930945007</v>
      </c>
      <c r="E10" s="27" t="s">
        <v>89</v>
      </c>
      <c r="F10" s="26">
        <f>'[3]Production O&amp;M Summary'!F10</f>
        <v>7466530.7827237509</v>
      </c>
      <c r="G10" s="25">
        <f t="shared" si="1"/>
        <v>-56179.189629250206</v>
      </c>
      <c r="I10" s="26">
        <v>7410351.5930945007</v>
      </c>
      <c r="J10" s="26">
        <f t="shared" si="2"/>
        <v>0</v>
      </c>
    </row>
    <row r="11" spans="1:10" ht="25.5" x14ac:dyDescent="0.2">
      <c r="A11" s="22" t="s">
        <v>7</v>
      </c>
      <c r="B11" s="25">
        <f>'[3]Production O&amp;M Summary'!B11</f>
        <v>10563932.359999999</v>
      </c>
      <c r="C11" s="26">
        <f>'[3]Production O&amp;M Summary'!C11</f>
        <v>456716.17058259994</v>
      </c>
      <c r="D11" s="26">
        <f t="shared" si="0"/>
        <v>11020648.530582599</v>
      </c>
      <c r="E11" s="27" t="s">
        <v>89</v>
      </c>
      <c r="F11" s="26">
        <f>'[3]Production O&amp;M Summary'!F11</f>
        <v>11279896.497953692</v>
      </c>
      <c r="G11" s="25">
        <f t="shared" si="1"/>
        <v>-259247.96737109311</v>
      </c>
      <c r="I11" s="26">
        <v>11020648.530582599</v>
      </c>
      <c r="J11" s="26">
        <f t="shared" si="2"/>
        <v>0</v>
      </c>
    </row>
    <row r="12" spans="1:10" ht="25.5" x14ac:dyDescent="0.2">
      <c r="A12" s="28" t="s">
        <v>6</v>
      </c>
      <c r="B12" s="25">
        <f>'[3]Production O&amp;M Summary'!B12</f>
        <v>12740258.789999999</v>
      </c>
      <c r="C12" s="26">
        <f>'[3]Production O&amp;M Summary'!C12</f>
        <v>266190.06372111384</v>
      </c>
      <c r="D12" s="26">
        <f t="shared" si="0"/>
        <v>13006448.853721112</v>
      </c>
      <c r="E12" s="27" t="s">
        <v>90</v>
      </c>
      <c r="F12" s="26">
        <f>'[3]Production O&amp;M Summary'!F12</f>
        <v>13947992.919323642</v>
      </c>
      <c r="G12" s="25">
        <f t="shared" si="1"/>
        <v>-941544.06560252979</v>
      </c>
      <c r="I12" s="26">
        <v>13006448.853721112</v>
      </c>
      <c r="J12" s="26">
        <f t="shared" si="2"/>
        <v>0</v>
      </c>
    </row>
    <row r="13" spans="1:10" x14ac:dyDescent="0.2">
      <c r="A13" s="9" t="s">
        <v>91</v>
      </c>
      <c r="B13" s="25">
        <f>'[3]Production O&amp;M Summary'!B13</f>
        <v>144213.31</v>
      </c>
      <c r="C13" s="26">
        <f>'[3]Production O&amp;M Summary'!C13</f>
        <v>0</v>
      </c>
      <c r="D13" s="26">
        <f t="shared" si="0"/>
        <v>144213.31</v>
      </c>
      <c r="E13" s="27" t="s">
        <v>92</v>
      </c>
      <c r="F13" s="26">
        <f>'[3]Production O&amp;M Summary'!F13</f>
        <v>145177.78000000006</v>
      </c>
      <c r="G13" s="25">
        <f t="shared" si="1"/>
        <v>-964.47000000005937</v>
      </c>
      <c r="I13" s="26">
        <v>144213.31</v>
      </c>
      <c r="J13" s="26">
        <f t="shared" si="2"/>
        <v>0</v>
      </c>
    </row>
    <row r="14" spans="1:10" x14ac:dyDescent="0.2">
      <c r="A14" s="22" t="s">
        <v>16</v>
      </c>
      <c r="B14" s="25">
        <f>'[3]Production O&amp;M Summary'!B14</f>
        <v>5830115.2699999483</v>
      </c>
      <c r="C14" s="26">
        <f>'[3]Production O&amp;M Summary'!C14</f>
        <v>0.84000000002561137</v>
      </c>
      <c r="D14" s="26">
        <f t="shared" si="0"/>
        <v>5830116.1099999482</v>
      </c>
      <c r="E14" s="27" t="s">
        <v>92</v>
      </c>
      <c r="F14" s="26">
        <f>'[3]Production O&amp;M Summary'!F14</f>
        <v>5826998.3700000281</v>
      </c>
      <c r="G14" s="25">
        <f t="shared" si="1"/>
        <v>3117.7399999201298</v>
      </c>
      <c r="I14" s="26">
        <v>5830116.1099999482</v>
      </c>
      <c r="J14" s="26">
        <f t="shared" si="2"/>
        <v>0</v>
      </c>
    </row>
    <row r="15" spans="1:10" x14ac:dyDescent="0.2">
      <c r="A15" s="22" t="s">
        <v>13</v>
      </c>
      <c r="B15" s="25">
        <f>'[3]Production O&amp;M Summary'!B15</f>
        <v>7272075.5700000003</v>
      </c>
      <c r="C15" s="26">
        <f>'[3]Production O&amp;M Summary'!C15</f>
        <v>0</v>
      </c>
      <c r="D15" s="26">
        <f t="shared" si="0"/>
        <v>7272075.5700000003</v>
      </c>
      <c r="E15" s="27" t="s">
        <v>92</v>
      </c>
      <c r="F15" s="26">
        <f>'[3]Production O&amp;M Summary'!F15</f>
        <v>7205208.0599999987</v>
      </c>
      <c r="G15" s="25">
        <f t="shared" si="1"/>
        <v>66867.510000001639</v>
      </c>
      <c r="I15" s="26">
        <v>7272075.5700000003</v>
      </c>
      <c r="J15" s="26">
        <f t="shared" si="2"/>
        <v>0</v>
      </c>
    </row>
    <row r="16" spans="1:10" x14ac:dyDescent="0.2">
      <c r="A16" s="22" t="s">
        <v>12</v>
      </c>
      <c r="B16" s="25">
        <f>'[3]Production O&amp;M Summary'!B16</f>
        <v>3948857.2699999996</v>
      </c>
      <c r="C16" s="26">
        <f>'[3]Production O&amp;M Summary'!C16</f>
        <v>458586.05030280445</v>
      </c>
      <c r="D16" s="26">
        <f t="shared" si="0"/>
        <v>4407443.320302804</v>
      </c>
      <c r="E16" s="27" t="s">
        <v>93</v>
      </c>
      <c r="F16" s="26">
        <f>'[3]Production O&amp;M Summary'!F16</f>
        <v>4540880.1766496804</v>
      </c>
      <c r="G16" s="25">
        <f t="shared" si="1"/>
        <v>-133436.85634687636</v>
      </c>
      <c r="I16" s="26">
        <v>4407443.320302804</v>
      </c>
      <c r="J16" s="26">
        <f t="shared" si="2"/>
        <v>0</v>
      </c>
    </row>
    <row r="17" spans="1:10" x14ac:dyDescent="0.2">
      <c r="A17" s="22" t="s">
        <v>94</v>
      </c>
      <c r="B17" s="25">
        <f>'[3]Production O&amp;M Summary'!B17</f>
        <v>1894766.0400000003</v>
      </c>
      <c r="C17" s="26">
        <f>'[3]Production O&amp;M Summary'!C17</f>
        <v>-55397.14</v>
      </c>
      <c r="D17" s="26">
        <f t="shared" si="0"/>
        <v>1839368.9000000004</v>
      </c>
      <c r="E17" s="27" t="s">
        <v>93</v>
      </c>
      <c r="F17" s="26">
        <f>'[3]Production O&amp;M Summary'!F17</f>
        <v>1584888.6099999978</v>
      </c>
      <c r="G17" s="25">
        <f t="shared" si="1"/>
        <v>254480.2900000026</v>
      </c>
      <c r="I17" s="26">
        <v>1839368.9000000004</v>
      </c>
      <c r="J17" s="26">
        <f t="shared" si="2"/>
        <v>0</v>
      </c>
    </row>
    <row r="18" spans="1:10" x14ac:dyDescent="0.2">
      <c r="A18" s="22" t="s">
        <v>9</v>
      </c>
      <c r="B18" s="25">
        <f>'[3]Production O&amp;M Summary'!B18</f>
        <v>4376260.3899999978</v>
      </c>
      <c r="C18" s="26">
        <f>'[3]Production O&amp;M Summary'!C18</f>
        <v>153051.06666666662</v>
      </c>
      <c r="D18" s="26">
        <f t="shared" si="0"/>
        <v>4529311.4566666642</v>
      </c>
      <c r="E18" s="27" t="s">
        <v>93</v>
      </c>
      <c r="F18" s="26">
        <f>'[3]Production O&amp;M Summary'!F18</f>
        <v>4765514.5599999996</v>
      </c>
      <c r="G18" s="25">
        <f t="shared" si="1"/>
        <v>-236203.10333333537</v>
      </c>
      <c r="I18" s="26">
        <v>4529311.4566666642</v>
      </c>
      <c r="J18" s="26">
        <f t="shared" si="2"/>
        <v>0</v>
      </c>
    </row>
    <row r="19" spans="1:10" x14ac:dyDescent="0.2">
      <c r="A19" s="22" t="s">
        <v>11</v>
      </c>
      <c r="B19" s="25">
        <f>'[3]Production O&amp;M Summary'!B19</f>
        <v>7965311.0400000047</v>
      </c>
      <c r="C19" s="26">
        <f>'[3]Production O&amp;M Summary'!C19</f>
        <v>0</v>
      </c>
      <c r="D19" s="26">
        <f t="shared" si="0"/>
        <v>7965311.0400000047</v>
      </c>
      <c r="E19" s="27" t="s">
        <v>92</v>
      </c>
      <c r="F19" s="26">
        <f>'[3]Production O&amp;M Summary'!F19</f>
        <v>7686664.0200000014</v>
      </c>
      <c r="G19" s="25">
        <f t="shared" si="1"/>
        <v>278647.02000000328</v>
      </c>
      <c r="I19" s="26">
        <v>7965311.0400000047</v>
      </c>
      <c r="J19" s="26">
        <f t="shared" si="2"/>
        <v>0</v>
      </c>
    </row>
    <row r="20" spans="1:10" x14ac:dyDescent="0.2">
      <c r="A20" s="22" t="s">
        <v>10</v>
      </c>
      <c r="B20" s="25">
        <f>'[3]Production O&amp;M Summary'!B20</f>
        <v>7383065.29</v>
      </c>
      <c r="C20" s="26">
        <f>'[3]Production O&amp;M Summary'!C20</f>
        <v>-413761.87</v>
      </c>
      <c r="D20" s="26">
        <f t="shared" si="0"/>
        <v>6969303.4199999999</v>
      </c>
      <c r="E20" s="27" t="s">
        <v>93</v>
      </c>
      <c r="F20" s="26">
        <f>'[3]Production O&amp;M Summary'!F20</f>
        <v>6796734.3599999873</v>
      </c>
      <c r="G20" s="25">
        <f t="shared" si="1"/>
        <v>172569.06000001263</v>
      </c>
      <c r="I20" s="26">
        <v>6969303.4199999999</v>
      </c>
      <c r="J20" s="26">
        <f t="shared" si="2"/>
        <v>0</v>
      </c>
    </row>
    <row r="21" spans="1:10" x14ac:dyDescent="0.2">
      <c r="A21" s="22" t="s">
        <v>8</v>
      </c>
      <c r="B21" s="25">
        <f>'[3]Production O&amp;M Summary'!B21</f>
        <v>4832921.0500000007</v>
      </c>
      <c r="C21" s="26">
        <f>'[3]Production O&amp;M Summary'!C21</f>
        <v>-1.7999999999592546</v>
      </c>
      <c r="D21" s="26">
        <f t="shared" si="0"/>
        <v>4832919.2500000009</v>
      </c>
      <c r="E21" s="27" t="s">
        <v>92</v>
      </c>
      <c r="F21" s="26">
        <f>'[3]Production O&amp;M Summary'!F21</f>
        <v>5450490.2600000016</v>
      </c>
      <c r="G21" s="25">
        <f t="shared" si="1"/>
        <v>-617571.01000000071</v>
      </c>
      <c r="I21" s="26">
        <v>4832919.2500000009</v>
      </c>
      <c r="J21" s="26">
        <f t="shared" si="2"/>
        <v>0</v>
      </c>
    </row>
    <row r="22" spans="1:10" x14ac:dyDescent="0.2">
      <c r="A22" s="22" t="s">
        <v>95</v>
      </c>
      <c r="B22" s="25">
        <f>'[3]Production O&amp;M Summary'!B22</f>
        <v>1632749.7199999988</v>
      </c>
      <c r="C22" s="26">
        <f>'[3]Production O&amp;M Summary'!C22</f>
        <v>-33708.054388489196</v>
      </c>
      <c r="D22" s="26">
        <f t="shared" si="0"/>
        <v>1599041.6656115097</v>
      </c>
      <c r="E22" s="27" t="s">
        <v>93</v>
      </c>
      <c r="F22" s="26">
        <f>'[3]Production O&amp;M Summary'!F22</f>
        <v>1777918.3856115101</v>
      </c>
      <c r="G22" s="25">
        <f t="shared" si="1"/>
        <v>-178876.72000000044</v>
      </c>
      <c r="I22" s="26">
        <v>1599041.6656115097</v>
      </c>
      <c r="J22" s="26">
        <f t="shared" si="2"/>
        <v>0</v>
      </c>
    </row>
    <row r="23" spans="1:10" x14ac:dyDescent="0.2">
      <c r="A23" s="22" t="s">
        <v>5</v>
      </c>
      <c r="B23" s="25">
        <f>'[3]Production O&amp;M Summary'!B23</f>
        <v>0</v>
      </c>
      <c r="C23" s="26">
        <f>'[3]Production O&amp;M Summary'!C23</f>
        <v>0</v>
      </c>
      <c r="D23" s="26">
        <f t="shared" si="0"/>
        <v>0</v>
      </c>
      <c r="E23" s="27" t="s">
        <v>83</v>
      </c>
      <c r="F23" s="26">
        <f>'[3]Production O&amp;M Summary'!F23</f>
        <v>0</v>
      </c>
      <c r="G23" s="25">
        <f t="shared" si="1"/>
        <v>0</v>
      </c>
      <c r="I23" s="26">
        <v>0</v>
      </c>
      <c r="J23" s="26">
        <f t="shared" si="2"/>
        <v>0</v>
      </c>
    </row>
    <row r="24" spans="1:10" ht="38.25" x14ac:dyDescent="0.2">
      <c r="A24" s="29" t="s">
        <v>96</v>
      </c>
      <c r="B24" s="25">
        <f>'[3]Production O&amp;M Summary'!B24</f>
        <v>1290296.92</v>
      </c>
      <c r="C24" s="26">
        <f>'[3]Production O&amp;M Summary'!C24</f>
        <v>0</v>
      </c>
      <c r="D24" s="26">
        <f t="shared" si="0"/>
        <v>1290296.92</v>
      </c>
      <c r="E24" s="27" t="s">
        <v>83</v>
      </c>
      <c r="F24" s="26">
        <f>'[3]Production O&amp;M Summary'!F24</f>
        <v>1207561.8700000001</v>
      </c>
      <c r="G24" s="25">
        <f t="shared" si="1"/>
        <v>82735.049999999814</v>
      </c>
      <c r="I24" s="26">
        <v>1290296.92</v>
      </c>
      <c r="J24" s="26">
        <f t="shared" si="2"/>
        <v>0</v>
      </c>
    </row>
    <row r="25" spans="1:10" x14ac:dyDescent="0.2">
      <c r="A25" s="30" t="s">
        <v>97</v>
      </c>
      <c r="B25" s="25">
        <f>'[3]Production O&amp;M Summary'!B25</f>
        <v>66784.149999999994</v>
      </c>
      <c r="C25" s="26">
        <f>'[3]Production O&amp;M Summary'!C25</f>
        <v>0</v>
      </c>
      <c r="D25" s="31">
        <f t="shared" si="0"/>
        <v>66784.149999999994</v>
      </c>
      <c r="E25" s="27" t="s">
        <v>83</v>
      </c>
      <c r="F25" s="31">
        <f>'[3]Production O&amp;M Summary'!F25</f>
        <v>30103.989999999998</v>
      </c>
      <c r="G25" s="25">
        <f t="shared" si="1"/>
        <v>36680.159999999996</v>
      </c>
      <c r="I25" s="31">
        <v>66784.149999999994</v>
      </c>
      <c r="J25" s="31">
        <f t="shared" si="2"/>
        <v>0</v>
      </c>
    </row>
    <row r="26" spans="1:10" ht="13.5" thickBot="1" x14ac:dyDescent="0.25">
      <c r="A26" s="32" t="s">
        <v>4</v>
      </c>
      <c r="B26" s="33">
        <f>SUM(B3:B25)</f>
        <v>128319985.65000002</v>
      </c>
      <c r="C26" s="33">
        <f t="shared" ref="C26:D26" si="3">SUM(C3:C25)</f>
        <v>-15177988.539348407</v>
      </c>
      <c r="D26" s="33">
        <f t="shared" si="3"/>
        <v>113141997.11065163</v>
      </c>
      <c r="F26" s="33">
        <f t="shared" ref="F26:G26" si="4">SUM(F3:F25)</f>
        <v>115302941.41617157</v>
      </c>
      <c r="G26" s="33">
        <f t="shared" si="4"/>
        <v>-2160944.3055199459</v>
      </c>
      <c r="I26" s="33">
        <f>SUM(I3:I25)</f>
        <v>113141997.11065163</v>
      </c>
      <c r="J26" s="33">
        <f>SUM(J3:J25)</f>
        <v>0</v>
      </c>
    </row>
    <row r="27" spans="1:10" x14ac:dyDescent="0.2">
      <c r="B27" s="34">
        <v>0</v>
      </c>
      <c r="C27" s="34">
        <v>0</v>
      </c>
      <c r="D27" s="213">
        <f>+'[4]2020 PCORC RJR WP'!$D$32</f>
        <v>-1027139.1622982528</v>
      </c>
      <c r="E27" s="214" t="s">
        <v>166</v>
      </c>
    </row>
    <row r="28" spans="1:10" ht="13.5" thickBot="1" x14ac:dyDescent="0.25">
      <c r="D28" s="212">
        <f>SUM(D26:D27)</f>
        <v>112114857.94835338</v>
      </c>
    </row>
    <row r="29" spans="1:10" ht="13.5" thickTop="1" x14ac:dyDescent="0.2"/>
  </sheetData>
  <pageMargins left="0.7" right="0.38" top="0.75" bottom="0.75" header="0.3" footer="0.3"/>
  <pageSetup scale="94" orientation="landscape" r:id="rId1"/>
  <headerFooter>
    <oddHeader>&amp;L&amp;"Arial,Bold"RJR-5 Production O&amp;&amp;M -Rebuttal&amp;R&amp;"Arial,Bold"Confidential per WAC 480-07-160</oddHeader>
    <oddFooter>&amp;L&amp;F; &amp;A&amp;R&amp;D&amp;T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1"/>
  <sheetViews>
    <sheetView topLeftCell="A10" workbookViewId="0">
      <selection activeCell="G18" sqref="G18"/>
    </sheetView>
  </sheetViews>
  <sheetFormatPr defaultColWidth="9.28515625" defaultRowHeight="12.75" x14ac:dyDescent="0.2"/>
  <cols>
    <col min="1" max="2" width="9.28515625" style="36"/>
    <col min="3" max="3" width="14" style="36" bestFit="1" customWidth="1"/>
    <col min="4" max="4" width="15.28515625" style="35" customWidth="1"/>
    <col min="5" max="5" width="12.28515625" style="36" bestFit="1" customWidth="1"/>
    <col min="6" max="7" width="11.28515625" style="36" bestFit="1" customWidth="1"/>
    <col min="8" max="8" width="12.5703125" style="36" customWidth="1"/>
    <col min="9" max="16" width="11.28515625" style="36" bestFit="1" customWidth="1"/>
    <col min="17" max="17" width="11" style="36" customWidth="1"/>
    <col min="18" max="18" width="9.28515625" style="36"/>
    <col min="19" max="19" width="14.28515625" style="36" customWidth="1"/>
    <col min="20" max="28" width="12.28515625" style="36" bestFit="1" customWidth="1"/>
    <col min="29" max="29" width="14" style="36" bestFit="1" customWidth="1"/>
    <col min="30" max="31" width="12.28515625" style="36" bestFit="1" customWidth="1"/>
    <col min="32" max="32" width="14" style="36" bestFit="1" customWidth="1"/>
    <col min="33" max="16384" width="9.28515625" style="36"/>
  </cols>
  <sheetData>
    <row r="2" spans="2:32" x14ac:dyDescent="0.2">
      <c r="B2" s="35" t="s">
        <v>98</v>
      </c>
    </row>
    <row r="3" spans="2:32" x14ac:dyDescent="0.2">
      <c r="H3" s="37"/>
    </row>
    <row r="5" spans="2:32" x14ac:dyDescent="0.2">
      <c r="B5" s="35" t="s">
        <v>99</v>
      </c>
    </row>
    <row r="6" spans="2:32" ht="25.5" x14ac:dyDescent="0.2">
      <c r="B6" s="36" t="s">
        <v>49</v>
      </c>
      <c r="C6" s="36" t="s">
        <v>100</v>
      </c>
      <c r="D6" s="38" t="s">
        <v>101</v>
      </c>
      <c r="E6" s="36" t="s">
        <v>30</v>
      </c>
      <c r="F6" s="36" t="s">
        <v>29</v>
      </c>
      <c r="G6" s="36" t="s">
        <v>28</v>
      </c>
      <c r="H6" s="36" t="s">
        <v>27</v>
      </c>
      <c r="I6" s="36" t="s">
        <v>26</v>
      </c>
      <c r="J6" s="36" t="s">
        <v>25</v>
      </c>
      <c r="K6" s="36" t="s">
        <v>24</v>
      </c>
      <c r="L6" s="36" t="s">
        <v>23</v>
      </c>
      <c r="M6" s="36" t="s">
        <v>48</v>
      </c>
      <c r="N6" s="39" t="s">
        <v>21</v>
      </c>
      <c r="O6" s="39" t="s">
        <v>20</v>
      </c>
      <c r="P6" s="39" t="s">
        <v>31</v>
      </c>
    </row>
    <row r="7" spans="2:32" x14ac:dyDescent="0.2">
      <c r="B7" s="40">
        <v>2017</v>
      </c>
      <c r="C7" s="41">
        <f t="shared" ref="C7" si="0">SUM(E7:P7)</f>
        <v>301092.60930000007</v>
      </c>
      <c r="D7" s="42"/>
      <c r="E7" s="43"/>
      <c r="F7" s="43"/>
      <c r="G7" s="43"/>
      <c r="H7" s="43"/>
      <c r="I7" s="43"/>
      <c r="J7" s="43"/>
      <c r="K7" s="43">
        <v>54515.852399999989</v>
      </c>
      <c r="L7" s="43">
        <v>19641.86670000001</v>
      </c>
      <c r="M7" s="43">
        <v>144085.18190000005</v>
      </c>
      <c r="N7" s="43">
        <v>8133.6772000000001</v>
      </c>
      <c r="O7" s="43">
        <v>5963.1</v>
      </c>
      <c r="P7" s="43">
        <v>68752.931100000002</v>
      </c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2:32" x14ac:dyDescent="0.2">
      <c r="B8" s="40">
        <v>2018</v>
      </c>
      <c r="C8" s="41">
        <f t="shared" ref="C8:C10" si="1">SUM(E8:P8)</f>
        <v>712031.50506190478</v>
      </c>
      <c r="D8" s="42">
        <f>SUM(E8:J8,K7:P7)</f>
        <v>398973.92413333332</v>
      </c>
      <c r="E8" s="43">
        <v>18789.989533333333</v>
      </c>
      <c r="F8" s="43">
        <v>52640.369499999986</v>
      </c>
      <c r="G8" s="43">
        <v>8172.5882999999994</v>
      </c>
      <c r="H8" s="43">
        <v>6031.3575000000001</v>
      </c>
      <c r="I8" s="43">
        <v>6236.13</v>
      </c>
      <c r="J8" s="43">
        <v>6010.88</v>
      </c>
      <c r="K8" s="43">
        <v>10137.027599999999</v>
      </c>
      <c r="L8" s="43">
        <v>570661.89852857147</v>
      </c>
      <c r="M8" s="43">
        <v>6839.5263000000004</v>
      </c>
      <c r="N8" s="43">
        <v>9162.3180000000011</v>
      </c>
      <c r="O8" s="43">
        <v>11386.319800000001</v>
      </c>
      <c r="P8" s="43">
        <v>5963.1</v>
      </c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2:32" x14ac:dyDescent="0.2">
      <c r="B9" s="40">
        <v>2019</v>
      </c>
      <c r="C9" s="41">
        <f t="shared" si="1"/>
        <v>505379.27243333345</v>
      </c>
      <c r="D9" s="42">
        <f>SUM(E9:J9,K8:P8)</f>
        <v>1002824.636061905</v>
      </c>
      <c r="E9" s="43">
        <v>13358.0926</v>
      </c>
      <c r="F9" s="43">
        <v>7973.9588999999996</v>
      </c>
      <c r="G9" s="43">
        <v>200412.70143333357</v>
      </c>
      <c r="H9" s="43">
        <v>146596.24389999994</v>
      </c>
      <c r="I9" s="43">
        <v>14370.349</v>
      </c>
      <c r="J9" s="43">
        <v>5963.1</v>
      </c>
      <c r="K9" s="43">
        <v>5963.1</v>
      </c>
      <c r="L9" s="43">
        <v>28544.150000000005</v>
      </c>
      <c r="M9" s="43">
        <v>57609.5</v>
      </c>
      <c r="N9" s="43">
        <v>6890.0320000000002</v>
      </c>
      <c r="O9" s="43">
        <v>9797.7999999999993</v>
      </c>
      <c r="P9" s="43">
        <v>7900.2446</v>
      </c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0" spans="2:32" x14ac:dyDescent="0.2">
      <c r="B10" s="40">
        <v>2020</v>
      </c>
      <c r="C10" s="41">
        <f t="shared" si="1"/>
        <v>52797.868600000009</v>
      </c>
      <c r="D10" s="42">
        <f>SUM(E10:J10,K9:P9)</f>
        <v>169502.69520000002</v>
      </c>
      <c r="E10" s="43">
        <v>6784.9160000000002</v>
      </c>
      <c r="F10" s="43">
        <v>17325.890100000004</v>
      </c>
      <c r="G10" s="43">
        <v>5963.1</v>
      </c>
      <c r="H10" s="43">
        <v>6372.6450000000013</v>
      </c>
      <c r="I10" s="43">
        <v>9394.3935000000001</v>
      </c>
      <c r="J10" s="43">
        <v>6956.924</v>
      </c>
      <c r="K10" s="43"/>
      <c r="L10" s="43"/>
      <c r="M10" s="43"/>
      <c r="N10" s="43"/>
      <c r="O10" s="43"/>
      <c r="P10" s="43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2:32" x14ac:dyDescent="0.2">
      <c r="B11" s="40">
        <v>2021</v>
      </c>
      <c r="C11" s="41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2:32" x14ac:dyDescent="0.2">
      <c r="B12" s="36" t="s">
        <v>47</v>
      </c>
      <c r="C12" s="41">
        <f>AVERAGE(C7:C10)</f>
        <v>392825.31384880951</v>
      </c>
      <c r="D12" s="42">
        <f>AVERAGE(D8:D10)</f>
        <v>523767.08513174608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2:32" x14ac:dyDescent="0.2">
      <c r="B13" s="45"/>
      <c r="C13" s="39"/>
      <c r="D13" s="4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spans="2:32" x14ac:dyDescent="0.2">
      <c r="B14" s="47"/>
      <c r="C14" s="44"/>
      <c r="D14" s="42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2:32" x14ac:dyDescent="0.2">
      <c r="C15" s="39"/>
      <c r="D15" s="42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2:32" x14ac:dyDescent="0.2">
      <c r="C16" s="39"/>
      <c r="D16" s="42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2:32" x14ac:dyDescent="0.2">
      <c r="C17" s="39"/>
      <c r="D17" s="42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2:32" x14ac:dyDescent="0.2">
      <c r="B18" s="35" t="s">
        <v>102</v>
      </c>
      <c r="C18" s="39"/>
      <c r="D18" s="42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T18" s="39"/>
      <c r="U18" s="39"/>
      <c r="V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pans="2:32" ht="25.5" x14ac:dyDescent="0.2">
      <c r="B19" s="36" t="s">
        <v>49</v>
      </c>
      <c r="C19" s="36" t="s">
        <v>100</v>
      </c>
      <c r="D19" s="185" t="s">
        <v>101</v>
      </c>
      <c r="E19" s="2" t="s">
        <v>30</v>
      </c>
      <c r="F19" s="2" t="s">
        <v>29</v>
      </c>
      <c r="G19" s="2" t="s">
        <v>28</v>
      </c>
      <c r="H19" s="2" t="s">
        <v>27</v>
      </c>
      <c r="I19" s="2" t="s">
        <v>26</v>
      </c>
      <c r="J19" s="2" t="s">
        <v>25</v>
      </c>
      <c r="K19" s="2" t="s">
        <v>24</v>
      </c>
      <c r="L19" s="2" t="s">
        <v>23</v>
      </c>
      <c r="M19" s="2" t="s">
        <v>48</v>
      </c>
      <c r="N19" s="184" t="s">
        <v>21</v>
      </c>
      <c r="O19" s="184" t="s">
        <v>20</v>
      </c>
      <c r="P19" s="184" t="s">
        <v>31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2:32" x14ac:dyDescent="0.2">
      <c r="B20" s="40">
        <v>2017</v>
      </c>
      <c r="C20" s="41">
        <f t="shared" ref="C20:C23" si="2">SUM(E20:P20)</f>
        <v>3728968.9638666669</v>
      </c>
      <c r="D20" s="42" t="s">
        <v>71</v>
      </c>
      <c r="E20" s="43">
        <v>310559.99516666675</v>
      </c>
      <c r="F20" s="43">
        <v>309675.19926666666</v>
      </c>
      <c r="G20" s="43">
        <v>301427.49346666661</v>
      </c>
      <c r="H20" s="43">
        <v>302191.99926666665</v>
      </c>
      <c r="I20" s="43">
        <v>300690.83066666668</v>
      </c>
      <c r="J20" s="43">
        <v>306955.01236666657</v>
      </c>
      <c r="K20" s="43">
        <v>304338.11806666671</v>
      </c>
      <c r="L20" s="43">
        <v>302255.42766666668</v>
      </c>
      <c r="M20" s="43">
        <v>303171.19196666684</v>
      </c>
      <c r="N20" s="43">
        <v>300678.19896666677</v>
      </c>
      <c r="O20" s="43">
        <v>329143.96913333342</v>
      </c>
      <c r="P20" s="43">
        <v>357881.5278666669</v>
      </c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2:32" x14ac:dyDescent="0.2">
      <c r="B21" s="40">
        <v>2018</v>
      </c>
      <c r="C21" s="41">
        <f t="shared" si="2"/>
        <v>4068563.6349602155</v>
      </c>
      <c r="D21" s="42">
        <f>SUM(E21:J21,K20:P20)</f>
        <v>3865203.7710333336</v>
      </c>
      <c r="E21" s="43">
        <v>388752.39866666659</v>
      </c>
      <c r="F21" s="43">
        <v>346281.50800000009</v>
      </c>
      <c r="G21" s="43">
        <v>317583.00813333341</v>
      </c>
      <c r="H21" s="43">
        <v>304151.02633333334</v>
      </c>
      <c r="I21" s="43">
        <v>303825.16966666665</v>
      </c>
      <c r="J21" s="43">
        <v>307142.22656666662</v>
      </c>
      <c r="K21" s="43">
        <v>317517.94806666666</v>
      </c>
      <c r="L21" s="43">
        <v>353465.02446021524</v>
      </c>
      <c r="M21" s="43">
        <v>304468.53566666669</v>
      </c>
      <c r="N21" s="43">
        <v>474590.73796666675</v>
      </c>
      <c r="O21" s="43">
        <v>318536.39286666666</v>
      </c>
      <c r="P21" s="43">
        <v>332249.65856666683</v>
      </c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spans="2:32" x14ac:dyDescent="0.2">
      <c r="B22" s="40">
        <v>2019</v>
      </c>
      <c r="C22" s="41">
        <f t="shared" si="2"/>
        <v>3805762.0259815855</v>
      </c>
      <c r="D22" s="42">
        <f>SUM(E22:J22,K21:P21)</f>
        <v>4054918.8190468187</v>
      </c>
      <c r="E22" s="43">
        <v>325601.60816666664</v>
      </c>
      <c r="F22" s="43">
        <v>327320.79480000015</v>
      </c>
      <c r="G22" s="43">
        <v>337921.97600882535</v>
      </c>
      <c r="H22" s="43">
        <v>353506.76781111129</v>
      </c>
      <c r="I22" s="43">
        <v>303633.45110000001</v>
      </c>
      <c r="J22" s="43">
        <v>306105.92356666666</v>
      </c>
      <c r="K22" s="43">
        <v>321307.74816666677</v>
      </c>
      <c r="L22" s="43">
        <v>298469.62455053761</v>
      </c>
      <c r="M22" s="43">
        <v>294695.62094444438</v>
      </c>
      <c r="N22" s="43">
        <v>308925.05806666659</v>
      </c>
      <c r="O22" s="43">
        <v>308320.67353333335</v>
      </c>
      <c r="P22" s="43">
        <v>319952.77926666662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spans="2:32" x14ac:dyDescent="0.2">
      <c r="B23" s="40">
        <v>2020</v>
      </c>
      <c r="C23" s="41">
        <f t="shared" si="2"/>
        <v>1958985.6635666678</v>
      </c>
      <c r="D23" s="42">
        <f>SUM(E23:J23,K22:P22)</f>
        <v>3810657.1680949833</v>
      </c>
      <c r="E23" s="43">
        <v>338329.94050000043</v>
      </c>
      <c r="F23" s="43">
        <v>337084.92989999999</v>
      </c>
      <c r="G23" s="43">
        <v>339146.99536666716</v>
      </c>
      <c r="H23" s="43">
        <v>320696.98756666668</v>
      </c>
      <c r="I23" s="43">
        <v>313962.96456666675</v>
      </c>
      <c r="J23" s="43">
        <v>309763.84566666675</v>
      </c>
      <c r="K23" s="43"/>
      <c r="L23" s="43"/>
      <c r="M23" s="43"/>
      <c r="N23" s="43"/>
      <c r="O23" s="43"/>
      <c r="P23" s="43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2:32" x14ac:dyDescent="0.2">
      <c r="B24" s="40">
        <v>2021</v>
      </c>
      <c r="C24" s="41"/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spans="2:32" x14ac:dyDescent="0.2">
      <c r="B25" s="36" t="s">
        <v>47</v>
      </c>
      <c r="C25" s="41">
        <f>AVERAGE(C20:C23)</f>
        <v>3390570.0720937839</v>
      </c>
      <c r="D25" s="44">
        <f>AVERAGE(D21:D23)</f>
        <v>3910259.9193917117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2:32" x14ac:dyDescent="0.2">
      <c r="B26" s="45"/>
      <c r="C26" s="39"/>
      <c r="D26" s="4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2:32" x14ac:dyDescent="0.2">
      <c r="C27"/>
      <c r="D27" s="46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2:32" x14ac:dyDescent="0.2">
      <c r="C28"/>
      <c r="D28" s="4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2:32" x14ac:dyDescent="0.2">
      <c r="C29"/>
      <c r="D29" s="48">
        <f>+D25+D12</f>
        <v>4434027.004523458</v>
      </c>
      <c r="E29" s="181" t="s">
        <v>103</v>
      </c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2:32" ht="13.5" thickBot="1" x14ac:dyDescent="0.25">
      <c r="C30"/>
      <c r="D30" s="48">
        <f>+Pwrex!B5</f>
        <v>2081393.6</v>
      </c>
      <c r="E30" s="35" t="s">
        <v>160</v>
      </c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2:32" ht="13.5" thickBot="1" x14ac:dyDescent="0.25">
      <c r="C31"/>
      <c r="D31" s="194">
        <f>+D30+D29</f>
        <v>6515420.6045234576</v>
      </c>
    </row>
  </sheetData>
  <pageMargins left="0.75" right="0.75" top="1" bottom="1" header="0.5" footer="0.5"/>
  <pageSetup scale="73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D10" sqref="D10"/>
    </sheetView>
  </sheetViews>
  <sheetFormatPr defaultColWidth="9.28515625" defaultRowHeight="15" x14ac:dyDescent="0.25"/>
  <cols>
    <col min="1" max="1" width="16.28515625" style="178" bestFit="1" customWidth="1"/>
    <col min="2" max="2" width="13.28515625" style="178" bestFit="1" customWidth="1"/>
    <col min="3" max="13" width="11.5703125" style="178" bestFit="1" customWidth="1"/>
    <col min="14" max="14" width="13.28515625" style="178" bestFit="1" customWidth="1"/>
    <col min="15" max="16384" width="9.28515625" style="178"/>
  </cols>
  <sheetData>
    <row r="1" spans="1:16" x14ac:dyDescent="0.25">
      <c r="A1" s="186" t="s">
        <v>158</v>
      </c>
      <c r="B1" s="187" t="s">
        <v>30</v>
      </c>
      <c r="C1" s="187" t="s">
        <v>29</v>
      </c>
      <c r="D1" s="187" t="s">
        <v>28</v>
      </c>
      <c r="E1" s="187" t="s">
        <v>27</v>
      </c>
      <c r="F1" s="187" t="s">
        <v>26</v>
      </c>
      <c r="G1" s="187" t="s">
        <v>25</v>
      </c>
      <c r="H1" s="187" t="s">
        <v>24</v>
      </c>
      <c r="I1" s="187" t="s">
        <v>23</v>
      </c>
      <c r="J1" s="187" t="s">
        <v>22</v>
      </c>
      <c r="K1" s="187" t="s">
        <v>21</v>
      </c>
      <c r="L1" s="187" t="s">
        <v>20</v>
      </c>
      <c r="M1" s="187" t="s">
        <v>31</v>
      </c>
      <c r="N1" s="186"/>
    </row>
    <row r="2" spans="1:16" x14ac:dyDescent="0.25">
      <c r="A2" s="186">
        <v>2019</v>
      </c>
      <c r="B2" s="188"/>
      <c r="C2" s="188"/>
      <c r="D2" s="188"/>
      <c r="E2" s="188">
        <v>183409.6</v>
      </c>
      <c r="F2" s="188">
        <v>183409.6</v>
      </c>
      <c r="G2" s="188">
        <v>173316</v>
      </c>
      <c r="H2" s="188">
        <v>173316</v>
      </c>
      <c r="I2" s="188">
        <v>173316</v>
      </c>
      <c r="J2" s="188">
        <v>173316</v>
      </c>
      <c r="K2" s="188">
        <v>173316</v>
      </c>
      <c r="L2" s="188">
        <v>173316</v>
      </c>
      <c r="M2" s="188">
        <v>173316</v>
      </c>
      <c r="N2" s="188">
        <f>SUM(B2:M2)</f>
        <v>1580031.2</v>
      </c>
      <c r="O2" s="180"/>
      <c r="P2" s="180"/>
    </row>
    <row r="3" spans="1:16" x14ac:dyDescent="0.25">
      <c r="A3" s="186">
        <v>2020</v>
      </c>
      <c r="B3" s="188">
        <v>173316</v>
      </c>
      <c r="C3" s="188">
        <v>173316</v>
      </c>
      <c r="D3" s="188">
        <v>173316</v>
      </c>
      <c r="E3" s="188">
        <v>173316</v>
      </c>
      <c r="F3" s="188">
        <v>173316</v>
      </c>
      <c r="G3" s="188">
        <v>174917.6</v>
      </c>
      <c r="H3" s="188">
        <v>174917.6</v>
      </c>
      <c r="I3" s="188">
        <v>174917.6</v>
      </c>
      <c r="J3" s="188"/>
      <c r="K3" s="188"/>
      <c r="L3" s="188"/>
      <c r="M3" s="188"/>
      <c r="N3" s="188">
        <f>SUM(B3:M3)</f>
        <v>1391332.8</v>
      </c>
      <c r="O3" s="180"/>
      <c r="P3" s="180"/>
    </row>
    <row r="4" spans="1:16" x14ac:dyDescent="0.25">
      <c r="A4" s="186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0"/>
      <c r="P4" s="180"/>
    </row>
    <row r="5" spans="1:16" x14ac:dyDescent="0.25">
      <c r="A5" s="186" t="s">
        <v>159</v>
      </c>
      <c r="B5" s="188">
        <f>SUM(H2:M2,B3:G3)</f>
        <v>2081393.6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0"/>
      <c r="P5" s="180"/>
    </row>
    <row r="6" spans="1:16" x14ac:dyDescent="0.25"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80"/>
      <c r="P6" s="180"/>
    </row>
    <row r="7" spans="1:16" x14ac:dyDescent="0.25"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80"/>
      <c r="P7" s="180"/>
    </row>
    <row r="8" spans="1:16" x14ac:dyDescent="0.25"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</row>
    <row r="9" spans="1:16" x14ac:dyDescent="0.25"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</row>
    <row r="10" spans="1:16" x14ac:dyDescent="0.25"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</row>
    <row r="11" spans="1:16" x14ac:dyDescent="0.25"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</row>
    <row r="12" spans="1:16" x14ac:dyDescent="0.25"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</row>
    <row r="13" spans="1:16" x14ac:dyDescent="0.25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</row>
  </sheetData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5" zoomScaleNormal="85" workbookViewId="0">
      <pane xSplit="1" ySplit="2" topLeftCell="D3" activePane="bottomRight" state="frozen"/>
      <selection sqref="A1:XFD1048576"/>
      <selection pane="topRight" sqref="A1:XFD1048576"/>
      <selection pane="bottomLeft" sqref="A1:XFD1048576"/>
      <selection pane="bottomRight" activeCell="I10" sqref="I10"/>
    </sheetView>
  </sheetViews>
  <sheetFormatPr defaultColWidth="9.28515625" defaultRowHeight="15" x14ac:dyDescent="0.25"/>
  <cols>
    <col min="1" max="1" width="9.28515625" style="135"/>
    <col min="2" max="12" width="17.28515625" style="135" bestFit="1" customWidth="1"/>
    <col min="13" max="13" width="12.7109375" style="135" bestFit="1" customWidth="1"/>
    <col min="14" max="14" width="9.28515625" style="135"/>
    <col min="15" max="15" width="20.28515625" style="135" bestFit="1" customWidth="1"/>
    <col min="16" max="16384" width="9.28515625" style="135"/>
  </cols>
  <sheetData>
    <row r="1" spans="1:15" ht="18" x14ac:dyDescent="0.25">
      <c r="A1" s="133" t="s">
        <v>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x14ac:dyDescent="0.25">
      <c r="A2" s="136" t="s">
        <v>45</v>
      </c>
      <c r="B2" s="136" t="s">
        <v>44</v>
      </c>
      <c r="C2" s="136" t="s">
        <v>43</v>
      </c>
      <c r="D2" s="136" t="s">
        <v>42</v>
      </c>
      <c r="E2" s="136" t="s">
        <v>41</v>
      </c>
      <c r="F2" s="136" t="s">
        <v>40</v>
      </c>
      <c r="G2" s="136" t="s">
        <v>39</v>
      </c>
      <c r="H2" s="136" t="s">
        <v>38</v>
      </c>
      <c r="I2" s="136" t="s">
        <v>37</v>
      </c>
      <c r="J2" s="136" t="s">
        <v>36</v>
      </c>
      <c r="K2" s="136" t="s">
        <v>35</v>
      </c>
      <c r="L2" s="136" t="s">
        <v>34</v>
      </c>
      <c r="M2" s="137">
        <v>41998</v>
      </c>
      <c r="N2" s="134"/>
      <c r="O2" s="136" t="s">
        <v>33</v>
      </c>
    </row>
    <row r="3" spans="1:15" x14ac:dyDescent="0.25">
      <c r="A3" s="134" t="s">
        <v>31</v>
      </c>
      <c r="B3" s="138">
        <f>180*31*24</f>
        <v>133920</v>
      </c>
      <c r="C3" s="138">
        <f>280*31*24</f>
        <v>208320</v>
      </c>
      <c r="D3" s="138">
        <f t="shared" ref="D3:L4" si="0">380*31*24</f>
        <v>282720</v>
      </c>
      <c r="E3" s="138">
        <f t="shared" si="0"/>
        <v>282720</v>
      </c>
      <c r="F3" s="138">
        <f t="shared" si="0"/>
        <v>282720</v>
      </c>
      <c r="G3" s="138">
        <f t="shared" si="0"/>
        <v>282720</v>
      </c>
      <c r="H3" s="138">
        <f t="shared" si="0"/>
        <v>282720</v>
      </c>
      <c r="I3" s="138">
        <f t="shared" si="0"/>
        <v>282720</v>
      </c>
      <c r="J3" s="138">
        <f t="shared" si="0"/>
        <v>282720</v>
      </c>
      <c r="K3" s="138">
        <f t="shared" si="0"/>
        <v>282720</v>
      </c>
      <c r="L3" s="138">
        <f t="shared" si="0"/>
        <v>282720</v>
      </c>
      <c r="M3" s="138">
        <f>300*31*24</f>
        <v>223200</v>
      </c>
      <c r="N3" s="138"/>
      <c r="O3" s="134"/>
    </row>
    <row r="4" spans="1:15" x14ac:dyDescent="0.25">
      <c r="A4" s="134" t="s">
        <v>30</v>
      </c>
      <c r="B4" s="138">
        <f>180*31*24</f>
        <v>133920</v>
      </c>
      <c r="C4" s="138">
        <f>280*31*24</f>
        <v>208320</v>
      </c>
      <c r="D4" s="138">
        <f t="shared" si="0"/>
        <v>282720</v>
      </c>
      <c r="E4" s="138">
        <f t="shared" si="0"/>
        <v>282720</v>
      </c>
      <c r="F4" s="138">
        <f t="shared" si="0"/>
        <v>282720</v>
      </c>
      <c r="G4" s="138">
        <f t="shared" si="0"/>
        <v>282720</v>
      </c>
      <c r="H4" s="138">
        <f t="shared" si="0"/>
        <v>282720</v>
      </c>
      <c r="I4" s="138">
        <f t="shared" si="0"/>
        <v>282720</v>
      </c>
      <c r="J4" s="138">
        <f t="shared" si="0"/>
        <v>282720</v>
      </c>
      <c r="K4" s="138">
        <f t="shared" si="0"/>
        <v>282720</v>
      </c>
      <c r="L4" s="138">
        <f>300*31*24</f>
        <v>223200</v>
      </c>
      <c r="M4" s="138"/>
      <c r="N4" s="138"/>
      <c r="O4" s="134"/>
    </row>
    <row r="5" spans="1:15" x14ac:dyDescent="0.25">
      <c r="A5" s="134" t="s">
        <v>29</v>
      </c>
      <c r="B5" s="138">
        <f>180*28*24</f>
        <v>120960</v>
      </c>
      <c r="C5" s="138">
        <f>280*29*24</f>
        <v>194880</v>
      </c>
      <c r="D5" s="138">
        <f>380*28*24</f>
        <v>255360</v>
      </c>
      <c r="E5" s="138">
        <f>380*28*24</f>
        <v>255360</v>
      </c>
      <c r="F5" s="138">
        <f>380*28*24</f>
        <v>255360</v>
      </c>
      <c r="G5" s="138">
        <f>380*29*24</f>
        <v>264480</v>
      </c>
      <c r="H5" s="138">
        <f>380*28*24</f>
        <v>255360</v>
      </c>
      <c r="I5" s="138">
        <f>380*28*24</f>
        <v>255360</v>
      </c>
      <c r="J5" s="138">
        <f>380*28*24</f>
        <v>255360</v>
      </c>
      <c r="K5" s="138">
        <f>380*29*24</f>
        <v>264480</v>
      </c>
      <c r="L5" s="138">
        <f>300*28*24</f>
        <v>201600</v>
      </c>
      <c r="M5" s="138"/>
      <c r="N5" s="138"/>
      <c r="O5" s="134"/>
    </row>
    <row r="6" spans="1:15" x14ac:dyDescent="0.25">
      <c r="A6" s="134" t="s">
        <v>28</v>
      </c>
      <c r="B6" s="138">
        <f>180*31*24</f>
        <v>133920</v>
      </c>
      <c r="C6" s="138">
        <f>280*31*24</f>
        <v>208320</v>
      </c>
      <c r="D6" s="138">
        <f t="shared" ref="D6:K6" si="1">380*31*24</f>
        <v>282720</v>
      </c>
      <c r="E6" s="138">
        <f t="shared" si="1"/>
        <v>282720</v>
      </c>
      <c r="F6" s="138">
        <f t="shared" si="1"/>
        <v>282720</v>
      </c>
      <c r="G6" s="138">
        <f t="shared" si="1"/>
        <v>282720</v>
      </c>
      <c r="H6" s="138">
        <f t="shared" si="1"/>
        <v>282720</v>
      </c>
      <c r="I6" s="138">
        <f t="shared" si="1"/>
        <v>282720</v>
      </c>
      <c r="J6" s="138">
        <f t="shared" si="1"/>
        <v>282720</v>
      </c>
      <c r="K6" s="138">
        <f t="shared" si="1"/>
        <v>282720</v>
      </c>
      <c r="L6" s="138">
        <f>300*31*24</f>
        <v>223200</v>
      </c>
      <c r="M6" s="138"/>
      <c r="N6" s="138"/>
      <c r="O6" s="134"/>
    </row>
    <row r="7" spans="1:15" x14ac:dyDescent="0.25">
      <c r="A7" s="134" t="s">
        <v>27</v>
      </c>
      <c r="B7" s="138">
        <f>180*30*24</f>
        <v>129600</v>
      </c>
      <c r="C7" s="138">
        <f>280*30*24</f>
        <v>201600</v>
      </c>
      <c r="D7" s="138">
        <f t="shared" ref="D7:K7" si="2">380*30*24</f>
        <v>273600</v>
      </c>
      <c r="E7" s="138">
        <f t="shared" si="2"/>
        <v>273600</v>
      </c>
      <c r="F7" s="138">
        <f t="shared" si="2"/>
        <v>273600</v>
      </c>
      <c r="G7" s="138">
        <f t="shared" si="2"/>
        <v>273600</v>
      </c>
      <c r="H7" s="138">
        <f t="shared" si="2"/>
        <v>273600</v>
      </c>
      <c r="I7" s="138">
        <f t="shared" si="2"/>
        <v>273600</v>
      </c>
      <c r="J7" s="138">
        <f t="shared" si="2"/>
        <v>273600</v>
      </c>
      <c r="K7" s="138">
        <f t="shared" si="2"/>
        <v>273600</v>
      </c>
      <c r="L7" s="138">
        <f>300*30*24</f>
        <v>216000</v>
      </c>
      <c r="M7" s="138"/>
      <c r="N7" s="138"/>
      <c r="O7" s="134"/>
    </row>
    <row r="8" spans="1:15" x14ac:dyDescent="0.25">
      <c r="A8" s="134" t="s">
        <v>26</v>
      </c>
      <c r="B8" s="138">
        <f>180*31*24</f>
        <v>133920</v>
      </c>
      <c r="C8" s="138">
        <f>280*31*24</f>
        <v>208320</v>
      </c>
      <c r="D8" s="138">
        <f t="shared" ref="D8:K8" si="3">380*31*24</f>
        <v>282720</v>
      </c>
      <c r="E8" s="138">
        <f t="shared" si="3"/>
        <v>282720</v>
      </c>
      <c r="F8" s="138">
        <f t="shared" si="3"/>
        <v>282720</v>
      </c>
      <c r="G8" s="138">
        <f t="shared" si="3"/>
        <v>282720</v>
      </c>
      <c r="H8" s="138">
        <f t="shared" si="3"/>
        <v>282720</v>
      </c>
      <c r="I8" s="138">
        <f t="shared" si="3"/>
        <v>282720</v>
      </c>
      <c r="J8" s="138">
        <f t="shared" si="3"/>
        <v>282720</v>
      </c>
      <c r="K8" s="138">
        <f t="shared" si="3"/>
        <v>282720</v>
      </c>
      <c r="L8" s="138">
        <f>300*31*24</f>
        <v>223200</v>
      </c>
      <c r="M8" s="138"/>
      <c r="N8" s="138"/>
      <c r="O8" s="134"/>
    </row>
    <row r="9" spans="1:15" x14ac:dyDescent="0.25">
      <c r="A9" s="134" t="s">
        <v>25</v>
      </c>
      <c r="B9" s="138">
        <f>180*30*24</f>
        <v>129600</v>
      </c>
      <c r="C9" s="138">
        <f>280*30*24</f>
        <v>201600</v>
      </c>
      <c r="D9" s="138">
        <f t="shared" ref="D9:K9" si="4">380*30*24</f>
        <v>273600</v>
      </c>
      <c r="E9" s="138">
        <f t="shared" si="4"/>
        <v>273600</v>
      </c>
      <c r="F9" s="138">
        <f t="shared" si="4"/>
        <v>273600</v>
      </c>
      <c r="G9" s="138">
        <f t="shared" si="4"/>
        <v>273600</v>
      </c>
      <c r="H9" s="138">
        <f t="shared" si="4"/>
        <v>273600</v>
      </c>
      <c r="I9" s="138">
        <f t="shared" si="4"/>
        <v>273600</v>
      </c>
      <c r="J9" s="138">
        <f t="shared" si="4"/>
        <v>273600</v>
      </c>
      <c r="K9" s="138">
        <f t="shared" si="4"/>
        <v>273600</v>
      </c>
      <c r="L9" s="138">
        <f>300*30*24</f>
        <v>216000</v>
      </c>
      <c r="M9" s="138"/>
      <c r="N9" s="138"/>
      <c r="O9" s="134"/>
    </row>
    <row r="10" spans="1:15" x14ac:dyDescent="0.25">
      <c r="A10" s="134" t="s">
        <v>24</v>
      </c>
      <c r="B10" s="138">
        <f>180*31*24</f>
        <v>133920</v>
      </c>
      <c r="C10" s="138">
        <f>280*31*24</f>
        <v>208320</v>
      </c>
      <c r="D10" s="138">
        <f t="shared" ref="D10:K11" si="5">380*31*24</f>
        <v>282720</v>
      </c>
      <c r="E10" s="138">
        <f t="shared" si="5"/>
        <v>282720</v>
      </c>
      <c r="F10" s="138">
        <f t="shared" si="5"/>
        <v>282720</v>
      </c>
      <c r="G10" s="138">
        <f t="shared" si="5"/>
        <v>282720</v>
      </c>
      <c r="H10" s="138">
        <f t="shared" si="5"/>
        <v>282720</v>
      </c>
      <c r="I10" s="138">
        <f t="shared" si="5"/>
        <v>282720</v>
      </c>
      <c r="J10" s="138">
        <f t="shared" si="5"/>
        <v>282720</v>
      </c>
      <c r="K10" s="138">
        <f t="shared" si="5"/>
        <v>282720</v>
      </c>
      <c r="L10" s="138">
        <f>300*31*24</f>
        <v>223200</v>
      </c>
      <c r="M10" s="138"/>
      <c r="N10" s="138"/>
      <c r="O10" s="134"/>
    </row>
    <row r="11" spans="1:15" x14ac:dyDescent="0.25">
      <c r="A11" s="134" t="s">
        <v>23</v>
      </c>
      <c r="B11" s="138">
        <f>180*31*24</f>
        <v>133920</v>
      </c>
      <c r="C11" s="138">
        <f>280*31*24</f>
        <v>208320</v>
      </c>
      <c r="D11" s="138">
        <f t="shared" si="5"/>
        <v>282720</v>
      </c>
      <c r="E11" s="138">
        <f t="shared" si="5"/>
        <v>282720</v>
      </c>
      <c r="F11" s="138">
        <f t="shared" si="5"/>
        <v>282720</v>
      </c>
      <c r="G11" s="138">
        <f t="shared" si="5"/>
        <v>282720</v>
      </c>
      <c r="H11" s="138">
        <f t="shared" si="5"/>
        <v>282720</v>
      </c>
      <c r="I11" s="138">
        <f t="shared" si="5"/>
        <v>282720</v>
      </c>
      <c r="J11" s="138">
        <f t="shared" si="5"/>
        <v>282720</v>
      </c>
      <c r="K11" s="138">
        <f t="shared" si="5"/>
        <v>282720</v>
      </c>
      <c r="L11" s="138">
        <f>300*31*24</f>
        <v>223200</v>
      </c>
      <c r="M11" s="138"/>
      <c r="N11" s="138"/>
      <c r="O11" s="134"/>
    </row>
    <row r="12" spans="1:15" x14ac:dyDescent="0.25">
      <c r="A12" s="134" t="s">
        <v>22</v>
      </c>
      <c r="B12" s="138">
        <f>180*30*24</f>
        <v>129600</v>
      </c>
      <c r="C12" s="138">
        <f>280*30*24</f>
        <v>201600</v>
      </c>
      <c r="D12" s="138">
        <f t="shared" ref="D12:K12" si="6">380*30*24</f>
        <v>273600</v>
      </c>
      <c r="E12" s="138">
        <f t="shared" si="6"/>
        <v>273600</v>
      </c>
      <c r="F12" s="138">
        <f t="shared" si="6"/>
        <v>273600</v>
      </c>
      <c r="G12" s="138">
        <f t="shared" si="6"/>
        <v>273600</v>
      </c>
      <c r="H12" s="138">
        <f t="shared" si="6"/>
        <v>273600</v>
      </c>
      <c r="I12" s="138">
        <f t="shared" si="6"/>
        <v>273600</v>
      </c>
      <c r="J12" s="138">
        <f t="shared" si="6"/>
        <v>273600</v>
      </c>
      <c r="K12" s="138">
        <f t="shared" si="6"/>
        <v>273600</v>
      </c>
      <c r="L12" s="138">
        <f>300*30*24</f>
        <v>216000</v>
      </c>
      <c r="M12" s="138"/>
      <c r="N12" s="138"/>
      <c r="O12" s="134"/>
    </row>
    <row r="13" spans="1:15" x14ac:dyDescent="0.25">
      <c r="A13" s="134" t="s">
        <v>21</v>
      </c>
      <c r="B13" s="138">
        <f>180*31*24</f>
        <v>133920</v>
      </c>
      <c r="C13" s="138">
        <f>280*31*24</f>
        <v>208320</v>
      </c>
      <c r="D13" s="138">
        <f t="shared" ref="D13:K13" si="7">380*31*24</f>
        <v>282720</v>
      </c>
      <c r="E13" s="138">
        <f t="shared" si="7"/>
        <v>282720</v>
      </c>
      <c r="F13" s="138">
        <f t="shared" si="7"/>
        <v>282720</v>
      </c>
      <c r="G13" s="138">
        <f t="shared" si="7"/>
        <v>282720</v>
      </c>
      <c r="H13" s="138">
        <f t="shared" si="7"/>
        <v>282720</v>
      </c>
      <c r="I13" s="138">
        <f t="shared" si="7"/>
        <v>282720</v>
      </c>
      <c r="J13" s="138">
        <f t="shared" si="7"/>
        <v>282720</v>
      </c>
      <c r="K13" s="138">
        <f t="shared" si="7"/>
        <v>282720</v>
      </c>
      <c r="L13" s="138">
        <f>300*31*24</f>
        <v>223200</v>
      </c>
      <c r="M13" s="138"/>
      <c r="N13" s="138"/>
      <c r="O13" s="134"/>
    </row>
    <row r="14" spans="1:15" x14ac:dyDescent="0.25">
      <c r="A14" s="134" t="s">
        <v>20</v>
      </c>
      <c r="B14" s="138">
        <f>180*30*24</f>
        <v>129600</v>
      </c>
      <c r="C14" s="138">
        <f>280*30*24</f>
        <v>201600</v>
      </c>
      <c r="D14" s="138">
        <f t="shared" ref="D14:K14" si="8">380*30*24</f>
        <v>273600</v>
      </c>
      <c r="E14" s="138">
        <f t="shared" si="8"/>
        <v>273600</v>
      </c>
      <c r="F14" s="138">
        <f t="shared" si="8"/>
        <v>273600</v>
      </c>
      <c r="G14" s="138">
        <f t="shared" si="8"/>
        <v>273600</v>
      </c>
      <c r="H14" s="138">
        <f t="shared" si="8"/>
        <v>273600</v>
      </c>
      <c r="I14" s="138">
        <f t="shared" si="8"/>
        <v>273600</v>
      </c>
      <c r="J14" s="138">
        <f t="shared" si="8"/>
        <v>273600</v>
      </c>
      <c r="K14" s="138">
        <f t="shared" si="8"/>
        <v>273600</v>
      </c>
      <c r="L14" s="138">
        <f>300*30*24</f>
        <v>216000</v>
      </c>
      <c r="M14" s="138"/>
      <c r="N14" s="138"/>
      <c r="O14" s="134"/>
    </row>
    <row r="15" spans="1:15" ht="15.75" thickBot="1" x14ac:dyDescent="0.3">
      <c r="A15" s="134"/>
      <c r="B15" s="139">
        <f t="shared" ref="B15:M15" si="9">SUM(B3:B14)</f>
        <v>1576800</v>
      </c>
      <c r="C15" s="139">
        <f t="shared" si="9"/>
        <v>2459520</v>
      </c>
      <c r="D15" s="139">
        <f t="shared" si="9"/>
        <v>3328800</v>
      </c>
      <c r="E15" s="139">
        <f t="shared" si="9"/>
        <v>3328800</v>
      </c>
      <c r="F15" s="139">
        <f t="shared" si="9"/>
        <v>3328800</v>
      </c>
      <c r="G15" s="139">
        <f t="shared" si="9"/>
        <v>3337920</v>
      </c>
      <c r="H15" s="139">
        <f t="shared" si="9"/>
        <v>3328800</v>
      </c>
      <c r="I15" s="139">
        <f t="shared" si="9"/>
        <v>3328800</v>
      </c>
      <c r="J15" s="139">
        <f t="shared" si="9"/>
        <v>3328800</v>
      </c>
      <c r="K15" s="139">
        <f t="shared" si="9"/>
        <v>3337920</v>
      </c>
      <c r="L15" s="139">
        <f t="shared" si="9"/>
        <v>2687520</v>
      </c>
      <c r="M15" s="139">
        <f t="shared" si="9"/>
        <v>223200</v>
      </c>
      <c r="N15" s="134"/>
      <c r="O15" s="140">
        <f>SUM(B15:M15)</f>
        <v>33595680</v>
      </c>
    </row>
    <row r="16" spans="1:15" ht="15.75" thickTop="1" x14ac:dyDescent="0.25">
      <c r="A16" s="134" t="s">
        <v>32</v>
      </c>
      <c r="B16" s="138">
        <f>+B15/(365*24)</f>
        <v>180</v>
      </c>
      <c r="C16" s="138">
        <f>+C15/(366*24)</f>
        <v>280</v>
      </c>
      <c r="D16" s="138">
        <f>+D15/(365*24)</f>
        <v>380</v>
      </c>
      <c r="E16" s="138">
        <f>+E15/(365*24)</f>
        <v>380</v>
      </c>
      <c r="F16" s="138">
        <f>+F15/(365*24)</f>
        <v>380</v>
      </c>
      <c r="G16" s="138">
        <f>+G15/(366*24)</f>
        <v>380</v>
      </c>
      <c r="H16" s="138">
        <f>+H15/(365*24)</f>
        <v>380</v>
      </c>
      <c r="I16" s="138">
        <f>+I15/(365*24)</f>
        <v>380</v>
      </c>
      <c r="J16" s="138">
        <f>+J15/(365*24)</f>
        <v>380</v>
      </c>
      <c r="K16" s="138">
        <f>+K15/(366*24)</f>
        <v>380</v>
      </c>
      <c r="L16" s="138">
        <f>+L15/(365*24)</f>
        <v>306.79452054794518</v>
      </c>
      <c r="M16" s="134"/>
      <c r="N16" s="134"/>
      <c r="O16" s="134"/>
    </row>
    <row r="17" spans="1:15" x14ac:dyDescent="0.2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1:15" x14ac:dyDescent="0.25">
      <c r="A18" s="136" t="s">
        <v>140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1:15" x14ac:dyDescent="0.25">
      <c r="A19" s="134" t="s">
        <v>31</v>
      </c>
      <c r="B19" s="141">
        <f t="shared" ref="B19:G30" si="10">+B3*1.49</f>
        <v>199540.8</v>
      </c>
      <c r="C19" s="141">
        <f t="shared" si="10"/>
        <v>310396.79999999999</v>
      </c>
      <c r="D19" s="141">
        <f t="shared" si="10"/>
        <v>421252.8</v>
      </c>
      <c r="E19" s="141">
        <f t="shared" si="10"/>
        <v>421252.8</v>
      </c>
      <c r="F19" s="141">
        <f t="shared" si="10"/>
        <v>421252.8</v>
      </c>
      <c r="G19" s="141">
        <f t="shared" si="10"/>
        <v>421252.8</v>
      </c>
      <c r="H19" s="141">
        <f t="shared" ref="H19:L30" si="11">+H3*1.23</f>
        <v>347745.6</v>
      </c>
      <c r="I19" s="141">
        <f t="shared" si="11"/>
        <v>347745.6</v>
      </c>
      <c r="J19" s="141">
        <f t="shared" si="11"/>
        <v>347745.6</v>
      </c>
      <c r="K19" s="141">
        <f t="shared" si="11"/>
        <v>347745.6</v>
      </c>
      <c r="L19" s="141">
        <f t="shared" si="11"/>
        <v>347745.6</v>
      </c>
      <c r="M19" s="141">
        <f>+M3*1.23</f>
        <v>274536</v>
      </c>
    </row>
    <row r="20" spans="1:15" x14ac:dyDescent="0.25">
      <c r="A20" s="134" t="s">
        <v>30</v>
      </c>
      <c r="B20" s="141">
        <f t="shared" si="10"/>
        <v>199540.8</v>
      </c>
      <c r="C20" s="141">
        <f t="shared" si="10"/>
        <v>310396.79999999999</v>
      </c>
      <c r="D20" s="141">
        <f t="shared" si="10"/>
        <v>421252.8</v>
      </c>
      <c r="E20" s="141">
        <f t="shared" si="10"/>
        <v>421252.8</v>
      </c>
      <c r="F20" s="141">
        <f t="shared" si="10"/>
        <v>421252.8</v>
      </c>
      <c r="G20" s="141">
        <f t="shared" si="10"/>
        <v>421252.8</v>
      </c>
      <c r="H20" s="141">
        <f t="shared" si="11"/>
        <v>347745.6</v>
      </c>
      <c r="I20" s="141">
        <f t="shared" si="11"/>
        <v>347745.6</v>
      </c>
      <c r="J20" s="141">
        <f t="shared" si="11"/>
        <v>347745.6</v>
      </c>
      <c r="K20" s="141">
        <f t="shared" si="11"/>
        <v>347745.6</v>
      </c>
      <c r="L20" s="141">
        <f t="shared" si="11"/>
        <v>274536</v>
      </c>
      <c r="M20" s="141"/>
    </row>
    <row r="21" spans="1:15" x14ac:dyDescent="0.25">
      <c r="A21" s="134" t="s">
        <v>29</v>
      </c>
      <c r="B21" s="141">
        <f t="shared" si="10"/>
        <v>180230.39999999999</v>
      </c>
      <c r="C21" s="141">
        <f t="shared" si="10"/>
        <v>290371.20000000001</v>
      </c>
      <c r="D21" s="141">
        <f t="shared" si="10"/>
        <v>380486.40000000002</v>
      </c>
      <c r="E21" s="141">
        <f t="shared" si="10"/>
        <v>380486.40000000002</v>
      </c>
      <c r="F21" s="141">
        <f t="shared" si="10"/>
        <v>380486.40000000002</v>
      </c>
      <c r="G21" s="141">
        <f t="shared" si="10"/>
        <v>394075.2</v>
      </c>
      <c r="H21" s="141">
        <f t="shared" si="11"/>
        <v>314092.79999999999</v>
      </c>
      <c r="I21" s="141">
        <f t="shared" si="11"/>
        <v>314092.79999999999</v>
      </c>
      <c r="J21" s="141">
        <f t="shared" si="11"/>
        <v>314092.79999999999</v>
      </c>
      <c r="K21" s="141">
        <f t="shared" si="11"/>
        <v>325310.40000000002</v>
      </c>
      <c r="L21" s="141">
        <f t="shared" si="11"/>
        <v>247968</v>
      </c>
      <c r="M21" s="141"/>
    </row>
    <row r="22" spans="1:15" x14ac:dyDescent="0.25">
      <c r="A22" s="134" t="s">
        <v>28</v>
      </c>
      <c r="B22" s="141">
        <f t="shared" si="10"/>
        <v>199540.8</v>
      </c>
      <c r="C22" s="141">
        <f t="shared" si="10"/>
        <v>310396.79999999999</v>
      </c>
      <c r="D22" s="141">
        <f t="shared" si="10"/>
        <v>421252.8</v>
      </c>
      <c r="E22" s="141">
        <f t="shared" si="10"/>
        <v>421252.8</v>
      </c>
      <c r="F22" s="141">
        <f t="shared" si="10"/>
        <v>421252.8</v>
      </c>
      <c r="G22" s="141">
        <f t="shared" si="10"/>
        <v>421252.8</v>
      </c>
      <c r="H22" s="141">
        <f t="shared" si="11"/>
        <v>347745.6</v>
      </c>
      <c r="I22" s="141">
        <f t="shared" si="11"/>
        <v>347745.6</v>
      </c>
      <c r="J22" s="141">
        <f t="shared" si="11"/>
        <v>347745.6</v>
      </c>
      <c r="K22" s="141">
        <f t="shared" si="11"/>
        <v>347745.6</v>
      </c>
      <c r="L22" s="141">
        <f t="shared" si="11"/>
        <v>274536</v>
      </c>
      <c r="M22" s="141"/>
    </row>
    <row r="23" spans="1:15" x14ac:dyDescent="0.25">
      <c r="A23" s="134" t="s">
        <v>27</v>
      </c>
      <c r="B23" s="141">
        <f t="shared" si="10"/>
        <v>193104</v>
      </c>
      <c r="C23" s="141">
        <f t="shared" si="10"/>
        <v>300384</v>
      </c>
      <c r="D23" s="141">
        <f t="shared" si="10"/>
        <v>407664</v>
      </c>
      <c r="E23" s="141">
        <f t="shared" si="10"/>
        <v>407664</v>
      </c>
      <c r="F23" s="141">
        <f t="shared" si="10"/>
        <v>407664</v>
      </c>
      <c r="G23" s="141">
        <f t="shared" ref="G23" si="12">+G7*1.49</f>
        <v>407664</v>
      </c>
      <c r="H23" s="141">
        <f t="shared" si="11"/>
        <v>336528</v>
      </c>
      <c r="I23" s="141">
        <f t="shared" si="11"/>
        <v>336528</v>
      </c>
      <c r="J23" s="141">
        <f t="shared" si="11"/>
        <v>336528</v>
      </c>
      <c r="K23" s="141">
        <f t="shared" si="11"/>
        <v>336528</v>
      </c>
      <c r="L23" s="141">
        <f t="shared" si="11"/>
        <v>265680</v>
      </c>
      <c r="M23" s="141"/>
    </row>
    <row r="24" spans="1:15" x14ac:dyDescent="0.25">
      <c r="A24" s="134" t="s">
        <v>26</v>
      </c>
      <c r="B24" s="141">
        <f t="shared" si="10"/>
        <v>199540.8</v>
      </c>
      <c r="C24" s="141">
        <f t="shared" si="10"/>
        <v>310396.79999999999</v>
      </c>
      <c r="D24" s="141">
        <f t="shared" si="10"/>
        <v>421252.8</v>
      </c>
      <c r="E24" s="141">
        <f t="shared" si="10"/>
        <v>421252.8</v>
      </c>
      <c r="F24" s="141">
        <f t="shared" si="10"/>
        <v>421252.8</v>
      </c>
      <c r="G24" s="141">
        <f t="shared" ref="G24" si="13">+G8*1.49</f>
        <v>421252.8</v>
      </c>
      <c r="H24" s="141">
        <f t="shared" si="11"/>
        <v>347745.6</v>
      </c>
      <c r="I24" s="141">
        <f t="shared" si="11"/>
        <v>347745.6</v>
      </c>
      <c r="J24" s="141">
        <f t="shared" si="11"/>
        <v>347745.6</v>
      </c>
      <c r="K24" s="141">
        <f t="shared" si="11"/>
        <v>347745.6</v>
      </c>
      <c r="L24" s="141">
        <f t="shared" si="11"/>
        <v>274536</v>
      </c>
      <c r="M24" s="141"/>
    </row>
    <row r="25" spans="1:15" x14ac:dyDescent="0.25">
      <c r="A25" s="134" t="s">
        <v>25</v>
      </c>
      <c r="B25" s="141">
        <f t="shared" si="10"/>
        <v>193104</v>
      </c>
      <c r="C25" s="141">
        <f t="shared" si="10"/>
        <v>300384</v>
      </c>
      <c r="D25" s="141">
        <f t="shared" si="10"/>
        <v>407664</v>
      </c>
      <c r="E25" s="141">
        <f t="shared" si="10"/>
        <v>407664</v>
      </c>
      <c r="F25" s="141">
        <f t="shared" si="10"/>
        <v>407664</v>
      </c>
      <c r="G25" s="141">
        <f t="shared" ref="G25" si="14">+G9*1.49</f>
        <v>407664</v>
      </c>
      <c r="H25" s="141">
        <f t="shared" si="11"/>
        <v>336528</v>
      </c>
      <c r="I25" s="141">
        <f t="shared" si="11"/>
        <v>336528</v>
      </c>
      <c r="J25" s="141">
        <f t="shared" si="11"/>
        <v>336528</v>
      </c>
      <c r="K25" s="141">
        <f t="shared" si="11"/>
        <v>336528</v>
      </c>
      <c r="L25" s="141">
        <f t="shared" si="11"/>
        <v>265680</v>
      </c>
      <c r="M25" s="141"/>
    </row>
    <row r="26" spans="1:15" x14ac:dyDescent="0.25">
      <c r="A26" s="134" t="s">
        <v>24</v>
      </c>
      <c r="B26" s="141">
        <f t="shared" si="10"/>
        <v>199540.8</v>
      </c>
      <c r="C26" s="141">
        <f t="shared" si="10"/>
        <v>310396.79999999999</v>
      </c>
      <c r="D26" s="141">
        <f t="shared" si="10"/>
        <v>421252.8</v>
      </c>
      <c r="E26" s="141">
        <f t="shared" si="10"/>
        <v>421252.8</v>
      </c>
      <c r="F26" s="141">
        <f t="shared" si="10"/>
        <v>421252.8</v>
      </c>
      <c r="G26" s="141">
        <f t="shared" ref="G26" si="15">+G10*1.49</f>
        <v>421252.8</v>
      </c>
      <c r="H26" s="141">
        <f t="shared" si="11"/>
        <v>347745.6</v>
      </c>
      <c r="I26" s="141">
        <f t="shared" si="11"/>
        <v>347745.6</v>
      </c>
      <c r="J26" s="141">
        <f t="shared" si="11"/>
        <v>347745.6</v>
      </c>
      <c r="K26" s="141">
        <f t="shared" si="11"/>
        <v>347745.6</v>
      </c>
      <c r="L26" s="141">
        <f t="shared" si="11"/>
        <v>274536</v>
      </c>
      <c r="M26" s="141"/>
    </row>
    <row r="27" spans="1:15" x14ac:dyDescent="0.25">
      <c r="A27" s="134" t="s">
        <v>23</v>
      </c>
      <c r="B27" s="141">
        <f t="shared" si="10"/>
        <v>199540.8</v>
      </c>
      <c r="C27" s="141">
        <f t="shared" si="10"/>
        <v>310396.79999999999</v>
      </c>
      <c r="D27" s="141">
        <f t="shared" si="10"/>
        <v>421252.8</v>
      </c>
      <c r="E27" s="141">
        <f t="shared" si="10"/>
        <v>421252.8</v>
      </c>
      <c r="F27" s="141">
        <f t="shared" si="10"/>
        <v>421252.8</v>
      </c>
      <c r="G27" s="141">
        <f t="shared" ref="G27" si="16">+G11*1.49</f>
        <v>421252.8</v>
      </c>
      <c r="H27" s="141">
        <f t="shared" si="11"/>
        <v>347745.6</v>
      </c>
      <c r="I27" s="141">
        <f t="shared" si="11"/>
        <v>347745.6</v>
      </c>
      <c r="J27" s="141">
        <f t="shared" si="11"/>
        <v>347745.6</v>
      </c>
      <c r="K27" s="141">
        <f t="shared" si="11"/>
        <v>347745.6</v>
      </c>
      <c r="L27" s="141">
        <f t="shared" si="11"/>
        <v>274536</v>
      </c>
      <c r="M27" s="141"/>
    </row>
    <row r="28" spans="1:15" x14ac:dyDescent="0.25">
      <c r="A28" s="134" t="s">
        <v>22</v>
      </c>
      <c r="B28" s="141">
        <f t="shared" si="10"/>
        <v>193104</v>
      </c>
      <c r="C28" s="141">
        <f t="shared" si="10"/>
        <v>300384</v>
      </c>
      <c r="D28" s="141">
        <f t="shared" si="10"/>
        <v>407664</v>
      </c>
      <c r="E28" s="141">
        <f t="shared" si="10"/>
        <v>407664</v>
      </c>
      <c r="F28" s="141">
        <f t="shared" si="10"/>
        <v>407664</v>
      </c>
      <c r="G28" s="141">
        <f t="shared" ref="G28" si="17">+G12*1.49</f>
        <v>407664</v>
      </c>
      <c r="H28" s="141">
        <f t="shared" si="11"/>
        <v>336528</v>
      </c>
      <c r="I28" s="141">
        <f t="shared" si="11"/>
        <v>336528</v>
      </c>
      <c r="J28" s="141">
        <f t="shared" si="11"/>
        <v>336528</v>
      </c>
      <c r="K28" s="141">
        <f t="shared" si="11"/>
        <v>336528</v>
      </c>
      <c r="L28" s="141">
        <f t="shared" si="11"/>
        <v>265680</v>
      </c>
      <c r="M28" s="141"/>
    </row>
    <row r="29" spans="1:15" x14ac:dyDescent="0.25">
      <c r="A29" s="134" t="s">
        <v>21</v>
      </c>
      <c r="B29" s="141">
        <f t="shared" si="10"/>
        <v>199540.8</v>
      </c>
      <c r="C29" s="141">
        <f t="shared" si="10"/>
        <v>310396.79999999999</v>
      </c>
      <c r="D29" s="141">
        <f t="shared" si="10"/>
        <v>421252.8</v>
      </c>
      <c r="E29" s="141">
        <f t="shared" si="10"/>
        <v>421252.8</v>
      </c>
      <c r="F29" s="141">
        <f t="shared" si="10"/>
        <v>421252.8</v>
      </c>
      <c r="G29" s="141">
        <f>+G13*1.23</f>
        <v>347745.6</v>
      </c>
      <c r="H29" s="141">
        <f t="shared" si="11"/>
        <v>347745.6</v>
      </c>
      <c r="I29" s="141">
        <f t="shared" si="11"/>
        <v>347745.6</v>
      </c>
      <c r="J29" s="141">
        <f t="shared" si="11"/>
        <v>347745.6</v>
      </c>
      <c r="K29" s="141">
        <f t="shared" si="11"/>
        <v>347745.6</v>
      </c>
      <c r="L29" s="141">
        <f t="shared" si="11"/>
        <v>274536</v>
      </c>
      <c r="M29" s="141"/>
    </row>
    <row r="30" spans="1:15" x14ac:dyDescent="0.25">
      <c r="A30" s="134" t="s">
        <v>20</v>
      </c>
      <c r="B30" s="141">
        <f t="shared" si="10"/>
        <v>193104</v>
      </c>
      <c r="C30" s="141">
        <f t="shared" si="10"/>
        <v>300384</v>
      </c>
      <c r="D30" s="141">
        <f t="shared" si="10"/>
        <v>407664</v>
      </c>
      <c r="E30" s="141">
        <f t="shared" si="10"/>
        <v>407664</v>
      </c>
      <c r="F30" s="141">
        <f t="shared" si="10"/>
        <v>407664</v>
      </c>
      <c r="G30" s="141">
        <f t="shared" ref="G30" si="18">+G14*1.23</f>
        <v>336528</v>
      </c>
      <c r="H30" s="141">
        <f t="shared" si="11"/>
        <v>336528</v>
      </c>
      <c r="I30" s="141">
        <f t="shared" si="11"/>
        <v>336528</v>
      </c>
      <c r="J30" s="141">
        <f t="shared" si="11"/>
        <v>336528</v>
      </c>
      <c r="K30" s="141">
        <f t="shared" si="11"/>
        <v>336528</v>
      </c>
      <c r="L30" s="141">
        <f t="shared" si="11"/>
        <v>265680</v>
      </c>
      <c r="M30" s="141"/>
    </row>
    <row r="31" spans="1:15" ht="15.75" thickBot="1" x14ac:dyDescent="0.3">
      <c r="A31" s="134"/>
      <c r="B31" s="142">
        <f t="shared" ref="B31:M31" si="19">SUM(B19:B30)</f>
        <v>2349432</v>
      </c>
      <c r="C31" s="142">
        <f t="shared" si="19"/>
        <v>3664684.8</v>
      </c>
      <c r="D31" s="142">
        <f t="shared" si="19"/>
        <v>4959912</v>
      </c>
      <c r="E31" s="142">
        <f t="shared" si="19"/>
        <v>4959912</v>
      </c>
      <c r="F31" s="142">
        <f t="shared" si="19"/>
        <v>4959912</v>
      </c>
      <c r="G31" s="142">
        <f t="shared" si="19"/>
        <v>4828857.5999999996</v>
      </c>
      <c r="H31" s="142">
        <f t="shared" si="19"/>
        <v>4094424.0000000005</v>
      </c>
      <c r="I31" s="142">
        <f t="shared" si="19"/>
        <v>4094424.0000000005</v>
      </c>
      <c r="J31" s="142">
        <f t="shared" si="19"/>
        <v>4094424.0000000005</v>
      </c>
      <c r="K31" s="142">
        <f t="shared" si="19"/>
        <v>4105641.6</v>
      </c>
      <c r="L31" s="142">
        <f t="shared" si="19"/>
        <v>3305649.6</v>
      </c>
      <c r="M31" s="142">
        <f t="shared" si="19"/>
        <v>274536</v>
      </c>
    </row>
    <row r="32" spans="1:15" ht="15.75" thickTop="1" x14ac:dyDescent="0.25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1:13" x14ac:dyDescent="0.25">
      <c r="A33" s="134" t="s">
        <v>139</v>
      </c>
      <c r="B33" s="134"/>
      <c r="C33" s="134"/>
      <c r="D33" s="134"/>
      <c r="E33" s="141"/>
      <c r="F33" s="134"/>
      <c r="G33" s="134"/>
      <c r="H33" s="134" t="s">
        <v>138</v>
      </c>
      <c r="I33" s="143">
        <f>SUM(H25:H30,I19:I24)</f>
        <v>4094424</v>
      </c>
      <c r="J33" s="134"/>
      <c r="K33" s="134"/>
      <c r="L33" s="134"/>
      <c r="M33" s="134"/>
    </row>
    <row r="34" spans="1:13" x14ac:dyDescent="0.25">
      <c r="A34" s="134"/>
      <c r="B34" s="134"/>
      <c r="C34" s="134"/>
      <c r="D34" s="134"/>
      <c r="E34" s="144"/>
      <c r="F34" s="134"/>
      <c r="H34" s="145"/>
      <c r="I34" s="134"/>
      <c r="J34" s="134"/>
      <c r="K34" s="134"/>
      <c r="L34" s="134"/>
      <c r="M34" s="134"/>
    </row>
    <row r="35" spans="1:13" x14ac:dyDescent="0.25">
      <c r="A35" s="134"/>
      <c r="B35" s="134"/>
      <c r="C35" s="134"/>
      <c r="D35" s="134"/>
      <c r="E35" s="134"/>
      <c r="F35" s="134"/>
      <c r="G35" s="134"/>
      <c r="H35" s="146"/>
      <c r="I35" s="134"/>
      <c r="J35" s="134"/>
      <c r="K35" s="134"/>
      <c r="L35" s="134"/>
      <c r="M35" s="134"/>
    </row>
    <row r="36" spans="1:13" x14ac:dyDescent="0.2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3" x14ac:dyDescent="0.2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</row>
    <row r="38" spans="1:13" x14ac:dyDescent="0.2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</row>
  </sheetData>
  <pageMargins left="0.7" right="0.7" top="0.75" bottom="0.75" header="0.3" footer="0.3"/>
  <pageSetup scale="63" orientation="landscape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9" workbookViewId="0">
      <selection activeCell="F28" sqref="F28"/>
    </sheetView>
  </sheetViews>
  <sheetFormatPr defaultColWidth="9.28515625" defaultRowHeight="12.75" x14ac:dyDescent="0.2"/>
  <cols>
    <col min="1" max="1" width="5.7109375" style="1" customWidth="1"/>
    <col min="2" max="4" width="15.7109375" style="1" customWidth="1"/>
    <col min="5" max="5" width="20.28515625" style="1" customWidth="1"/>
    <col min="6" max="6" width="18.28515625" style="1" bestFit="1" customWidth="1"/>
    <col min="7" max="7" width="15.28515625" style="1" bestFit="1" customWidth="1"/>
    <col min="8" max="8" width="15" style="1" bestFit="1" customWidth="1"/>
    <col min="9" max="9" width="12" style="1" bestFit="1" customWidth="1"/>
    <col min="10" max="10" width="9.28515625" style="1"/>
    <col min="11" max="11" width="15" style="1" bestFit="1" customWidth="1"/>
    <col min="12" max="13" width="17.7109375" style="1" bestFit="1" customWidth="1"/>
    <col min="14" max="14" width="15.5703125" style="1" bestFit="1" customWidth="1"/>
    <col min="15" max="16384" width="9.28515625" style="1"/>
  </cols>
  <sheetData>
    <row r="1" spans="1:7" ht="20.25" x14ac:dyDescent="0.3">
      <c r="A1" s="8"/>
      <c r="B1" s="14"/>
    </row>
    <row r="5" spans="1:7" x14ac:dyDescent="0.2">
      <c r="A5" s="7" t="s">
        <v>58</v>
      </c>
      <c r="B5" s="7"/>
      <c r="C5" s="7"/>
      <c r="D5" s="7"/>
      <c r="E5" s="7"/>
      <c r="F5" s="7"/>
      <c r="G5" s="6"/>
    </row>
    <row r="6" spans="1:7" x14ac:dyDescent="0.2">
      <c r="A6" s="7" t="s">
        <v>57</v>
      </c>
      <c r="B6" s="7"/>
      <c r="C6" s="7"/>
      <c r="D6" s="7"/>
      <c r="E6" s="7"/>
      <c r="F6" s="7"/>
      <c r="G6" s="6"/>
    </row>
    <row r="7" spans="1:7" x14ac:dyDescent="0.2">
      <c r="A7" s="7" t="s">
        <v>0</v>
      </c>
      <c r="B7" s="7"/>
      <c r="C7" s="7"/>
      <c r="D7" s="7"/>
      <c r="E7" s="7"/>
      <c r="F7" s="7"/>
      <c r="G7" s="6"/>
    </row>
    <row r="8" spans="1:7" x14ac:dyDescent="0.2">
      <c r="A8" s="7" t="s">
        <v>56</v>
      </c>
      <c r="B8" s="7"/>
      <c r="C8" s="7"/>
      <c r="D8" s="7"/>
      <c r="E8" s="7"/>
      <c r="F8" s="7"/>
      <c r="G8" s="6"/>
    </row>
    <row r="9" spans="1:7" x14ac:dyDescent="0.2">
      <c r="A9" s="7" t="s">
        <v>55</v>
      </c>
      <c r="B9" s="7"/>
      <c r="C9" s="7"/>
      <c r="D9" s="7"/>
      <c r="E9" s="7"/>
      <c r="F9" s="7"/>
      <c r="G9" s="6"/>
    </row>
    <row r="10" spans="1:7" x14ac:dyDescent="0.2">
      <c r="A10" s="7"/>
      <c r="B10" s="7"/>
      <c r="C10" s="7"/>
      <c r="D10" s="7"/>
      <c r="E10" s="7"/>
      <c r="F10" s="7"/>
      <c r="G10" s="6"/>
    </row>
    <row r="11" spans="1:7" x14ac:dyDescent="0.2">
      <c r="A11" s="7"/>
      <c r="B11" s="7"/>
      <c r="C11" s="7"/>
      <c r="D11" s="7"/>
      <c r="F11"/>
      <c r="G11" s="6"/>
    </row>
    <row r="12" spans="1:7" ht="13.5" thickBot="1" x14ac:dyDescent="0.25">
      <c r="A12" s="7"/>
      <c r="B12" s="7"/>
      <c r="C12" s="7"/>
      <c r="D12" s="7"/>
      <c r="F12"/>
      <c r="G12" s="6"/>
    </row>
    <row r="13" spans="1:7" ht="15" x14ac:dyDescent="0.25">
      <c r="A13" s="7"/>
      <c r="B13" s="7"/>
      <c r="C13" s="7"/>
      <c r="D13" s="7"/>
      <c r="F13" s="152" t="s">
        <v>145</v>
      </c>
      <c r="G13" s="6"/>
    </row>
    <row r="14" spans="1:7" ht="15" x14ac:dyDescent="0.25">
      <c r="A14" s="7"/>
      <c r="B14" s="7"/>
      <c r="C14" s="7"/>
      <c r="D14" s="7"/>
      <c r="F14" s="169" t="s">
        <v>0</v>
      </c>
      <c r="G14" s="6"/>
    </row>
    <row r="15" spans="1:7" ht="15.75" thickBot="1" x14ac:dyDescent="0.3">
      <c r="A15" s="6"/>
      <c r="B15" s="6"/>
      <c r="C15" s="6"/>
      <c r="D15" s="6"/>
      <c r="F15" s="170">
        <f>+F28</f>
        <v>1.01684</v>
      </c>
      <c r="G15" s="6"/>
    </row>
    <row r="16" spans="1:7" x14ac:dyDescent="0.2">
      <c r="F16" s="2"/>
      <c r="G16" s="10"/>
    </row>
    <row r="17" spans="1:16" x14ac:dyDescent="0.2">
      <c r="A17" s="6"/>
      <c r="B17" s="6"/>
      <c r="C17" s="6"/>
      <c r="D17" s="6"/>
      <c r="E17" s="6"/>
      <c r="F17" s="189" t="s">
        <v>54</v>
      </c>
      <c r="G17" s="10"/>
    </row>
    <row r="18" spans="1:16" x14ac:dyDescent="0.2">
      <c r="A18" s="13" t="s">
        <v>53</v>
      </c>
      <c r="B18" s="13" t="s">
        <v>2</v>
      </c>
      <c r="C18" s="13"/>
      <c r="D18" s="13"/>
      <c r="E18" s="13"/>
      <c r="F18" s="190" t="s">
        <v>52</v>
      </c>
      <c r="G18" s="10"/>
    </row>
    <row r="19" spans="1:16" x14ac:dyDescent="0.2">
      <c r="A19" s="6"/>
      <c r="F19" s="2"/>
      <c r="G19" s="10"/>
    </row>
    <row r="20" spans="1:16" x14ac:dyDescent="0.2">
      <c r="A20" s="6">
        <v>1</v>
      </c>
      <c r="B20" s="1" t="s">
        <v>157</v>
      </c>
      <c r="E20" s="4"/>
      <c r="F20" s="4">
        <f>+'[5]Exh BDJ-4 p1 (Prod Factor)'!$G$6</f>
        <v>22535857020.00946</v>
      </c>
      <c r="G20" s="10"/>
    </row>
    <row r="21" spans="1:16" x14ac:dyDescent="0.2">
      <c r="A21" s="6">
        <f t="shared" ref="A21:A23" si="0">+A20+1</f>
        <v>2</v>
      </c>
      <c r="B21" s="1" t="s">
        <v>51</v>
      </c>
      <c r="E21" s="4"/>
      <c r="F21" s="4">
        <f>+'[5]Exh BDJ-4 p1 (Prod Factor)'!$G$7</f>
        <v>-2296743088.5840001</v>
      </c>
      <c r="G21" s="10"/>
    </row>
    <row r="22" spans="1:16" x14ac:dyDescent="0.2">
      <c r="A22" s="6">
        <f t="shared" si="0"/>
        <v>3</v>
      </c>
      <c r="B22" s="1" t="s">
        <v>155</v>
      </c>
      <c r="E22" s="4"/>
      <c r="F22" s="4">
        <f>+'[5]Exh BDJ-4 p1 (Prod Factor)'!$G$8</f>
        <v>-679392876.079</v>
      </c>
      <c r="G22" s="10"/>
    </row>
    <row r="23" spans="1:16" x14ac:dyDescent="0.2">
      <c r="A23" s="6">
        <f t="shared" si="0"/>
        <v>4</v>
      </c>
      <c r="B23" s="1" t="s">
        <v>50</v>
      </c>
      <c r="E23" s="4"/>
      <c r="F23" s="4">
        <f>+'[5]Exh BDJ-4 p1 (Prod Factor)'!$G$9</f>
        <v>125765490.74369743</v>
      </c>
      <c r="G23" s="10"/>
    </row>
    <row r="24" spans="1:16" x14ac:dyDescent="0.2">
      <c r="A24" s="6">
        <f t="shared" ref="A24:A28" si="1">+A23+1</f>
        <v>5</v>
      </c>
      <c r="E24" s="5"/>
      <c r="F24" s="5"/>
      <c r="G24" s="10"/>
    </row>
    <row r="25" spans="1:16" x14ac:dyDescent="0.2">
      <c r="A25" s="6">
        <f t="shared" si="1"/>
        <v>6</v>
      </c>
      <c r="B25" s="11" t="s">
        <v>143</v>
      </c>
      <c r="C25" s="11"/>
      <c r="D25" s="11"/>
      <c r="E25" s="12"/>
      <c r="F25" s="12">
        <f>SUM(F20:F24)</f>
        <v>19685486546.09016</v>
      </c>
      <c r="G25" s="10"/>
      <c r="J25" s="3"/>
    </row>
    <row r="26" spans="1:16" x14ac:dyDescent="0.2">
      <c r="A26" s="6">
        <f t="shared" si="1"/>
        <v>7</v>
      </c>
      <c r="B26" s="11" t="s">
        <v>144</v>
      </c>
      <c r="C26" s="11"/>
      <c r="D26" s="11"/>
      <c r="E26" s="4"/>
      <c r="F26" s="4">
        <f>+'[5]Exh BDJ-4 p1 (Prod Factor)'!$E$10</f>
        <v>19359468123.921001</v>
      </c>
      <c r="G26" s="10"/>
    </row>
    <row r="27" spans="1:16" ht="13.5" thickBot="1" x14ac:dyDescent="0.25">
      <c r="A27" s="6">
        <f t="shared" si="1"/>
        <v>8</v>
      </c>
      <c r="B27" s="11"/>
      <c r="C27" s="11"/>
      <c r="D27" s="11"/>
      <c r="E27"/>
      <c r="F27" s="2"/>
      <c r="G27" s="10"/>
    </row>
    <row r="28" spans="1:16" ht="13.5" thickBot="1" x14ac:dyDescent="0.25">
      <c r="A28" s="6">
        <f t="shared" si="1"/>
        <v>9</v>
      </c>
      <c r="B28" s="11" t="str">
        <f>"LINE "&amp;A25&amp;" DIVIDED BY LINE "&amp;A26</f>
        <v>LINE 6 DIVIDED BY LINE 7</v>
      </c>
      <c r="C28" s="11"/>
      <c r="D28" s="4"/>
      <c r="E28"/>
      <c r="F28" s="168">
        <f>ROUND(F25/F26,5)</f>
        <v>1.01684</v>
      </c>
      <c r="G28" s="10"/>
    </row>
    <row r="29" spans="1:16" x14ac:dyDescent="0.2">
      <c r="A29"/>
      <c r="B29"/>
      <c r="C29"/>
      <c r="D29"/>
      <c r="E29"/>
      <c r="F29" s="191">
        <v>1.01684</v>
      </c>
      <c r="G29" s="10"/>
    </row>
    <row r="30" spans="1:16" x14ac:dyDescent="0.2">
      <c r="A30"/>
      <c r="B30"/>
      <c r="C30"/>
      <c r="D30"/>
      <c r="E30"/>
      <c r="F30" s="192"/>
      <c r="G30" s="10"/>
      <c r="L30"/>
      <c r="M30"/>
      <c r="N30"/>
      <c r="O30"/>
      <c r="P30"/>
    </row>
    <row r="31" spans="1:16" x14ac:dyDescent="0.2">
      <c r="B31" s="11"/>
      <c r="C31" s="11"/>
      <c r="D31" s="11"/>
      <c r="E31"/>
      <c r="F31" s="193"/>
      <c r="G31" s="10"/>
      <c r="L31"/>
      <c r="M31"/>
      <c r="N31"/>
      <c r="O31"/>
      <c r="P31"/>
    </row>
    <row r="32" spans="1:16" x14ac:dyDescent="0.2">
      <c r="B32" s="11"/>
      <c r="C32" s="11"/>
      <c r="D32" s="11"/>
      <c r="E32" s="172"/>
      <c r="F32" s="157"/>
      <c r="G32" s="10"/>
      <c r="L32"/>
      <c r="M32"/>
      <c r="N32"/>
      <c r="O32"/>
      <c r="P32"/>
    </row>
    <row r="33" spans="1:16" x14ac:dyDescent="0.2">
      <c r="B33" s="11"/>
      <c r="C33" s="11"/>
      <c r="D33" s="11"/>
      <c r="E33" s="156"/>
      <c r="F33" s="155"/>
      <c r="G33" s="10"/>
      <c r="L33"/>
      <c r="M33"/>
      <c r="N33"/>
      <c r="O33"/>
      <c r="P33"/>
    </row>
    <row r="34" spans="1:16" x14ac:dyDescent="0.2">
      <c r="B34" s="11"/>
      <c r="C34" s="11"/>
      <c r="D34" s="11"/>
      <c r="E34" s="156"/>
      <c r="F34" s="155"/>
      <c r="G34" s="10"/>
      <c r="L34"/>
      <c r="M34"/>
      <c r="N34"/>
      <c r="O34"/>
      <c r="P34"/>
    </row>
    <row r="35" spans="1:16" x14ac:dyDescent="0.2">
      <c r="E35" s="158"/>
      <c r="F35" s="2"/>
      <c r="G35" s="10"/>
      <c r="L35"/>
      <c r="M35"/>
      <c r="N35"/>
      <c r="O35"/>
      <c r="P35"/>
    </row>
    <row r="36" spans="1:16" x14ac:dyDescent="0.2">
      <c r="E36" s="173"/>
      <c r="F36" s="155"/>
      <c r="L36"/>
      <c r="M36"/>
      <c r="N36"/>
      <c r="O36"/>
      <c r="P36"/>
    </row>
    <row r="37" spans="1:16" s="154" customFormat="1" x14ac:dyDescent="0.2">
      <c r="A37" s="1"/>
      <c r="B37" s="1"/>
      <c r="C37" s="1"/>
      <c r="D37" s="1"/>
      <c r="E37" s="1"/>
      <c r="F37" s="2"/>
      <c r="G37" s="1"/>
      <c r="L37"/>
      <c r="M37"/>
      <c r="N37"/>
      <c r="O37"/>
      <c r="P37"/>
    </row>
    <row r="38" spans="1:16" s="154" customFormat="1" x14ac:dyDescent="0.2">
      <c r="A38" s="1"/>
      <c r="B38" s="1"/>
      <c r="C38" s="1"/>
      <c r="D38" s="1"/>
      <c r="E38" s="1"/>
      <c r="F38" s="2"/>
      <c r="G38" s="1"/>
      <c r="L38"/>
      <c r="M38"/>
      <c r="N38"/>
      <c r="O38"/>
      <c r="P38"/>
    </row>
    <row r="39" spans="1:16" s="154" customFormat="1" x14ac:dyDescent="0.2">
      <c r="A39" s="1"/>
      <c r="B39" s="1"/>
      <c r="C39" s="1"/>
      <c r="D39" s="1"/>
      <c r="E39" s="1"/>
      <c r="F39" s="2"/>
      <c r="G39" s="1"/>
      <c r="L39"/>
      <c r="M39"/>
      <c r="N39"/>
      <c r="O39"/>
      <c r="P39"/>
    </row>
    <row r="40" spans="1:16" s="154" customFormat="1" x14ac:dyDescent="0.2">
      <c r="A40" s="1"/>
      <c r="B40" s="1"/>
      <c r="C40" s="1"/>
      <c r="D40" s="1"/>
      <c r="E40" s="1"/>
      <c r="F40" s="1"/>
      <c r="G40" s="1"/>
      <c r="L40"/>
      <c r="M40"/>
      <c r="N40"/>
      <c r="O40"/>
      <c r="P40"/>
    </row>
    <row r="41" spans="1:16" s="154" customFormat="1" x14ac:dyDescent="0.2">
      <c r="A41" s="1"/>
      <c r="B41" s="1"/>
      <c r="C41" s="1"/>
      <c r="D41" s="1"/>
      <c r="E41" s="1"/>
      <c r="F41" s="1"/>
      <c r="G41" s="1"/>
      <c r="L41"/>
      <c r="M41"/>
      <c r="N41"/>
      <c r="O41"/>
      <c r="P41"/>
    </row>
    <row r="42" spans="1:16" s="154" customFormat="1" x14ac:dyDescent="0.2">
      <c r="A42" s="1"/>
      <c r="B42" s="1"/>
      <c r="C42" s="1"/>
      <c r="D42" s="1"/>
      <c r="E42" s="1"/>
      <c r="F42" s="1"/>
      <c r="G42" s="1"/>
      <c r="L42"/>
      <c r="M42"/>
      <c r="N42"/>
      <c r="O42"/>
      <c r="P42"/>
    </row>
    <row r="43" spans="1:16" s="154" customFormat="1" x14ac:dyDescent="0.2">
      <c r="A43" s="1"/>
      <c r="B43" s="1"/>
      <c r="C43" s="1"/>
      <c r="D43" s="1"/>
      <c r="E43" s="1"/>
      <c r="F43" s="1"/>
      <c r="G43" s="1"/>
      <c r="L43"/>
      <c r="M43"/>
      <c r="N43"/>
      <c r="O43"/>
      <c r="P43"/>
    </row>
    <row r="44" spans="1:16" s="154" customFormat="1" x14ac:dyDescent="0.2">
      <c r="A44" s="1"/>
      <c r="B44" s="1"/>
      <c r="C44" s="1"/>
      <c r="D44" s="1"/>
      <c r="E44" s="1"/>
      <c r="F44" s="1"/>
      <c r="G44" s="1"/>
      <c r="L44"/>
      <c r="M44"/>
      <c r="N44"/>
      <c r="O44"/>
      <c r="P44"/>
    </row>
    <row r="45" spans="1:16" s="154" customFormat="1" x14ac:dyDescent="0.2">
      <c r="A45" s="1"/>
      <c r="B45" s="1"/>
      <c r="C45" s="1"/>
      <c r="D45" s="1"/>
      <c r="E45" s="1"/>
      <c r="F45" s="1"/>
      <c r="G45" s="1"/>
      <c r="L45"/>
      <c r="M45"/>
      <c r="N45"/>
      <c r="O45"/>
      <c r="P45"/>
    </row>
    <row r="46" spans="1:16" s="154" customFormat="1" x14ac:dyDescent="0.2">
      <c r="A46" s="1"/>
      <c r="B46" s="1"/>
      <c r="C46" s="1"/>
      <c r="D46" s="1"/>
      <c r="E46" s="1"/>
      <c r="F46" s="1"/>
      <c r="G46" s="1"/>
      <c r="L46"/>
      <c r="M46"/>
      <c r="N46"/>
      <c r="O46"/>
      <c r="P46"/>
    </row>
    <row r="47" spans="1:16" s="154" customFormat="1" x14ac:dyDescent="0.2">
      <c r="A47" s="1"/>
      <c r="B47" s="1"/>
      <c r="C47" s="1"/>
      <c r="D47" s="1"/>
      <c r="E47" s="1"/>
      <c r="F47" s="1"/>
      <c r="G47" s="1"/>
      <c r="L47"/>
      <c r="M47"/>
      <c r="N47"/>
      <c r="O47"/>
      <c r="P47"/>
    </row>
    <row r="48" spans="1:16" s="154" customFormat="1" x14ac:dyDescent="0.2">
      <c r="A48" s="1"/>
      <c r="B48" s="1"/>
      <c r="C48" s="1"/>
      <c r="D48" s="1"/>
      <c r="E48" s="1"/>
      <c r="F48" s="1"/>
      <c r="G48" s="1"/>
      <c r="L48"/>
      <c r="M48"/>
      <c r="N48"/>
      <c r="O48"/>
      <c r="P48"/>
    </row>
    <row r="49" spans="1:16" s="154" customFormat="1" x14ac:dyDescent="0.2">
      <c r="A49" s="1"/>
      <c r="B49" s="1"/>
      <c r="C49" s="1"/>
      <c r="D49" s="1"/>
      <c r="E49" s="1"/>
      <c r="F49" s="1"/>
      <c r="G49" s="1"/>
      <c r="L49"/>
      <c r="M49"/>
      <c r="N49"/>
      <c r="O49"/>
      <c r="P49"/>
    </row>
    <row r="50" spans="1:16" s="154" customFormat="1" x14ac:dyDescent="0.2">
      <c r="A50" s="1"/>
      <c r="B50" s="1"/>
      <c r="C50" s="1"/>
      <c r="D50" s="1"/>
      <c r="E50" s="1"/>
      <c r="F50" s="1"/>
      <c r="G50" s="1"/>
      <c r="L50"/>
      <c r="M50"/>
      <c r="N50"/>
      <c r="O50"/>
      <c r="P50"/>
    </row>
    <row r="51" spans="1:16" s="154" customFormat="1" x14ac:dyDescent="0.2">
      <c r="A51" s="1"/>
      <c r="B51" s="1"/>
      <c r="C51" s="1"/>
      <c r="D51" s="1"/>
      <c r="E51" s="1"/>
      <c r="F51" s="1"/>
      <c r="G51" s="1"/>
    </row>
    <row r="52" spans="1:16" s="154" customFormat="1" x14ac:dyDescent="0.2">
      <c r="A52" s="1"/>
      <c r="B52" s="1"/>
      <c r="C52" s="1"/>
      <c r="D52" s="1"/>
      <c r="E52" s="1"/>
      <c r="F52" s="1"/>
      <c r="G52" s="1"/>
    </row>
    <row r="53" spans="1:16" s="154" customFormat="1" x14ac:dyDescent="0.2">
      <c r="A53" s="1"/>
      <c r="B53" s="1"/>
      <c r="C53" s="1"/>
      <c r="D53" s="1"/>
      <c r="E53" s="1"/>
      <c r="F53" s="1"/>
      <c r="G53" s="1"/>
    </row>
    <row r="54" spans="1:16" s="154" customFormat="1" x14ac:dyDescent="0.2">
      <c r="A54" s="1"/>
      <c r="B54" s="1"/>
      <c r="C54" s="1"/>
      <c r="D54" s="1"/>
      <c r="E54" s="1"/>
      <c r="F54" s="1"/>
      <c r="G54" s="1"/>
    </row>
    <row r="55" spans="1:16" s="154" customFormat="1" x14ac:dyDescent="0.2">
      <c r="A55" s="1"/>
      <c r="B55" s="1"/>
      <c r="C55" s="1"/>
      <c r="D55" s="1"/>
      <c r="E55" s="1"/>
      <c r="F55" s="1"/>
      <c r="G55" s="1"/>
    </row>
    <row r="56" spans="1:16" s="154" customFormat="1" x14ac:dyDescent="0.2">
      <c r="A56" s="1"/>
      <c r="B56" s="1"/>
      <c r="C56" s="1"/>
      <c r="D56" s="1"/>
      <c r="E56" s="1"/>
      <c r="F56" s="1"/>
      <c r="G56" s="1"/>
    </row>
    <row r="57" spans="1:16" s="154" customFormat="1" x14ac:dyDescent="0.2">
      <c r="A57" s="1"/>
      <c r="B57" s="1"/>
      <c r="C57" s="1"/>
      <c r="D57" s="1"/>
      <c r="E57" s="1"/>
      <c r="F57" s="1"/>
      <c r="G57" s="1"/>
    </row>
    <row r="58" spans="1:16" s="154" customFormat="1" x14ac:dyDescent="0.2">
      <c r="A58" s="1"/>
      <c r="B58" s="1"/>
      <c r="C58" s="1"/>
      <c r="D58" s="1"/>
      <c r="E58" s="1"/>
      <c r="F58" s="1"/>
      <c r="G58" s="1"/>
    </row>
    <row r="59" spans="1:16" s="154" customFormat="1" x14ac:dyDescent="0.2">
      <c r="A59" s="1"/>
      <c r="B59" s="1"/>
      <c r="C59" s="1"/>
      <c r="D59" s="1"/>
      <c r="E59" s="1"/>
      <c r="F59" s="1"/>
      <c r="G59" s="1"/>
    </row>
  </sheetData>
  <pageMargins left="0.75" right="0.75" top="0.25" bottom="1" header="0.5" footer="0.5"/>
  <pageSetup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077846-E3FD-4D58-8C42-9C8AA2FB3194}"/>
</file>

<file path=customXml/itemProps2.xml><?xml version="1.0" encoding="utf-8"?>
<ds:datastoreItem xmlns:ds="http://schemas.openxmlformats.org/officeDocument/2006/customXml" ds:itemID="{A1A25158-3D3A-4779-B502-4CDA0B01EB2A}"/>
</file>

<file path=customXml/itemProps3.xml><?xml version="1.0" encoding="utf-8"?>
<ds:datastoreItem xmlns:ds="http://schemas.openxmlformats.org/officeDocument/2006/customXml" ds:itemID="{4220D6BB-27EA-45EA-A7DB-59A11A60AA30}"/>
</file>

<file path=customXml/itemProps4.xml><?xml version="1.0" encoding="utf-8"?>
<ds:datastoreItem xmlns:ds="http://schemas.openxmlformats.org/officeDocument/2006/customXml" ds:itemID="{5C309EEB-FF13-460B-B5C7-17F730F33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Power Cost Lead</vt:lpstr>
      <vt:lpstr>PKW</vt:lpstr>
      <vt:lpstr>Production O&amp;M Summary RJR</vt:lpstr>
      <vt:lpstr>OATT Trans Rev</vt:lpstr>
      <vt:lpstr>Pwrex</vt:lpstr>
      <vt:lpstr>Centralia Equity Kicker</vt:lpstr>
      <vt:lpstr>ProdFctr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2020-09-21T16:40:03Z</dcterms:created>
  <dcterms:modified xsi:type="dcterms:W3CDTF">2021-06-16T01:53:26Z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