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35" yWindow="-15" windowWidth="6165" windowHeight="5970" firstSheet="1" activeTab="5"/>
  </bookViews>
  <sheets>
    <sheet name="Summary" sheetId="4" r:id="rId1"/>
    <sheet name="Earnings" sheetId="2" r:id="rId2"/>
    <sheet name="Conservation" sheetId="3" r:id="rId3"/>
    <sheet name="Baselines" sheetId="5" r:id="rId4"/>
    <sheet name="Deferral" sheetId="6" r:id="rId5"/>
    <sheet name="Load Shapes" sheetId="7" r:id="rId6"/>
  </sheets>
  <externalReferences>
    <externalReference r:id="rId7"/>
    <externalReference r:id="rId8"/>
    <externalReference r:id="rId9"/>
  </externalReferences>
  <definedNames>
    <definedName name="_xlnm.Print_Area" localSheetId="2">Conservation!$A$1:$E$27</definedName>
    <definedName name="_xlnm.Print_Area" localSheetId="1">Earnings!$2:$98</definedName>
    <definedName name="_xlnm.Print_Area" localSheetId="0">Summary!$A$3:$I$24</definedName>
  </definedNames>
  <calcPr calcId="145621"/>
</workbook>
</file>

<file path=xl/calcChain.xml><?xml version="1.0" encoding="utf-8"?>
<calcChain xmlns="http://schemas.openxmlformats.org/spreadsheetml/2006/main">
  <c r="C10" i="2" l="1"/>
  <c r="F10" i="2" s="1"/>
  <c r="C9" i="2"/>
  <c r="E9" i="2" s="1"/>
  <c r="C8" i="2"/>
  <c r="F8" i="2" l="1"/>
  <c r="C11" i="2"/>
  <c r="D10" i="2"/>
  <c r="E8" i="2"/>
  <c r="E10" i="2"/>
  <c r="F9" i="2"/>
  <c r="D8" i="2"/>
  <c r="D9" i="2"/>
  <c r="T30" i="6"/>
  <c r="R30" i="6"/>
  <c r="M30" i="6"/>
  <c r="K30" i="6"/>
  <c r="F30" i="6"/>
  <c r="K53" i="6" s="1"/>
  <c r="D30" i="6"/>
  <c r="D53" i="6" s="1"/>
  <c r="F16" i="5" l="1"/>
  <c r="E16" i="5"/>
  <c r="D16" i="5"/>
  <c r="F14" i="5"/>
  <c r="E14" i="5"/>
  <c r="D14" i="5"/>
  <c r="F11" i="5"/>
  <c r="E11" i="5"/>
  <c r="D11" i="5"/>
  <c r="F10" i="5"/>
  <c r="F12" i="5" s="1"/>
  <c r="F20" i="5" s="1"/>
  <c r="U30" i="6" s="1"/>
  <c r="E10" i="5"/>
  <c r="D10" i="5"/>
  <c r="D12" i="5" s="1"/>
  <c r="D20" i="5" s="1"/>
  <c r="G30" i="6" s="1"/>
  <c r="A10" i="5"/>
  <c r="A11" i="5" s="1"/>
  <c r="A12" i="5" s="1"/>
  <c r="D8" i="3"/>
  <c r="B8" i="3"/>
  <c r="C8" i="3" s="1"/>
  <c r="E12" i="5" l="1"/>
  <c r="E20" i="5" s="1"/>
  <c r="N30" i="6" s="1"/>
  <c r="L53" i="6" s="1"/>
  <c r="E8" i="3"/>
  <c r="C18" i="3"/>
  <c r="D18" i="3"/>
  <c r="B18" i="3"/>
  <c r="F11" i="2" l="1"/>
  <c r="B42" i="6" l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F53" i="6"/>
  <c r="P27" i="7"/>
  <c r="P31" i="7"/>
  <c r="P32" i="7"/>
  <c r="P33" i="7"/>
  <c r="E34" i="7"/>
  <c r="F34" i="7"/>
  <c r="G34" i="7"/>
  <c r="H34" i="7"/>
  <c r="I34" i="7"/>
  <c r="J34" i="7"/>
  <c r="K34" i="7"/>
  <c r="L34" i="7"/>
  <c r="M34" i="7"/>
  <c r="N34" i="7"/>
  <c r="O34" i="7"/>
  <c r="D34" i="7"/>
  <c r="O29" i="7"/>
  <c r="N29" i="7"/>
  <c r="M29" i="7"/>
  <c r="L29" i="7"/>
  <c r="K29" i="7"/>
  <c r="J29" i="7"/>
  <c r="I29" i="7"/>
  <c r="H29" i="7"/>
  <c r="G29" i="7"/>
  <c r="F29" i="7"/>
  <c r="E29" i="7"/>
  <c r="P28" i="7"/>
  <c r="D42" i="6" l="1"/>
  <c r="D44" i="6"/>
  <c r="D46" i="6"/>
  <c r="D48" i="6"/>
  <c r="D50" i="6"/>
  <c r="D52" i="6"/>
  <c r="D41" i="6"/>
  <c r="D43" i="6"/>
  <c r="D45" i="6"/>
  <c r="D47" i="6"/>
  <c r="D49" i="6"/>
  <c r="D51" i="6"/>
  <c r="P34" i="7"/>
  <c r="O15" i="7" s="1"/>
  <c r="T29" i="6" s="1"/>
  <c r="U29" i="6" s="1"/>
  <c r="D29" i="7"/>
  <c r="P29" i="7" l="1"/>
  <c r="D13" i="7" s="1"/>
  <c r="M18" i="6" s="1"/>
  <c r="N18" i="6" s="1"/>
  <c r="D15" i="7"/>
  <c r="T18" i="6" s="1"/>
  <c r="U18" i="6" s="1"/>
  <c r="F15" i="7"/>
  <c r="T20" i="6" s="1"/>
  <c r="U20" i="6" s="1"/>
  <c r="J15" i="7"/>
  <c r="T24" i="6" s="1"/>
  <c r="U24" i="6" s="1"/>
  <c r="N15" i="7"/>
  <c r="T28" i="6" s="1"/>
  <c r="U28" i="6" s="1"/>
  <c r="E15" i="7"/>
  <c r="T19" i="6" s="1"/>
  <c r="U19" i="6" s="1"/>
  <c r="I15" i="7"/>
  <c r="T23" i="6" s="1"/>
  <c r="U23" i="6" s="1"/>
  <c r="M15" i="7"/>
  <c r="T27" i="6" s="1"/>
  <c r="U27" i="6" s="1"/>
  <c r="H15" i="7"/>
  <c r="T22" i="6" s="1"/>
  <c r="U22" i="6" s="1"/>
  <c r="L15" i="7"/>
  <c r="T26" i="6" s="1"/>
  <c r="U26" i="6" s="1"/>
  <c r="G15" i="7"/>
  <c r="T21" i="6" s="1"/>
  <c r="U21" i="6" s="1"/>
  <c r="K15" i="7"/>
  <c r="T25" i="6" s="1"/>
  <c r="U25" i="6" s="1"/>
  <c r="G13" i="7" l="1"/>
  <c r="M21" i="6" s="1"/>
  <c r="N21" i="6" s="1"/>
  <c r="M13" i="7"/>
  <c r="M27" i="6" s="1"/>
  <c r="N27" i="6" s="1"/>
  <c r="E13" i="7"/>
  <c r="M19" i="6" s="1"/>
  <c r="N19" i="6" s="1"/>
  <c r="F13" i="7"/>
  <c r="M20" i="6" s="1"/>
  <c r="N20" i="6" s="1"/>
  <c r="J13" i="7"/>
  <c r="M24" i="6" s="1"/>
  <c r="N24" i="6" s="1"/>
  <c r="N13" i="7"/>
  <c r="M28" i="6" s="1"/>
  <c r="N28" i="6" s="1"/>
  <c r="K13" i="7"/>
  <c r="M25" i="6" s="1"/>
  <c r="N25" i="6" s="1"/>
  <c r="O13" i="7"/>
  <c r="M29" i="6" s="1"/>
  <c r="N29" i="6" s="1"/>
  <c r="I13" i="7"/>
  <c r="M23" i="6" s="1"/>
  <c r="N23" i="6" s="1"/>
  <c r="H13" i="7"/>
  <c r="M22" i="6" s="1"/>
  <c r="N22" i="6" s="1"/>
  <c r="L13" i="7"/>
  <c r="M26" i="6" s="1"/>
  <c r="N26" i="6" s="1"/>
  <c r="G16" i="5" l="1"/>
  <c r="K40" i="6" s="1"/>
  <c r="E11" i="4" s="1"/>
  <c r="K19" i="6"/>
  <c r="K21" i="6"/>
  <c r="K23" i="6"/>
  <c r="K25" i="6"/>
  <c r="K27" i="6"/>
  <c r="K29" i="6"/>
  <c r="K18" i="6"/>
  <c r="K20" i="6"/>
  <c r="K22" i="6"/>
  <c r="K24" i="6"/>
  <c r="K26" i="6"/>
  <c r="K28" i="6"/>
  <c r="D19" i="6"/>
  <c r="D21" i="6"/>
  <c r="D23" i="6"/>
  <c r="D25" i="6"/>
  <c r="D27" i="6"/>
  <c r="D29" i="6"/>
  <c r="D18" i="6"/>
  <c r="D20" i="6"/>
  <c r="D22" i="6"/>
  <c r="D24" i="6"/>
  <c r="D26" i="6"/>
  <c r="D28" i="6"/>
  <c r="R19" i="6"/>
  <c r="R21" i="6"/>
  <c r="R23" i="6"/>
  <c r="R25" i="6"/>
  <c r="R27" i="6"/>
  <c r="R29" i="6"/>
  <c r="R18" i="6"/>
  <c r="R20" i="6"/>
  <c r="R22" i="6"/>
  <c r="R24" i="6"/>
  <c r="R26" i="6"/>
  <c r="R28" i="6"/>
  <c r="B19" i="6" l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F18" i="5"/>
  <c r="F22" i="5" s="1"/>
  <c r="E18" i="5"/>
  <c r="E22" i="5" s="1"/>
  <c r="A13" i="5"/>
  <c r="A14" i="5" l="1"/>
  <c r="A15" i="5" s="1"/>
  <c r="G10" i="5"/>
  <c r="G11" i="5"/>
  <c r="D18" i="5"/>
  <c r="D22" i="5" s="1"/>
  <c r="G14" i="5"/>
  <c r="Q22" i="6" l="1"/>
  <c r="S22" i="6" s="1"/>
  <c r="G18" i="5"/>
  <c r="K41" i="6"/>
  <c r="E10" i="4" s="1"/>
  <c r="J22" i="6"/>
  <c r="L22" i="6" s="1"/>
  <c r="J20" i="6"/>
  <c r="L20" i="6" s="1"/>
  <c r="O20" i="6" s="1"/>
  <c r="J24" i="6"/>
  <c r="L24" i="6" s="1"/>
  <c r="J28" i="6"/>
  <c r="L28" i="6" s="1"/>
  <c r="J19" i="6"/>
  <c r="L19" i="6" s="1"/>
  <c r="J23" i="6"/>
  <c r="L23" i="6" s="1"/>
  <c r="O23" i="6" s="1"/>
  <c r="J27" i="6"/>
  <c r="L27" i="6" s="1"/>
  <c r="Q20" i="6"/>
  <c r="S20" i="6" s="1"/>
  <c r="V20" i="6" s="1"/>
  <c r="Q24" i="6"/>
  <c r="S24" i="6" s="1"/>
  <c r="Q26" i="6"/>
  <c r="S26" i="6" s="1"/>
  <c r="V26" i="6" s="1"/>
  <c r="Q28" i="6"/>
  <c r="S28" i="6" s="1"/>
  <c r="V28" i="6" s="1"/>
  <c r="Q18" i="6"/>
  <c r="S18" i="6" s="1"/>
  <c r="V18" i="6" s="1"/>
  <c r="Q19" i="6"/>
  <c r="S19" i="6" s="1"/>
  <c r="V19" i="6" s="1"/>
  <c r="Q21" i="6"/>
  <c r="S21" i="6" s="1"/>
  <c r="V21" i="6" s="1"/>
  <c r="Q23" i="6"/>
  <c r="S23" i="6" s="1"/>
  <c r="V23" i="6" s="1"/>
  <c r="Q25" i="6"/>
  <c r="S25" i="6" s="1"/>
  <c r="V25" i="6" s="1"/>
  <c r="Q27" i="6"/>
  <c r="S27" i="6" s="1"/>
  <c r="V27" i="6" s="1"/>
  <c r="Q29" i="6"/>
  <c r="S29" i="6" s="1"/>
  <c r="V29" i="6" s="1"/>
  <c r="G12" i="5"/>
  <c r="G20" i="5" s="1"/>
  <c r="G53" i="6" s="1"/>
  <c r="D11" i="2"/>
  <c r="D9" i="3"/>
  <c r="D10" i="3" s="1"/>
  <c r="C19" i="3"/>
  <c r="C20" i="3" s="1"/>
  <c r="C9" i="3"/>
  <c r="C10" i="3" s="1"/>
  <c r="E11" i="2"/>
  <c r="C13" i="2"/>
  <c r="F17" i="2" s="1"/>
  <c r="G22" i="5" l="1"/>
  <c r="F18" i="2"/>
  <c r="G18" i="2" s="1"/>
  <c r="V22" i="6"/>
  <c r="V24" i="6"/>
  <c r="O27" i="6"/>
  <c r="O22" i="6"/>
  <c r="J29" i="6"/>
  <c r="L29" i="6" s="1"/>
  <c r="O29" i="6" s="1"/>
  <c r="J25" i="6"/>
  <c r="L25" i="6" s="1"/>
  <c r="O25" i="6" s="1"/>
  <c r="J21" i="6"/>
  <c r="L21" i="6" s="1"/>
  <c r="O21" i="6" s="1"/>
  <c r="J18" i="6"/>
  <c r="L18" i="6" s="1"/>
  <c r="O18" i="6" s="1"/>
  <c r="J26" i="6"/>
  <c r="L26" i="6" s="1"/>
  <c r="O19" i="6"/>
  <c r="O28" i="6"/>
  <c r="O24" i="6"/>
  <c r="E9" i="3"/>
  <c r="E10" i="3" s="1"/>
  <c r="E18" i="3"/>
  <c r="D19" i="3"/>
  <c r="D20" i="3" s="1"/>
  <c r="E19" i="3"/>
  <c r="E20" i="3" s="1"/>
  <c r="O26" i="6"/>
  <c r="C24" i="6"/>
  <c r="E24" i="6" s="1"/>
  <c r="E17" i="2"/>
  <c r="E18" i="2" s="1"/>
  <c r="D17" i="2"/>
  <c r="D18" i="2" s="1"/>
  <c r="V30" i="6"/>
  <c r="C20" i="6"/>
  <c r="E20" i="6" s="1"/>
  <c r="C28" i="6"/>
  <c r="E28" i="6" s="1"/>
  <c r="C23" i="6"/>
  <c r="E23" i="6" s="1"/>
  <c r="C22" i="6"/>
  <c r="E22" i="6" s="1"/>
  <c r="C18" i="6"/>
  <c r="E18" i="6" s="1"/>
  <c r="C25" i="6"/>
  <c r="E25" i="6" s="1"/>
  <c r="O30" i="6" l="1"/>
  <c r="C29" i="6"/>
  <c r="E29" i="6" s="1"/>
  <c r="C21" i="6"/>
  <c r="E21" i="6" s="1"/>
  <c r="C26" i="6"/>
  <c r="E26" i="6" s="1"/>
  <c r="C27" i="6"/>
  <c r="E27" i="6" s="1"/>
  <c r="C19" i="6"/>
  <c r="E19" i="6" s="1"/>
  <c r="C43" i="6"/>
  <c r="E43" i="6" s="1"/>
  <c r="C45" i="6"/>
  <c r="E45" i="6" s="1"/>
  <c r="C47" i="6"/>
  <c r="E47" i="6" s="1"/>
  <c r="C49" i="6"/>
  <c r="E49" i="6" s="1"/>
  <c r="C51" i="6"/>
  <c r="E51" i="6" s="1"/>
  <c r="C41" i="6"/>
  <c r="E41" i="6" s="1"/>
  <c r="C42" i="6"/>
  <c r="E42" i="6" s="1"/>
  <c r="C44" i="6"/>
  <c r="E44" i="6" s="1"/>
  <c r="C46" i="6"/>
  <c r="E46" i="6" s="1"/>
  <c r="C48" i="6"/>
  <c r="E48" i="6" s="1"/>
  <c r="C50" i="6"/>
  <c r="E50" i="6" s="1"/>
  <c r="C52" i="6"/>
  <c r="E52" i="6" s="1"/>
  <c r="P24" i="7" l="1"/>
  <c r="I25" i="7"/>
  <c r="I36" i="7" s="1"/>
  <c r="F25" i="7"/>
  <c r="G25" i="7"/>
  <c r="G36" i="7" s="1"/>
  <c r="N25" i="7"/>
  <c r="N36" i="7" s="1"/>
  <c r="K25" i="7"/>
  <c r="K36" i="7" s="1"/>
  <c r="H25" i="7"/>
  <c r="M25" i="7"/>
  <c r="M36" i="7" s="1"/>
  <c r="J25" i="7"/>
  <c r="J36" i="7" s="1"/>
  <c r="O25" i="7"/>
  <c r="O36" i="7" s="1"/>
  <c r="L25" i="7"/>
  <c r="L36" i="7"/>
  <c r="E25" i="7"/>
  <c r="E36" i="7"/>
  <c r="D25" i="7"/>
  <c r="D36" i="7" s="1"/>
  <c r="H36" i="7" l="1"/>
  <c r="F36" i="7"/>
  <c r="P25" i="7"/>
  <c r="F11" i="7" s="1"/>
  <c r="F20" i="6" s="1"/>
  <c r="G20" i="6" s="1"/>
  <c r="H20" i="6" s="1"/>
  <c r="I11" i="7" l="1"/>
  <c r="F23" i="6" s="1"/>
  <c r="G23" i="6" s="1"/>
  <c r="H23" i="6" s="1"/>
  <c r="N11" i="7"/>
  <c r="F28" i="6" s="1"/>
  <c r="G28" i="6" s="1"/>
  <c r="H28" i="6" s="1"/>
  <c r="O11" i="7"/>
  <c r="F29" i="6" s="1"/>
  <c r="G29" i="6" s="1"/>
  <c r="H29" i="6" s="1"/>
  <c r="G11" i="7"/>
  <c r="F21" i="6" s="1"/>
  <c r="G21" i="6" s="1"/>
  <c r="H21" i="6" s="1"/>
  <c r="P36" i="7"/>
  <c r="H17" i="7" s="1"/>
  <c r="F45" i="6" s="1"/>
  <c r="K11" i="7"/>
  <c r="F25" i="6" s="1"/>
  <c r="G25" i="6" s="1"/>
  <c r="H25" i="6" s="1"/>
  <c r="J11" i="7"/>
  <c r="F24" i="6" s="1"/>
  <c r="G24" i="6" s="1"/>
  <c r="H24" i="6" s="1"/>
  <c r="L11" i="7"/>
  <c r="F26" i="6" s="1"/>
  <c r="G26" i="6" s="1"/>
  <c r="H26" i="6" s="1"/>
  <c r="E11" i="7"/>
  <c r="F19" i="6" s="1"/>
  <c r="G19" i="6" s="1"/>
  <c r="H19" i="6" s="1"/>
  <c r="M11" i="7"/>
  <c r="F27" i="6" s="1"/>
  <c r="G27" i="6" s="1"/>
  <c r="H27" i="6" s="1"/>
  <c r="D11" i="7"/>
  <c r="F18" i="6" s="1"/>
  <c r="G18" i="6" s="1"/>
  <c r="H18" i="6" s="1"/>
  <c r="H11" i="7"/>
  <c r="F22" i="6" s="1"/>
  <c r="G22" i="6" s="1"/>
  <c r="H22" i="6" s="1"/>
  <c r="G45" i="6" l="1"/>
  <c r="H45" i="6" s="1"/>
  <c r="H30" i="6"/>
  <c r="D17" i="7"/>
  <c r="F41" i="6" s="1"/>
  <c r="I17" i="7"/>
  <c r="F46" i="6" s="1"/>
  <c r="J17" i="7"/>
  <c r="F47" i="6" s="1"/>
  <c r="K17" i="7"/>
  <c r="F48" i="6" s="1"/>
  <c r="G17" i="7"/>
  <c r="F44" i="6" s="1"/>
  <c r="O17" i="7"/>
  <c r="F52" i="6" s="1"/>
  <c r="L17" i="7"/>
  <c r="F49" i="6" s="1"/>
  <c r="E17" i="7"/>
  <c r="F42" i="6" s="1"/>
  <c r="N17" i="7"/>
  <c r="F51" i="6" s="1"/>
  <c r="M17" i="7"/>
  <c r="F50" i="6" s="1"/>
  <c r="F17" i="7"/>
  <c r="F43" i="6" s="1"/>
  <c r="G43" i="6" l="1"/>
  <c r="H43" i="6" s="1"/>
  <c r="G51" i="6"/>
  <c r="H51" i="6" s="1"/>
  <c r="G49" i="6"/>
  <c r="H49" i="6" s="1"/>
  <c r="G44" i="6"/>
  <c r="H44" i="6" s="1"/>
  <c r="G47" i="6"/>
  <c r="H47" i="6" s="1"/>
  <c r="G41" i="6"/>
  <c r="H41" i="6" s="1"/>
  <c r="G50" i="6"/>
  <c r="H50" i="6" s="1"/>
  <c r="G42" i="6"/>
  <c r="H42" i="6" s="1"/>
  <c r="G52" i="6"/>
  <c r="H52" i="6" s="1"/>
  <c r="G48" i="6"/>
  <c r="H48" i="6" s="1"/>
  <c r="G46" i="6"/>
  <c r="H46" i="6" s="1"/>
  <c r="M53" i="6"/>
  <c r="F10" i="6"/>
  <c r="B11" i="3" s="1"/>
  <c r="G15" i="2" l="1"/>
  <c r="G20" i="2" s="1"/>
  <c r="E15" i="4" s="1"/>
  <c r="E14" i="4"/>
  <c r="B21" i="3"/>
  <c r="D22" i="3" s="1"/>
  <c r="E16" i="4" s="1"/>
  <c r="E17" i="4" s="1"/>
  <c r="H53" i="6"/>
  <c r="F11" i="6" s="1"/>
  <c r="E21" i="4" s="1"/>
  <c r="E12" i="3"/>
  <c r="D12" i="3"/>
  <c r="C12" i="3"/>
  <c r="C22" i="3" l="1"/>
  <c r="E22" i="3"/>
</calcChain>
</file>

<file path=xl/sharedStrings.xml><?xml version="1.0" encoding="utf-8"?>
<sst xmlns="http://schemas.openxmlformats.org/spreadsheetml/2006/main" count="218" uniqueCount="138">
  <si>
    <t>Customers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</si>
  <si>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</si>
  <si>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</si>
  <si>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</si>
  <si>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</si>
  <si>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</si>
  <si>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</si>
  <si>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</si>
  <si>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</si>
  <si>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</si>
  <si>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</si>
  <si>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</si>
  <si>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</si>
  <si>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Current</t>
  </si>
  <si>
    <t>Revenue</t>
  </si>
  <si>
    <t>Expenses</t>
  </si>
  <si>
    <t>ROR</t>
  </si>
  <si>
    <t>GRC</t>
  </si>
  <si>
    <t>Rate Base</t>
  </si>
  <si>
    <t>Deadband High</t>
  </si>
  <si>
    <t>Deferral Amount</t>
  </si>
  <si>
    <t>Percentage Achieved</t>
  </si>
  <si>
    <t>Under Recovery</t>
  </si>
  <si>
    <t>Under Rebate</t>
  </si>
  <si>
    <t>Percentage Multiplier</t>
  </si>
  <si>
    <t>Scenario 1</t>
  </si>
  <si>
    <t>Scenario 2</t>
  </si>
  <si>
    <t>Scenario 3</t>
  </si>
  <si>
    <t>Deferral</t>
  </si>
  <si>
    <t>Line No.</t>
  </si>
  <si>
    <t>Source</t>
  </si>
  <si>
    <t>(a)</t>
  </si>
  <si>
    <t>(b)</t>
  </si>
  <si>
    <t>(c)</t>
  </si>
  <si>
    <t>(d)</t>
  </si>
  <si>
    <t>(e)</t>
  </si>
  <si>
    <t>Line</t>
  </si>
  <si>
    <t>No.</t>
  </si>
  <si>
    <t>Month</t>
  </si>
  <si>
    <t>Usage</t>
  </si>
  <si>
    <t>(7)/(9)</t>
  </si>
  <si>
    <t>(11)*(13)</t>
  </si>
  <si>
    <t xml:space="preserve">Allowed </t>
  </si>
  <si>
    <t>per Customer</t>
  </si>
  <si>
    <t>( c )</t>
  </si>
  <si>
    <t>Allowed</t>
  </si>
  <si>
    <t>Total Company</t>
  </si>
  <si>
    <t>Residential</t>
  </si>
  <si>
    <t>Subtotal</t>
  </si>
  <si>
    <t>subtotal</t>
  </si>
  <si>
    <t>System total</t>
  </si>
  <si>
    <t>System</t>
  </si>
  <si>
    <t>Load Shapes for Rate Groups</t>
  </si>
  <si>
    <t>Actual</t>
  </si>
  <si>
    <t>Note (1)</t>
  </si>
  <si>
    <t>Usage data based on billing data load shapes and 2010 energy usage info from JAP-4 Workpapers Page 37</t>
  </si>
  <si>
    <t>Customers (1)</t>
  </si>
  <si>
    <t>Usage (2)</t>
  </si>
  <si>
    <t>Note (2)</t>
  </si>
  <si>
    <t>Customer count based on JAP-4 Workpapers Page 33</t>
  </si>
  <si>
    <t>(d) = (b)*(c )</t>
  </si>
  <si>
    <t>( e)</t>
  </si>
  <si>
    <t>(d)-(f)</t>
  </si>
  <si>
    <t>Class by Class Deferral</t>
  </si>
  <si>
    <t>Target</t>
  </si>
  <si>
    <t>System Deferral</t>
  </si>
  <si>
    <t>Portion of ROR overearned</t>
  </si>
  <si>
    <t>Deferral amount</t>
  </si>
  <si>
    <t>Earnings Test</t>
  </si>
  <si>
    <t>Minimum amount to be returned to customers</t>
  </si>
  <si>
    <t>Conservation Test</t>
  </si>
  <si>
    <t>In an actual filing, current usage should be actual monthly current usage.</t>
  </si>
  <si>
    <t>in customers</t>
  </si>
  <si>
    <t>in usage</t>
  </si>
  <si>
    <t>Percentage Changes</t>
  </si>
  <si>
    <t>Existing Change in Load</t>
  </si>
  <si>
    <t>and Change in Customer Count</t>
  </si>
  <si>
    <t>(See Deferral Tab, highlighted cells)</t>
  </si>
  <si>
    <t>Results</t>
  </si>
  <si>
    <t>(See Deferral Tab, Rows 6-27)</t>
  </si>
  <si>
    <t>(See Deferral Tab, Rows 29-50)</t>
  </si>
  <si>
    <t>(See Earnings Tab, Scenario 3)</t>
  </si>
  <si>
    <t>(See Conservation Tab, Scenario 2)</t>
  </si>
  <si>
    <t>Target based on 2011 Gas Consv tab in JAP Workpapers 12-14-16-19</t>
  </si>
  <si>
    <t>Scenario 2 achievement based on 2010 Gas Consv tab in JAP Workpapers 12-14-16-19</t>
  </si>
  <si>
    <t>UG-101644 WP</t>
  </si>
  <si>
    <t>Residential (23,53)</t>
  </si>
  <si>
    <t>Firm Sales (31,41)</t>
  </si>
  <si>
    <t>Interruptible Sales (85,86,87)</t>
  </si>
  <si>
    <t>2010 GTIF (UG-101644)</t>
  </si>
  <si>
    <t>Total Margin Revenue</t>
  </si>
  <si>
    <t>Less: Basic &amp; Minimum Charge Revenue</t>
  </si>
  <si>
    <t>(2)-(3)</t>
  </si>
  <si>
    <t>(5)/(7)</t>
  </si>
  <si>
    <t>* 2010 GTIF is based on 2009 Test Period.</t>
  </si>
  <si>
    <t>Source: JAP-14</t>
  </si>
  <si>
    <t>16,23,53</t>
  </si>
  <si>
    <t>Com'l &amp; Ind'l</t>
  </si>
  <si>
    <t>31,61</t>
  </si>
  <si>
    <t>Large Volume</t>
  </si>
  <si>
    <t>41,41T</t>
  </si>
  <si>
    <t>Interruptible</t>
  </si>
  <si>
    <t>85,85T</t>
  </si>
  <si>
    <t>Limited Interrupt</t>
  </si>
  <si>
    <t>86,86T</t>
  </si>
  <si>
    <t>Non-Exclusive Interrupt</t>
  </si>
  <si>
    <t>87,87T</t>
  </si>
  <si>
    <t>Group I (Interruptible Schedules 85, 86, 87)</t>
  </si>
  <si>
    <t>Group C (Commercial Schedules 31, 41, 61)</t>
  </si>
  <si>
    <t>Group R (Residential, Schedule 16, 23, 53)</t>
  </si>
  <si>
    <t>Source data from PSE Response to Staff Data Request 96, Attachment A</t>
  </si>
  <si>
    <t>Schedule 23, 53</t>
  </si>
  <si>
    <t>Schedules 31, 41</t>
  </si>
  <si>
    <t>Schedules 85, 86, 87</t>
  </si>
  <si>
    <t>Customer count based on PSE Rate Design Gas spreadsheets. In an actual filing, current customers should be actual monthly customers.</t>
  </si>
  <si>
    <t>Usage data based on billing data load shapes and 2010 energy usage info from PSE Gas Rate Design spreadsheets.</t>
  </si>
  <si>
    <t>(f) = (e )*.3737</t>
  </si>
  <si>
    <t>(f) = (e )*.3238</t>
  </si>
  <si>
    <t>2% growth in all</t>
  </si>
  <si>
    <t>2% growth in expenses</t>
  </si>
  <si>
    <t>2% growth in revenue</t>
  </si>
  <si>
    <t>Amount Added to Recovery</t>
  </si>
  <si>
    <t>Amount Added to Rebate</t>
  </si>
  <si>
    <t>Additional amount to be deferred</t>
  </si>
  <si>
    <t>Final Class by Class Deferral Amount</t>
  </si>
  <si>
    <t>Base Year Sales (therms)</t>
  </si>
  <si>
    <t>Base Year Customers</t>
  </si>
  <si>
    <t>Base Monthly Use Per Customer</t>
  </si>
  <si>
    <t>Net Decoupled Revenue</t>
  </si>
  <si>
    <t>2010 GTIF Revenue/Unit ($/therms)</t>
  </si>
  <si>
    <t>Base Monthly Revenue/Customer</t>
  </si>
  <si>
    <t>Band</t>
  </si>
  <si>
    <t>+</t>
  </si>
  <si>
    <t>=</t>
  </si>
  <si>
    <t>UTC Staff Response to Bench Request on Full Decoupling</t>
  </si>
  <si>
    <t>Load Shapes</t>
  </si>
  <si>
    <t>Summary of Gas Decoupling Effects</t>
  </si>
  <si>
    <t xml:space="preserve">        Baselines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</si>
</sst>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&quot;$&quot;* #,##0_);_(&quot;$&quot;* \(#,##0\);_(&quot;$&quot;* &quot;-&quot;?_);_(@_)"/>
    <numFmt numFmtId="167" formatCode="_(* #,##0_);_(* \(#,##0\);_(* &quot;-&quot;??_);_(@_)"/>
    <numFmt numFmtId="168" formatCode="_(* #,##0.0000_);_(* \(#,##0.0000\);_(* &quot;-&quot;??_);_(@_)"/>
    <numFmt numFmtId="169" formatCode="[$-409]mmm\-yy;@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2" borderId="1" applyNumberFormat="0">
      <alignment horizontal="center" vertical="center" wrapText="1"/>
    </xf>
  </cellStyleXfs>
  <cellXfs count="69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164" fontId="5" fillId="0" borderId="0" xfId="3" applyNumberFormat="1" applyFont="1"/>
    <xf numFmtId="10" fontId="5" fillId="0" borderId="0" xfId="3" applyNumberFormat="1" applyFont="1"/>
    <xf numFmtId="165" fontId="5" fillId="0" borderId="0" xfId="2" applyNumberFormat="1" applyFont="1"/>
    <xf numFmtId="165" fontId="0" fillId="0" borderId="0" xfId="0" applyNumberFormat="1"/>
    <xf numFmtId="10" fontId="0" fillId="0" borderId="0" xfId="0" applyNumberFormat="1"/>
    <xf numFmtId="167" fontId="5" fillId="0" borderId="0" xfId="1" applyNumberFormat="1" applyFont="1"/>
    <xf numFmtId="9" fontId="0" fillId="0" borderId="0" xfId="0" applyNumberFormat="1"/>
    <xf numFmtId="0" fontId="6" fillId="0" borderId="0" xfId="0" applyFont="1" applyAlignment="1">
      <alignment horizontal="center"/>
    </xf>
    <xf numFmtId="0" fontId="7" fillId="0" borderId="0" xfId="0" applyFont="1"/>
    <xf numFmtId="41" fontId="6" fillId="2" borderId="1" xfId="4" applyNumberFormat="1" applyFont="1" applyFill="1" applyBorder="1">
      <alignment horizontal="center" vertical="center" wrapText="1"/>
    </xf>
    <xf numFmtId="0" fontId="7" fillId="0" borderId="1" xfId="0" applyFont="1" applyBorder="1"/>
    <xf numFmtId="41" fontId="6" fillId="2" borderId="1" xfId="4" applyNumberFormat="1" applyFont="1" applyFill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65" fontId="7" fillId="0" borderId="0" xfId="2" applyNumberFormat="1" applyFont="1"/>
    <xf numFmtId="165" fontId="7" fillId="0" borderId="1" xfId="2" applyNumberFormat="1" applyFont="1" applyBorder="1"/>
    <xf numFmtId="165" fontId="7" fillId="0" borderId="0" xfId="0" applyNumberFormat="1" applyFont="1"/>
    <xf numFmtId="3" fontId="7" fillId="0" borderId="0" xfId="0" applyNumberFormat="1" applyFont="1"/>
    <xf numFmtId="168" fontId="7" fillId="0" borderId="0" xfId="1" applyNumberFormat="1" applyFont="1"/>
    <xf numFmtId="0" fontId="9" fillId="0" borderId="0" xfId="0" applyFont="1"/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7" fontId="7" fillId="0" borderId="0" xfId="1" applyNumberFormat="1" applyFont="1"/>
    <xf numFmtId="167" fontId="7" fillId="0" borderId="0" xfId="0" applyNumberFormat="1" applyFont="1"/>
    <xf numFmtId="44" fontId="7" fillId="0" borderId="0" xfId="2" applyFont="1"/>
    <xf numFmtId="169" fontId="7" fillId="0" borderId="0" xfId="0" applyNumberFormat="1" applyFont="1" applyAlignment="1">
      <alignment horizontal="right"/>
    </xf>
    <xf numFmtId="17" fontId="0" fillId="0" borderId="0" xfId="0" applyNumberFormat="1"/>
    <xf numFmtId="9" fontId="0" fillId="0" borderId="0" xfId="3" applyFont="1"/>
    <xf numFmtId="1" fontId="7" fillId="0" borderId="0" xfId="0" applyNumberFormat="1" applyFont="1"/>
    <xf numFmtId="0" fontId="5" fillId="0" borderId="0" xfId="3" applyNumberFormat="1" applyFont="1"/>
    <xf numFmtId="10" fontId="0" fillId="0" borderId="0" xfId="3" applyNumberFormat="1" applyFont="1"/>
    <xf numFmtId="165" fontId="0" fillId="0" borderId="0" xfId="2" applyNumberFormat="1" applyFont="1"/>
    <xf numFmtId="167" fontId="7" fillId="3" borderId="0" xfId="1" applyNumberFormat="1" applyFont="1" applyFill="1"/>
    <xf numFmtId="166" fontId="3" fillId="0" borderId="0" xfId="0" applyNumberFormat="1" applyFont="1" applyFill="1"/>
    <xf numFmtId="0" fontId="0" fillId="0" borderId="6" xfId="0" applyBorder="1"/>
    <xf numFmtId="0" fontId="0" fillId="0" borderId="0" xfId="0" applyBorder="1"/>
    <xf numFmtId="165" fontId="0" fillId="0" borderId="7" xfId="0" applyNumberFormat="1" applyBorder="1"/>
    <xf numFmtId="0" fontId="0" fillId="0" borderId="8" xfId="0" applyBorder="1"/>
    <xf numFmtId="0" fontId="0" fillId="0" borderId="2" xfId="0" applyBorder="1"/>
    <xf numFmtId="165" fontId="0" fillId="0" borderId="9" xfId="0" applyNumberFormat="1" applyBorder="1"/>
    <xf numFmtId="3" fontId="7" fillId="3" borderId="0" xfId="0" applyNumberFormat="1" applyFont="1" applyFill="1"/>
    <xf numFmtId="1" fontId="0" fillId="0" borderId="0" xfId="0" applyNumberFormat="1"/>
    <xf numFmtId="1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 applyFill="1"/>
    <xf numFmtId="167" fontId="0" fillId="0" borderId="0" xfId="0" applyNumberFormat="1" applyFill="1"/>
    <xf numFmtId="167" fontId="0" fillId="0" borderId="0" xfId="0" applyNumberFormat="1"/>
    <xf numFmtId="0" fontId="0" fillId="0" borderId="0" xfId="0" applyAlignment="1">
      <alignment horizontal="center"/>
    </xf>
    <xf numFmtId="165" fontId="0" fillId="0" borderId="0" xfId="2" applyNumberFormat="1" applyFont="1" applyAlignment="1">
      <alignment horizontal="center"/>
    </xf>
    <xf numFmtId="165" fontId="5" fillId="0" borderId="0" xfId="2" applyNumberFormat="1" applyFont="1" applyAlignment="1">
      <alignment horizontal="center"/>
    </xf>
    <xf numFmtId="165" fontId="0" fillId="0" borderId="1" xfId="2" applyNumberFormat="1" applyFont="1" applyBorder="1"/>
    <xf numFmtId="0" fontId="10" fillId="0" borderId="0" xfId="0" applyFont="1" applyAlignme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" fontId="10" fillId="0" borderId="0" xfId="0" applyNumberFormat="1" applyFont="1"/>
    <xf numFmtId="0" fontId="1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Percent" xfId="3" builtinId="5"/>
    <cellStyle name="Report Heading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SE%20GRC%20111048-111049/Chris%20M/PSE%20-%20Revenue%20Requirement%20-%20Gas%20(GRC%20'1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SE%20GRC%20111048-111049/PSE/Workpapers%20of%20Jon%20Pillaris%20public/JAP-12-14-16-19%20Piliaris%20(Gas%20Workpapers)%2006-13-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SE%20GRC%20111048-111049/Chris%20M/PSE%20-%20Rate%20Design%20-%20Gas%20(GRC%20'1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ignments"/>
      <sheetName val="Exhibit No._(CTM-2), Summary"/>
      <sheetName val="Gas Assignments"/>
      <sheetName val="Compare GRCs"/>
      <sheetName val="MJS"/>
      <sheetName val="Exhibit No._(CTM-2), Unit Cost"/>
      <sheetName val="Exhibit No._(CTM-2), Pg. 1-5"/>
      <sheetName val="Exhibit No._(CTM-2), Pg. 6-8"/>
      <sheetName val="Exhibit No._(CTM-2), Pg. 9-29"/>
      <sheetName val="Exhibit No._(CTM-2), Pg. 30-32"/>
      <sheetName val="UG-101644 - Revenue"/>
      <sheetName val="UG-101644 - Revenue Exhibit"/>
      <sheetName val="JKP-10"/>
      <sheetName val="3.05"/>
      <sheetName val="3.05 - Joint Meter Customers"/>
      <sheetName val="3.05 - E &amp; G RB"/>
      <sheetName val="3.05 - 2010 IS"/>
      <sheetName val="3.05 - FERC Pg 354 &amp; 355"/>
      <sheetName val="3.05 - SAP DL Download"/>
      <sheetName val="3.05 - DLReconBBS"/>
      <sheetName val="3.05 - SAP DL"/>
      <sheetName val="3.05 - GL DL Rep-2010"/>
      <sheetName val="3.05 - Electric"/>
      <sheetName val="3.05 - Electric Rtrmt"/>
      <sheetName val="3.05 - Gas"/>
      <sheetName val="3.05 - Gas Rtrmt"/>
      <sheetName val="3.05E - Customer Count Pg 6a"/>
      <sheetName val="3.05G - Customer Count Pg6b"/>
      <sheetName val="5.02G"/>
      <sheetName val="5.02G - DEPN Transfers"/>
      <sheetName val="5.02G - Accum DEPN"/>
      <sheetName val="5.03G"/>
      <sheetName val="5.03G - Breakdown"/>
      <sheetName val="5.03G - Data (HC)"/>
      <sheetName val="5.03G - Cost Savings Analysis"/>
      <sheetName val="5.03G - 2010"/>
      <sheetName val="6.02G"/>
      <sheetName val="6.02G - Revenue"/>
      <sheetName val="6.03G"/>
      <sheetName val="6.03G - LowInc Rev 12ME 12-2010"/>
      <sheetName val="6.03G - LoInBilled 12ME 12-2010"/>
      <sheetName val="6.03G - LowIncExp 12ME 12-2010"/>
      <sheetName val="6.03G - ConsvRev 12ME 12-210"/>
      <sheetName val="6.03G - 12ME 12-31-2010 SOG "/>
      <sheetName val="6.03G - IS Gas 12ME 12-2010"/>
      <sheetName val="6.03G - Cons Expense Dec 2010"/>
      <sheetName val="6.03G - PGA Amort Dec 2010"/>
      <sheetName val="6.03G - MuniTax Rev 12-2010"/>
      <sheetName val="6.03G - MuniTax Exp 12-2010"/>
      <sheetName val="6.03G - PGA REV 6-2010"/>
      <sheetName val="6.09G"/>
      <sheetName val="6.09G - 3-YR AVG"/>
      <sheetName val="6.09G - Writeoffs"/>
      <sheetName val="6.09G - 12ME 8-2010"/>
      <sheetName val="6.09G - 12ME 8-2009"/>
      <sheetName val="6.09G - 12ME 8-2008"/>
      <sheetName val="6.09G - 12ME 8-2007"/>
      <sheetName val="6.09G - 12ME 8-2006"/>
      <sheetName val="6.09G - BS Acct-Gas"/>
      <sheetName val="6.09G - Muni Tax Other Ops"/>
      <sheetName val="6.09G - 12ME 12-2010"/>
      <sheetName val="6.12G"/>
      <sheetName val="6.12G - UTC Annual Filing Fee"/>
      <sheetName val="6.12G - UTC Paid Annual Fee '10"/>
      <sheetName val="6.12G - Excise Taxes '10"/>
      <sheetName val="6.14G"/>
      <sheetName val="6.14G - Decrease in Interest"/>
      <sheetName val="6.14G - 2010 Rates"/>
      <sheetName val="6.14G - 2011 Rates"/>
      <sheetName val="6.14G - SAP"/>
      <sheetName val="6.14G - Balance Calculation"/>
      <sheetName val="6.16G"/>
      <sheetName val="6.16G - Rate Year"/>
      <sheetName val="6.16G - Charged to IS"/>
      <sheetName val="6.16G - Acct 18700052"/>
      <sheetName val="6.16G - Acct 2560009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8">
          <cell r="E18">
            <v>1055321057.1787136</v>
          </cell>
        </row>
        <row r="45">
          <cell r="E45">
            <v>933327814.03723526</v>
          </cell>
        </row>
        <row r="49">
          <cell r="E49">
            <v>1658305524.462157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P-12"/>
      <sheetName val="JAP-14"/>
      <sheetName val="JAP-16"/>
      <sheetName val="JAP-19"/>
      <sheetName val="Rate Design Res-101644"/>
      <sheetName val="Rate Design C&amp;I-101644"/>
      <sheetName val="Rate Design Int &amp; Trans-101644"/>
      <sheetName val="Rate Design Res - 090705"/>
      <sheetName val="Rate Design C&amp;I0-090705"/>
      <sheetName val="Rate Design Int &amp; Trans-090705"/>
      <sheetName val="2010 Gas Consv"/>
      <sheetName val="2010 C-I Savings by Sch"/>
      <sheetName val="2010 C-I Savings Without RCM"/>
      <sheetName val="2010 RCM Savings"/>
      <sheetName val="2011 Gas Consv"/>
      <sheetName val="F2010 Load by Sched"/>
      <sheetName val="F2010 Cust by Sched"/>
      <sheetName val="Schedule Impacts"/>
    </sheetNames>
    <sheetDataSet>
      <sheetData sheetId="0"/>
      <sheetData sheetId="1"/>
      <sheetData sheetId="2"/>
      <sheetData sheetId="3"/>
      <sheetData sheetId="4">
        <row r="12">
          <cell r="D12">
            <v>8410117</v>
          </cell>
          <cell r="I12">
            <v>84101170</v>
          </cell>
        </row>
        <row r="13">
          <cell r="D13">
            <v>547199500</v>
          </cell>
        </row>
        <row r="14">
          <cell r="I14">
            <v>288600567.13999999</v>
          </cell>
        </row>
        <row r="24">
          <cell r="D24">
            <v>61</v>
          </cell>
          <cell r="I24">
            <v>610</v>
          </cell>
        </row>
        <row r="25">
          <cell r="D25">
            <v>2177</v>
          </cell>
        </row>
        <row r="26">
          <cell r="I26">
            <v>1423.5900000000001</v>
          </cell>
        </row>
      </sheetData>
      <sheetData sheetId="5">
        <row r="12">
          <cell r="D12">
            <v>658916.00009999995</v>
          </cell>
          <cell r="I12">
            <v>21296165.120000001</v>
          </cell>
        </row>
        <row r="13">
          <cell r="D13">
            <v>196768099</v>
          </cell>
        </row>
        <row r="14">
          <cell r="I14">
            <v>83331243.689999998</v>
          </cell>
        </row>
        <row r="52">
          <cell r="D52">
            <v>24746</v>
          </cell>
          <cell r="I52">
            <v>2769572.32</v>
          </cell>
        </row>
        <row r="53">
          <cell r="I53">
            <v>3196935.74</v>
          </cell>
        </row>
        <row r="60">
          <cell r="D60">
            <v>75749199</v>
          </cell>
          <cell r="I60">
            <v>18855557.170000002</v>
          </cell>
        </row>
      </sheetData>
      <sheetData sheetId="6">
        <row r="12">
          <cell r="D12">
            <v>406.99990000000003</v>
          </cell>
          <cell r="I12">
            <v>227382.7</v>
          </cell>
        </row>
        <row r="15">
          <cell r="I15">
            <v>20914</v>
          </cell>
        </row>
        <row r="21">
          <cell r="D21">
            <v>16813744</v>
          </cell>
          <cell r="I21">
            <v>1806561.22</v>
          </cell>
        </row>
        <row r="73">
          <cell r="D73">
            <v>4142</v>
          </cell>
          <cell r="I73">
            <v>591436.18000000005</v>
          </cell>
        </row>
        <row r="76">
          <cell r="I76">
            <v>1509</v>
          </cell>
        </row>
        <row r="81">
          <cell r="D81">
            <v>14201718</v>
          </cell>
          <cell r="I81">
            <v>3075957.84</v>
          </cell>
        </row>
        <row r="130">
          <cell r="D130">
            <v>116</v>
          </cell>
          <cell r="I130">
            <v>64776.72</v>
          </cell>
        </row>
        <row r="133">
          <cell r="I133">
            <v>70168</v>
          </cell>
        </row>
        <row r="142">
          <cell r="D142">
            <v>29547422</v>
          </cell>
          <cell r="I142">
            <v>1720771.45</v>
          </cell>
        </row>
      </sheetData>
      <sheetData sheetId="7"/>
      <sheetData sheetId="8"/>
      <sheetData sheetId="9"/>
      <sheetData sheetId="10">
        <row r="40">
          <cell r="Q40">
            <v>4982058.04</v>
          </cell>
        </row>
      </sheetData>
      <sheetData sheetId="11"/>
      <sheetData sheetId="12"/>
      <sheetData sheetId="13"/>
      <sheetData sheetId="14">
        <row r="17">
          <cell r="F17">
            <v>2115000</v>
          </cell>
        </row>
        <row r="29">
          <cell r="F29">
            <v>2675000</v>
          </cell>
        </row>
      </sheetData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KP-10.1 - Rate Spread"/>
      <sheetName val="JKP-10.1 - Res"/>
      <sheetName val="JKP-10.1 - C&amp;I"/>
      <sheetName val="JKP-10.1 - Int &amp; Trans"/>
      <sheetName val="JKP-10.1 - Rental"/>
      <sheetName val="JKP-3.1c - Data"/>
      <sheetName val="JKP-3.1c - Therms Data"/>
      <sheetName val="JKP-3.1c - New Cust"/>
      <sheetName val="JKP-3.1c - RentalActualRates"/>
      <sheetName val="JKP-3.1c - Rentals Rates GRC09"/>
      <sheetName val="JKP-3.1c - Rentals Rates GTI10"/>
      <sheetName val="JKP-3.1c - Customer Data"/>
      <sheetName val="JKP-3.1c - Rev Actual Rates"/>
      <sheetName val="JKP-3.1c - Rev Rates GRC09"/>
      <sheetName val="JKP-3.1c - Rev Rates PGA Nov10"/>
      <sheetName val="JKP-3.1c - Rev Rates GTI10"/>
      <sheetName val="JKP-3.1c - 85&amp;T Min Charge Adj "/>
      <sheetName val="JKP-3.1c - 41 Min Migration Adj"/>
      <sheetName val="JKP-3.1c - 41T 86T Migrat Adj"/>
      <sheetName val="JKP-3.1c - Weather Adj"/>
      <sheetName val="JKP-3.1c - Norm Rev Rates GTI10"/>
      <sheetName val="JKP-3.1c - PF RevRAF GRC11"/>
      <sheetName val="JKP-3.1c - Revenue"/>
      <sheetName val="JKP-3.1c - Volume Exhibit "/>
      <sheetName val="JKP-3.1c - Revenue Exhibit"/>
      <sheetName val="JKP-3.1c - Summary"/>
      <sheetName val="JKP-7.4 - RAF"/>
      <sheetName val="JKP-7.5 - Inc Statement Gas"/>
      <sheetName val="JKP-7.5 - RB Plant Adj Gas"/>
      <sheetName val="JKP-7.6c - Gas Costs"/>
      <sheetName val="JKP-7.6c - PGA-2.1"/>
      <sheetName val="JKP-7.6c - Vol PGA-3"/>
      <sheetName val="JKP-7.6c - Data GRC11"/>
      <sheetName val="JKP-7.7 - Data"/>
      <sheetName val="JKP-7.7 - Allocated"/>
      <sheetName val="JKP-7.7 - For COS"/>
      <sheetName val="JKP-7.8 - DEPN Gas"/>
      <sheetName val="JKP-8.4 - Summary 2006-2010"/>
      <sheetName val="JKP-8.4c - G380 123110 (Final)"/>
      <sheetName val="JKP-8.4c - Total Costs"/>
      <sheetName val="JKP-8.4c - Customer List"/>
      <sheetName val="JKP-8.4c - Schedule 85"/>
      <sheetName val="JKP-8.4c - Direct 380"/>
      <sheetName val="JKP-8.4c - WtCust"/>
      <sheetName val="JKP-8.7c - By Size"/>
      <sheetName val="JKP-8.7c - G376 123110 Final"/>
    </sheetNames>
    <sheetDataSet>
      <sheetData sheetId="0"/>
      <sheetData sheetId="1"/>
      <sheetData sheetId="2">
        <row r="12">
          <cell r="D12">
            <v>8441336</v>
          </cell>
        </row>
        <row r="13">
          <cell r="D13">
            <v>548024951</v>
          </cell>
        </row>
        <row r="24">
          <cell r="D24">
            <v>61</v>
          </cell>
        </row>
        <row r="25">
          <cell r="D25">
            <v>2114</v>
          </cell>
        </row>
      </sheetData>
      <sheetData sheetId="3">
        <row r="12">
          <cell r="D12">
            <v>663748.02</v>
          </cell>
        </row>
        <row r="13">
          <cell r="D13">
            <v>202387050</v>
          </cell>
        </row>
        <row r="52">
          <cell r="D52">
            <v>18597.009999999998</v>
          </cell>
        </row>
        <row r="63">
          <cell r="D63">
            <v>69568257</v>
          </cell>
        </row>
      </sheetData>
      <sheetData sheetId="4">
        <row r="12">
          <cell r="D12">
            <v>421</v>
          </cell>
        </row>
        <row r="21">
          <cell r="D21">
            <v>17284828</v>
          </cell>
        </row>
        <row r="60">
          <cell r="D60">
            <v>82190712</v>
          </cell>
        </row>
        <row r="73">
          <cell r="D73">
            <v>4023</v>
          </cell>
        </row>
        <row r="81">
          <cell r="D81">
            <v>13889578</v>
          </cell>
        </row>
        <row r="130">
          <cell r="D130">
            <v>108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1"/>
  <sheetViews>
    <sheetView view="pageLayout" topLeftCell="A3" zoomScaleNormal="100" workbookViewId="0">
      <selection activeCell="A10" sqref="A10:A21"/>
    </sheetView>
  </sheetViews>
  <sheetFormatPr defaultRowHeight="15" x14ac:dyDescent="0.25"/>
  <cols>
    <col min="3" max="3" width="22.85546875" customWidth="1"/>
    <col min="4" max="4" width="2.7109375" customWidth="1"/>
    <col min="5" max="5" width="15.42578125" customWidth="1"/>
  </cols>
  <sheetData>
    <row r="3" spans="1:9" ht="18.75" x14ac:dyDescent="0.3">
      <c r="A3" s="60"/>
      <c r="B3" s="60"/>
      <c r="C3" s="60"/>
      <c r="D3" s="60"/>
      <c r="E3" s="60"/>
      <c r="F3" s="60"/>
      <c r="G3" s="60"/>
      <c r="H3" s="60"/>
    </row>
    <row r="4" spans="1:9" ht="18.75" x14ac:dyDescent="0.3">
      <c r="A4" s="60" t="s">
        <v>134</v>
      </c>
      <c r="B4" s="60"/>
      <c r="C4" s="60"/>
      <c r="D4" s="60"/>
      <c r="E4" s="60"/>
      <c r="F4" s="60"/>
      <c r="G4" s="60"/>
      <c r="H4" s="60"/>
      <c r="I4" s="60"/>
    </row>
    <row r="5" spans="1:9" ht="18.75" x14ac:dyDescent="0.3">
      <c r="A5" s="57"/>
      <c r="B5" s="57"/>
      <c r="C5" s="57"/>
      <c r="D5" s="57"/>
      <c r="E5" s="57"/>
      <c r="F5" s="57"/>
      <c r="G5" s="57"/>
      <c r="H5" s="57"/>
    </row>
    <row r="6" spans="1:9" ht="18.75" x14ac:dyDescent="0.3">
      <c r="A6" s="60" t="s">
        <v>136</v>
      </c>
      <c r="B6" s="60"/>
      <c r="C6" s="60"/>
      <c r="D6" s="60"/>
      <c r="E6" s="60"/>
      <c r="F6" s="60"/>
      <c r="G6" s="60"/>
      <c r="H6" s="60"/>
      <c r="I6" s="60"/>
    </row>
    <row r="7" spans="1:9" ht="18.75" x14ac:dyDescent="0.3">
      <c r="A7" s="57"/>
      <c r="B7" s="57"/>
      <c r="C7" s="57"/>
      <c r="D7" s="57"/>
      <c r="E7" s="57"/>
      <c r="F7" s="57"/>
      <c r="G7" s="57"/>
      <c r="H7" s="57"/>
      <c r="I7" s="57"/>
    </row>
    <row r="8" spans="1:9" x14ac:dyDescent="0.25">
      <c r="C8" s="2"/>
      <c r="D8" s="2"/>
    </row>
    <row r="9" spans="1:9" x14ac:dyDescent="0.25">
      <c r="A9" s="1" t="s">
        <v>36</v>
      </c>
      <c r="C9" s="2"/>
      <c r="D9" s="2"/>
    </row>
    <row r="10" spans="1:9" x14ac:dyDescent="0.25">
      <c r="A10" s="52">
        <v>1</v>
      </c>
      <c r="C10" s="2" t="s">
        <v>75</v>
      </c>
      <c r="D10" s="2"/>
      <c r="E10" s="9">
        <f>Deferral!K41</f>
        <v>6.0282545252360986E-2</v>
      </c>
      <c r="F10" t="s">
        <v>77</v>
      </c>
    </row>
    <row r="11" spans="1:9" x14ac:dyDescent="0.25">
      <c r="A11" s="52">
        <v>2</v>
      </c>
      <c r="C11" s="2" t="s">
        <v>76</v>
      </c>
      <c r="D11" s="2"/>
      <c r="E11" s="9">
        <f>Deferral!K40</f>
        <v>3.2740576611212102E-3</v>
      </c>
      <c r="F11" t="s">
        <v>77</v>
      </c>
    </row>
    <row r="12" spans="1:9" x14ac:dyDescent="0.25">
      <c r="A12" s="52"/>
      <c r="C12" s="2"/>
      <c r="D12" s="2"/>
    </row>
    <row r="13" spans="1:9" x14ac:dyDescent="0.25">
      <c r="A13" s="52"/>
      <c r="C13" s="2"/>
      <c r="D13" s="2"/>
    </row>
    <row r="14" spans="1:9" x14ac:dyDescent="0.25">
      <c r="A14" s="52">
        <v>3</v>
      </c>
      <c r="B14" t="s">
        <v>63</v>
      </c>
      <c r="C14" s="2"/>
      <c r="D14" s="48"/>
      <c r="E14" s="36">
        <f>Deferral!F10</f>
        <v>-4580806.8318269355</v>
      </c>
      <c r="F14" t="s">
        <v>79</v>
      </c>
    </row>
    <row r="15" spans="1:9" x14ac:dyDescent="0.25">
      <c r="A15" s="52">
        <v>4</v>
      </c>
      <c r="B15" t="s">
        <v>68</v>
      </c>
      <c r="C15" s="5"/>
      <c r="D15" s="53" t="s">
        <v>132</v>
      </c>
      <c r="E15" s="36">
        <f>Earnings!G20</f>
        <v>-12379850.500591911</v>
      </c>
      <c r="F15" t="s">
        <v>81</v>
      </c>
    </row>
    <row r="16" spans="1:9" x14ac:dyDescent="0.25">
      <c r="A16" s="52">
        <v>5</v>
      </c>
      <c r="B16" t="s">
        <v>70</v>
      </c>
      <c r="D16" s="1" t="s">
        <v>132</v>
      </c>
      <c r="E16" s="55">
        <f>Conservation!D22</f>
        <v>176589.82988068368</v>
      </c>
      <c r="F16" t="s">
        <v>82</v>
      </c>
    </row>
    <row r="17" spans="1:6" x14ac:dyDescent="0.25">
      <c r="A17" s="52">
        <v>6</v>
      </c>
      <c r="B17" t="s">
        <v>124</v>
      </c>
      <c r="D17" s="48" t="s">
        <v>133</v>
      </c>
      <c r="E17" s="6">
        <f>E14+E15+E16</f>
        <v>-16784067.502538163</v>
      </c>
    </row>
    <row r="18" spans="1:6" x14ac:dyDescent="0.25">
      <c r="A18" s="52"/>
      <c r="B18" s="9"/>
      <c r="C18" s="5"/>
      <c r="D18" s="54"/>
    </row>
    <row r="19" spans="1:6" x14ac:dyDescent="0.25">
      <c r="A19" s="52"/>
    </row>
    <row r="20" spans="1:6" x14ac:dyDescent="0.25">
      <c r="A20" s="52"/>
    </row>
    <row r="21" spans="1:6" x14ac:dyDescent="0.25">
      <c r="A21" s="52">
        <v>7</v>
      </c>
      <c r="B21" t="s">
        <v>65</v>
      </c>
      <c r="E21" s="36">
        <f>Deferral!F11</f>
        <v>-16249429.421645666</v>
      </c>
      <c r="F21" t="s">
        <v>80</v>
      </c>
    </row>
  </sheetData>
  <mergeCells count="3">
    <mergeCell ref="A3:H3"/>
    <mergeCell ref="A4:I4"/>
    <mergeCell ref="A6:I6"/>
  </mergeCells>
  <phoneticPr fontId="4" type="noConversion"/>
  <pageMargins left="0.7" right="0.7" top="1" bottom="0.75" header="0.3" footer="0.3"/>
  <pageSetup scale="94" fitToHeight="0" orientation="portrait" r:id="rId1"/>
  <headerFooter>
    <oddHeader>&amp;C&amp;"-,Bold"&amp;14
Appendix 1&amp;R&amp;10Docket Numbers UE-111048 and UG-111049
Page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view="pageLayout" topLeftCell="C1" zoomScaleNormal="100" workbookViewId="0">
      <selection activeCell="A2" sqref="A2:G2"/>
    </sheetView>
  </sheetViews>
  <sheetFormatPr defaultRowHeight="15" x14ac:dyDescent="0.25"/>
  <cols>
    <col min="2" max="2" width="24" bestFit="1" customWidth="1"/>
    <col min="3" max="3" width="15.28515625" bestFit="1" customWidth="1"/>
    <col min="4" max="4" width="16.7109375" customWidth="1"/>
    <col min="5" max="5" width="19.42578125" customWidth="1"/>
    <col min="6" max="6" width="18.7109375" customWidth="1"/>
    <col min="7" max="7" width="18" customWidth="1"/>
  </cols>
  <sheetData>
    <row r="2" spans="1:7" s="56" customFormat="1" ht="18.75" x14ac:dyDescent="0.3">
      <c r="A2" s="60" t="s">
        <v>134</v>
      </c>
      <c r="B2" s="60"/>
      <c r="C2" s="60"/>
      <c r="D2" s="60"/>
      <c r="E2" s="60"/>
      <c r="F2" s="60"/>
      <c r="G2" s="60"/>
    </row>
    <row r="3" spans="1:7" s="56" customFormat="1" ht="18.75" x14ac:dyDescent="0.3">
      <c r="A3" s="57"/>
      <c r="B3" s="57"/>
      <c r="C3" s="57"/>
      <c r="D3" s="57"/>
      <c r="E3" s="57"/>
      <c r="F3" s="57"/>
      <c r="G3" s="57"/>
    </row>
    <row r="4" spans="1:7" ht="18.75" x14ac:dyDescent="0.3">
      <c r="A4" s="60" t="s">
        <v>68</v>
      </c>
      <c r="B4" s="60"/>
      <c r="C4" s="60"/>
      <c r="D4" s="60"/>
      <c r="E4" s="60"/>
      <c r="F4" s="60"/>
      <c r="G4" s="60"/>
    </row>
    <row r="5" spans="1:7" x14ac:dyDescent="0.25">
      <c r="C5" s="52"/>
    </row>
    <row r="6" spans="1:7" x14ac:dyDescent="0.25">
      <c r="C6" s="34"/>
      <c r="D6" t="s">
        <v>118</v>
      </c>
      <c r="E6" t="s">
        <v>119</v>
      </c>
      <c r="F6" t="s">
        <v>120</v>
      </c>
    </row>
    <row r="7" spans="1:7" x14ac:dyDescent="0.25">
      <c r="C7" s="1" t="s">
        <v>17</v>
      </c>
      <c r="D7" s="1" t="s">
        <v>25</v>
      </c>
      <c r="E7" s="1" t="s">
        <v>26</v>
      </c>
      <c r="F7" s="1" t="s">
        <v>27</v>
      </c>
    </row>
    <row r="8" spans="1:7" x14ac:dyDescent="0.25">
      <c r="B8" t="s">
        <v>14</v>
      </c>
      <c r="C8" s="5">
        <f>'[1]Exhibit No._(CTM-2), Unit Cost'!$E$18</f>
        <v>1055321057.1787136</v>
      </c>
      <c r="D8" s="6">
        <f>C8*1.02</f>
        <v>1076427478.3222878</v>
      </c>
      <c r="E8" s="6">
        <f>C8</f>
        <v>1055321057.1787136</v>
      </c>
      <c r="F8" s="6">
        <f>C8*1.02</f>
        <v>1076427478.3222878</v>
      </c>
    </row>
    <row r="9" spans="1:7" x14ac:dyDescent="0.25">
      <c r="B9" t="s">
        <v>15</v>
      </c>
      <c r="C9" s="5">
        <f>'[1]Exhibit No._(CTM-2), Unit Cost'!$E$45</f>
        <v>933327814.03723526</v>
      </c>
      <c r="D9" s="6">
        <f t="shared" ref="D9:D10" si="0">C9*1.02</f>
        <v>951994370.31797993</v>
      </c>
      <c r="E9" s="6">
        <f>C9*1.02</f>
        <v>951994370.31797993</v>
      </c>
      <c r="F9" s="6">
        <f>C9</f>
        <v>933327814.03723526</v>
      </c>
    </row>
    <row r="10" spans="1:7" x14ac:dyDescent="0.25">
      <c r="B10" t="s">
        <v>18</v>
      </c>
      <c r="C10" s="5">
        <f>'[1]Exhibit No._(CTM-2), Unit Cost'!$E$49</f>
        <v>1658305524.462157</v>
      </c>
      <c r="D10" s="6">
        <f t="shared" si="0"/>
        <v>1691471634.9514003</v>
      </c>
      <c r="E10" s="6">
        <f>C10</f>
        <v>1658305524.462157</v>
      </c>
      <c r="F10" s="6">
        <f>C10</f>
        <v>1658305524.462157</v>
      </c>
    </row>
    <row r="11" spans="1:7" x14ac:dyDescent="0.25">
      <c r="B11" t="s">
        <v>16</v>
      </c>
      <c r="C11" s="4">
        <f>(C8-C9)/C10</f>
        <v>7.3564998332285428E-2</v>
      </c>
      <c r="D11" s="4">
        <f>(D8-D9)/D10</f>
        <v>7.3564998332285428E-2</v>
      </c>
      <c r="E11" s="4">
        <f>(E8-E9)/E10</f>
        <v>6.2308594729096056E-2</v>
      </c>
      <c r="F11" s="4">
        <f>(F8-F9)/F10</f>
        <v>8.6292701902120517E-2</v>
      </c>
    </row>
    <row r="12" spans="1:7" x14ac:dyDescent="0.25">
      <c r="B12" t="s">
        <v>131</v>
      </c>
      <c r="C12" s="4">
        <v>2.5000000000000001E-3</v>
      </c>
      <c r="D12" s="4"/>
    </row>
    <row r="13" spans="1:7" x14ac:dyDescent="0.25">
      <c r="B13" t="s">
        <v>19</v>
      </c>
      <c r="C13" s="4">
        <f>C11+$C$12</f>
        <v>7.606499833228543E-2</v>
      </c>
      <c r="D13" s="7"/>
    </row>
    <row r="14" spans="1:7" x14ac:dyDescent="0.25">
      <c r="C14" s="4"/>
      <c r="D14" s="7"/>
    </row>
    <row r="15" spans="1:7" x14ac:dyDescent="0.25">
      <c r="B15" t="s">
        <v>67</v>
      </c>
      <c r="F15" s="7"/>
      <c r="G15" s="5">
        <f>Deferral!F10</f>
        <v>-4580806.8318269355</v>
      </c>
    </row>
    <row r="17" spans="2:7" x14ac:dyDescent="0.25">
      <c r="B17" t="s">
        <v>66</v>
      </c>
      <c r="D17" s="35">
        <f>IF(D11&lt;$C$13,0,D11-$C$13)</f>
        <v>0</v>
      </c>
      <c r="E17" s="35">
        <f>IF(E11&lt;$C$13,0,E11-$C$13)</f>
        <v>0</v>
      </c>
      <c r="F17" s="35">
        <f>IF(F11&lt;$C$13,0,F11-$C$13)</f>
        <v>1.0227703569835087E-2</v>
      </c>
    </row>
    <row r="18" spans="2:7" x14ac:dyDescent="0.25">
      <c r="B18" t="s">
        <v>69</v>
      </c>
      <c r="D18" s="5">
        <f>D17*D10</f>
        <v>0</v>
      </c>
      <c r="E18" s="5">
        <f>E17*E10</f>
        <v>0</v>
      </c>
      <c r="F18" s="5">
        <f>F17*C10</f>
        <v>16960657.332418848</v>
      </c>
      <c r="G18" s="6">
        <f>-F18</f>
        <v>-16960657.332418848</v>
      </c>
    </row>
    <row r="19" spans="2:7" x14ac:dyDescent="0.25">
      <c r="D19" s="3"/>
      <c r="E19" s="3"/>
      <c r="F19" s="3"/>
    </row>
    <row r="20" spans="2:7" x14ac:dyDescent="0.25">
      <c r="B20" t="s">
        <v>123</v>
      </c>
      <c r="D20" s="3"/>
      <c r="E20" s="3"/>
      <c r="F20" s="3"/>
      <c r="G20" s="6">
        <f>IF(G15&lt;G18,0,G18-G15)</f>
        <v>-12379850.500591911</v>
      </c>
    </row>
  </sheetData>
  <mergeCells count="2">
    <mergeCell ref="A2:G2"/>
    <mergeCell ref="A4:G4"/>
  </mergeCells>
  <phoneticPr fontId="4" type="noConversion"/>
  <pageMargins left="0.7" right="0.7" top="1" bottom="0.75" header="0.3" footer="0.3"/>
  <pageSetup orientation="landscape" r:id="rId1"/>
  <headerFooter>
    <oddHeader>&amp;C&amp;14
&amp;"-,Bold"Workpapers&amp;R&amp;10Docket Numbers UE-111048 and UG-111049
Appendix 1
Gas - Page 2a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"/>
  <sheetViews>
    <sheetView topLeftCell="A15" zoomScaleNormal="100" workbookViewId="0">
      <selection activeCell="H28" sqref="H28"/>
    </sheetView>
  </sheetViews>
  <sheetFormatPr defaultRowHeight="15" x14ac:dyDescent="0.25"/>
  <cols>
    <col min="1" max="1" width="20.5703125" bestFit="1" customWidth="1"/>
    <col min="2" max="2" width="17.85546875" customWidth="1"/>
    <col min="3" max="5" width="15.28515625" bestFit="1" customWidth="1"/>
  </cols>
  <sheetData>
    <row r="2" spans="1:5" ht="18.75" x14ac:dyDescent="0.3">
      <c r="A2" s="60" t="s">
        <v>134</v>
      </c>
      <c r="B2" s="60"/>
      <c r="C2" s="60"/>
      <c r="D2" s="60"/>
      <c r="E2" s="60"/>
    </row>
    <row r="4" spans="1:5" ht="18.75" x14ac:dyDescent="0.3">
      <c r="A4" s="60" t="s">
        <v>70</v>
      </c>
      <c r="B4" s="60"/>
      <c r="C4" s="60"/>
      <c r="D4" s="60"/>
      <c r="E4" s="60"/>
    </row>
    <row r="6" spans="1:5" x14ac:dyDescent="0.25">
      <c r="A6" s="61" t="s">
        <v>22</v>
      </c>
      <c r="B6" s="61"/>
      <c r="C6" s="61"/>
      <c r="D6" s="61"/>
      <c r="E6" s="61"/>
    </row>
    <row r="7" spans="1:5" x14ac:dyDescent="0.25">
      <c r="B7" t="s">
        <v>64</v>
      </c>
      <c r="C7" t="s">
        <v>25</v>
      </c>
      <c r="D7" t="s">
        <v>26</v>
      </c>
      <c r="E7" t="s">
        <v>27</v>
      </c>
    </row>
    <row r="8" spans="1:5" x14ac:dyDescent="0.25">
      <c r="B8" s="8">
        <f>'[2]2011 Gas Consv'!$F$17+'[2]2011 Gas Consv'!$F$29</f>
        <v>4790000</v>
      </c>
      <c r="C8" s="8">
        <f>B8*0.9</f>
        <v>4311000</v>
      </c>
      <c r="D8" s="8">
        <f>'[2]2010 Gas Consv'!$Q$40</f>
        <v>4982058.04</v>
      </c>
      <c r="E8" s="8">
        <f>B8*1.3</f>
        <v>6227000</v>
      </c>
    </row>
    <row r="9" spans="1:5" x14ac:dyDescent="0.25">
      <c r="A9" t="s">
        <v>21</v>
      </c>
      <c r="B9" s="3"/>
      <c r="C9" s="3">
        <f>((C8-$B$8)/$B$8)+100%</f>
        <v>0.9</v>
      </c>
      <c r="D9" s="3">
        <f>((D8-$B$8)/$B$8)+100%</f>
        <v>1.0400956242171191</v>
      </c>
      <c r="E9" s="3">
        <f>((E8-$B$8)/$B$8)+100%</f>
        <v>1.3</v>
      </c>
    </row>
    <row r="10" spans="1:5" x14ac:dyDescent="0.25">
      <c r="A10" t="s">
        <v>24</v>
      </c>
      <c r="B10" s="3"/>
      <c r="C10" s="3">
        <f>IF(C9&gt;120%, 120%, C9)</f>
        <v>0.9</v>
      </c>
      <c r="D10" s="3">
        <f>IF(D9&gt;120%, 120%, D9)</f>
        <v>1.0400956242171191</v>
      </c>
      <c r="E10" s="3">
        <f>IF(E9&gt;120%, 120%, E9)</f>
        <v>1.2</v>
      </c>
    </row>
    <row r="11" spans="1:5" x14ac:dyDescent="0.25">
      <c r="A11" t="s">
        <v>20</v>
      </c>
      <c r="B11" s="5">
        <f>IF(Deferral!F10&gt;0, Deferral!F10, 0)</f>
        <v>0</v>
      </c>
    </row>
    <row r="12" spans="1:5" x14ac:dyDescent="0.25">
      <c r="A12" t="s">
        <v>121</v>
      </c>
      <c r="C12" s="38">
        <f>$B$11*C10-$B$11</f>
        <v>0</v>
      </c>
      <c r="D12" s="38">
        <f t="shared" ref="D12:E12" si="0">$B$11*D10-$B$11</f>
        <v>0</v>
      </c>
      <c r="E12" s="38">
        <f t="shared" si="0"/>
        <v>0</v>
      </c>
    </row>
    <row r="16" spans="1:5" x14ac:dyDescent="0.25">
      <c r="A16" s="61" t="s">
        <v>23</v>
      </c>
      <c r="B16" s="61"/>
      <c r="C16" s="61"/>
      <c r="D16" s="61"/>
      <c r="E16" s="61"/>
    </row>
    <row r="17" spans="1:6" x14ac:dyDescent="0.25">
      <c r="B17" t="s">
        <v>64</v>
      </c>
      <c r="C17" t="s">
        <v>25</v>
      </c>
      <c r="D17" t="s">
        <v>26</v>
      </c>
      <c r="E17" t="s">
        <v>27</v>
      </c>
    </row>
    <row r="18" spans="1:6" x14ac:dyDescent="0.25">
      <c r="B18" s="8">
        <f>B8</f>
        <v>4790000</v>
      </c>
      <c r="C18" s="8">
        <f>C8</f>
        <v>4311000</v>
      </c>
      <c r="D18" s="8">
        <f>D8</f>
        <v>4982058.04</v>
      </c>
      <c r="E18" s="8">
        <f>E8</f>
        <v>6227000</v>
      </c>
    </row>
    <row r="19" spans="1:6" x14ac:dyDescent="0.25">
      <c r="A19" t="s">
        <v>21</v>
      </c>
      <c r="B19" s="3"/>
      <c r="C19" s="3">
        <f>((C18-$B$8)/$B$8)+100%</f>
        <v>0.9</v>
      </c>
      <c r="D19" s="3">
        <f>((D18-$B$8)/$B$8)+100%</f>
        <v>1.0400956242171191</v>
      </c>
      <c r="E19" s="3">
        <f>((E18-$B$8)/$B$8)+100%</f>
        <v>1.3</v>
      </c>
    </row>
    <row r="20" spans="1:6" x14ac:dyDescent="0.25">
      <c r="A20" t="s">
        <v>24</v>
      </c>
      <c r="B20" s="3"/>
      <c r="C20" s="3">
        <f>IF(C19&gt;120%, 1/120%, 1/C19)</f>
        <v>1.1111111111111112</v>
      </c>
      <c r="D20" s="3">
        <f>IF(D19&gt;120%, 1/120%, 1/D19)</f>
        <v>0.96145005970263642</v>
      </c>
      <c r="E20" s="3">
        <f>IF(E19&gt;120%, 1/120%, 1/E19)</f>
        <v>0.83333333333333337</v>
      </c>
      <c r="F20" s="3"/>
    </row>
    <row r="21" spans="1:6" x14ac:dyDescent="0.25">
      <c r="A21" t="s">
        <v>20</v>
      </c>
      <c r="B21" s="5">
        <f>IF(Deferral!F10&lt;0, Deferral!F10, 0)</f>
        <v>-4580806.8318269355</v>
      </c>
    </row>
    <row r="22" spans="1:6" x14ac:dyDescent="0.25">
      <c r="A22" t="s">
        <v>122</v>
      </c>
      <c r="C22" s="38">
        <f>$B$21*C20-$B$21</f>
        <v>-508978.53686966002</v>
      </c>
      <c r="D22" s="38">
        <f t="shared" ref="D22:E22" si="1">$B$21*D20-$B$21</f>
        <v>176589.82988068368</v>
      </c>
      <c r="E22" s="38">
        <f t="shared" si="1"/>
        <v>763467.8053044891</v>
      </c>
    </row>
    <row r="24" spans="1:6" x14ac:dyDescent="0.25">
      <c r="C24" s="7"/>
    </row>
    <row r="26" spans="1:6" x14ac:dyDescent="0.25">
      <c r="A26" t="s">
        <v>83</v>
      </c>
    </row>
    <row r="27" spans="1:6" x14ac:dyDescent="0.25">
      <c r="A27" t="s">
        <v>84</v>
      </c>
    </row>
  </sheetData>
  <mergeCells count="4">
    <mergeCell ref="A6:E6"/>
    <mergeCell ref="A16:E16"/>
    <mergeCell ref="A2:E2"/>
    <mergeCell ref="A4:E4"/>
  </mergeCells>
  <phoneticPr fontId="4" type="noConversion"/>
  <pageMargins left="0.7" right="0.7" top="1" bottom="0.75" header="0.3" footer="0.3"/>
  <pageSetup orientation="portrait" r:id="rId1"/>
  <headerFooter>
    <oddHeader>&amp;C&amp;"-,Bold"&amp;14
Workpapers&amp;R&amp;10Docket Numbers UE-111048 and UG-111049
Appendix 1
Gas - Page 2b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view="pageLayout" topLeftCell="C1" zoomScaleNormal="100" workbookViewId="0">
      <selection activeCell="G33" sqref="G33:G36"/>
    </sheetView>
  </sheetViews>
  <sheetFormatPr defaultColWidth="8.85546875" defaultRowHeight="12.75" x14ac:dyDescent="0.2"/>
  <cols>
    <col min="1" max="1" width="8.5703125" style="11" customWidth="1"/>
    <col min="2" max="2" width="32.7109375" style="11" customWidth="1"/>
    <col min="3" max="3" width="13.85546875" style="11" bestFit="1" customWidth="1"/>
    <col min="4" max="4" width="16.28515625" style="11" bestFit="1" customWidth="1"/>
    <col min="5" max="5" width="14.7109375" style="11" bestFit="1" customWidth="1"/>
    <col min="6" max="6" width="13.85546875" style="11" bestFit="1" customWidth="1"/>
    <col min="7" max="7" width="16.28515625" style="11" customWidth="1"/>
    <col min="8" max="16384" width="8.85546875" style="11"/>
  </cols>
  <sheetData>
    <row r="2" spans="1:7" ht="18.75" x14ac:dyDescent="0.3">
      <c r="A2" s="60" t="s">
        <v>134</v>
      </c>
      <c r="B2" s="60"/>
      <c r="C2" s="60"/>
      <c r="D2" s="60"/>
      <c r="E2" s="60"/>
      <c r="F2" s="60"/>
      <c r="G2" s="60"/>
    </row>
    <row r="5" spans="1:7" ht="18" x14ac:dyDescent="0.25">
      <c r="A5" s="62" t="s">
        <v>137</v>
      </c>
      <c r="B5" s="62"/>
      <c r="C5" s="62"/>
      <c r="D5" s="62"/>
      <c r="E5" s="62"/>
      <c r="F5" s="62"/>
      <c r="G5" s="62"/>
    </row>
    <row r="6" spans="1:7" x14ac:dyDescent="0.2">
      <c r="A6" s="10"/>
      <c r="B6" s="10"/>
      <c r="C6" s="10"/>
      <c r="D6" s="10"/>
      <c r="E6" s="10"/>
      <c r="F6" s="10"/>
    </row>
    <row r="7" spans="1:7" ht="38.25" x14ac:dyDescent="0.2">
      <c r="A7" s="12" t="s">
        <v>29</v>
      </c>
      <c r="B7" s="13"/>
      <c r="C7" s="12" t="s">
        <v>30</v>
      </c>
      <c r="D7" s="12" t="s">
        <v>86</v>
      </c>
      <c r="E7" s="14" t="s">
        <v>87</v>
      </c>
      <c r="F7" s="14" t="s">
        <v>88</v>
      </c>
      <c r="G7" s="12" t="s">
        <v>46</v>
      </c>
    </row>
    <row r="8" spans="1:7" x14ac:dyDescent="0.2">
      <c r="B8" s="15" t="s">
        <v>31</v>
      </c>
      <c r="C8" s="15" t="s">
        <v>32</v>
      </c>
      <c r="D8" s="15" t="s">
        <v>33</v>
      </c>
      <c r="E8" s="15" t="s">
        <v>34</v>
      </c>
      <c r="F8" s="15" t="s">
        <v>35</v>
      </c>
    </row>
    <row r="9" spans="1:7" x14ac:dyDescent="0.2">
      <c r="A9" s="15">
        <v>1</v>
      </c>
      <c r="B9" s="16" t="s">
        <v>89</v>
      </c>
      <c r="C9" s="15"/>
      <c r="D9" s="15"/>
      <c r="E9" s="15"/>
      <c r="F9" s="15"/>
    </row>
    <row r="10" spans="1:7" x14ac:dyDescent="0.2">
      <c r="A10" s="15">
        <f>A9+1</f>
        <v>2</v>
      </c>
      <c r="B10" s="11" t="s">
        <v>90</v>
      </c>
      <c r="C10" s="15" t="s">
        <v>85</v>
      </c>
      <c r="D10" s="17">
        <f>'[2]Rate Design Res-101644'!I14+'[2]Rate Design Res-101644'!I26</f>
        <v>288601990.72999996</v>
      </c>
      <c r="E10" s="17">
        <f>'[2]Rate Design C&amp;I-101644'!I14+'[2]Rate Design C&amp;I-101644'!I60</f>
        <v>102186800.86</v>
      </c>
      <c r="F10" s="17">
        <f>'[2]Rate Design Int &amp; Trans-101644'!I21+'[2]Rate Design Int &amp; Trans-101644'!I81+'[2]Rate Design Int &amp; Trans-101644'!I142</f>
        <v>6603290.5099999998</v>
      </c>
      <c r="G10" s="19">
        <f>SUM(D10:F10)</f>
        <v>397392082.09999996</v>
      </c>
    </row>
    <row r="11" spans="1:7" x14ac:dyDescent="0.2">
      <c r="A11" s="15">
        <f t="shared" ref="A11:A12" si="0">A10+1</f>
        <v>3</v>
      </c>
      <c r="B11" s="11" t="s">
        <v>91</v>
      </c>
      <c r="C11" s="15" t="s">
        <v>85</v>
      </c>
      <c r="D11" s="18">
        <f>('[2]Rate Design Res-101644'!I12+'[2]Rate Design Res-101644'!I24)</f>
        <v>84101780</v>
      </c>
      <c r="E11" s="18">
        <f>'[2]Rate Design C&amp;I-101644'!I12+('[2]Rate Design C&amp;I-101644'!I52+'[2]Rate Design C&amp;I-101644'!I53)</f>
        <v>27262673.18</v>
      </c>
      <c r="F11" s="18">
        <f>('[2]Rate Design Int &amp; Trans-101644'!I12+'[2]Rate Design Int &amp; Trans-101644'!I15)+('[2]Rate Design Int &amp; Trans-101644'!I73+'[2]Rate Design Int &amp; Trans-101644'!I76)+('[2]Rate Design Int &amp; Trans-101644'!I130+'[2]Rate Design Int &amp; Trans-101644'!I133)</f>
        <v>976186.60000000009</v>
      </c>
      <c r="G11" s="19">
        <f t="shared" ref="G11:G16" si="1">SUM(D11:F11)</f>
        <v>112340639.78</v>
      </c>
    </row>
    <row r="12" spans="1:7" x14ac:dyDescent="0.2">
      <c r="A12" s="15">
        <f t="shared" si="0"/>
        <v>4</v>
      </c>
      <c r="B12" s="11" t="s">
        <v>128</v>
      </c>
      <c r="C12" s="15" t="s">
        <v>92</v>
      </c>
      <c r="D12" s="19">
        <f>D10-D11</f>
        <v>204500210.72999996</v>
      </c>
      <c r="E12" s="19">
        <f t="shared" ref="E12:F12" si="2">E10-E11</f>
        <v>74924127.680000007</v>
      </c>
      <c r="F12" s="19">
        <f t="shared" si="2"/>
        <v>5627103.9100000001</v>
      </c>
      <c r="G12" s="19">
        <f t="shared" si="1"/>
        <v>285051442.31999999</v>
      </c>
    </row>
    <row r="13" spans="1:7" x14ac:dyDescent="0.2">
      <c r="A13" s="15">
        <f t="shared" ref="A13:A15" si="3">A12+1</f>
        <v>5</v>
      </c>
      <c r="C13" s="15"/>
      <c r="G13" s="27"/>
    </row>
    <row r="14" spans="1:7" x14ac:dyDescent="0.2">
      <c r="A14" s="15">
        <f t="shared" si="3"/>
        <v>6</v>
      </c>
      <c r="B14" s="11" t="s">
        <v>125</v>
      </c>
      <c r="C14" s="15" t="s">
        <v>85</v>
      </c>
      <c r="D14" s="20">
        <f>'[2]Rate Design Res-101644'!D13+'[2]Rate Design Res-101644'!D25</f>
        <v>547201677</v>
      </c>
      <c r="E14" s="20">
        <f>'[2]Rate Design C&amp;I-101644'!D13+'[2]Rate Design C&amp;I-101644'!D60</f>
        <v>272517298</v>
      </c>
      <c r="F14" s="20">
        <f>'[2]Rate Design Int &amp; Trans-101644'!D21+'[2]Rate Design Int &amp; Trans-101644'!D81+'[2]Rate Design Int &amp; Trans-101644'!D142</f>
        <v>60562884</v>
      </c>
      <c r="G14" s="27">
        <f t="shared" si="1"/>
        <v>880281859</v>
      </c>
    </row>
    <row r="15" spans="1:7" x14ac:dyDescent="0.2">
      <c r="A15" s="15">
        <f t="shared" si="3"/>
        <v>7</v>
      </c>
      <c r="C15" s="15"/>
      <c r="G15" s="27"/>
    </row>
    <row r="16" spans="1:7" x14ac:dyDescent="0.2">
      <c r="A16" s="15">
        <v>9</v>
      </c>
      <c r="B16" s="11" t="s">
        <v>126</v>
      </c>
      <c r="C16" s="15" t="s">
        <v>85</v>
      </c>
      <c r="D16" s="27">
        <f>'[2]Rate Design Res-101644'!$D$12+'[2]Rate Design Res-101644'!$D$24</f>
        <v>8410178</v>
      </c>
      <c r="E16" s="27">
        <f>'[2]Rate Design C&amp;I-101644'!$D$12+'[2]Rate Design C&amp;I-101644'!$D$52</f>
        <v>683662.00009999995</v>
      </c>
      <c r="F16" s="27">
        <f>'[2]Rate Design Int &amp; Trans-101644'!$D$12+'[2]Rate Design Int &amp; Trans-101644'!$D$73+'[2]Rate Design Int &amp; Trans-101644'!$D$130</f>
        <v>4664.9998999999998</v>
      </c>
      <c r="G16" s="27">
        <f t="shared" si="1"/>
        <v>9098505</v>
      </c>
    </row>
    <row r="17" spans="1:7" x14ac:dyDescent="0.2">
      <c r="A17" s="15">
        <v>10</v>
      </c>
      <c r="C17" s="15"/>
    </row>
    <row r="18" spans="1:7" x14ac:dyDescent="0.2">
      <c r="A18" s="15">
        <v>11</v>
      </c>
      <c r="B18" s="11" t="s">
        <v>127</v>
      </c>
      <c r="C18" s="15" t="s">
        <v>40</v>
      </c>
      <c r="D18" s="27">
        <f>D14/D16</f>
        <v>65.064220638374124</v>
      </c>
      <c r="E18" s="27">
        <f t="shared" ref="E18:G18" si="4">E14/E16</f>
        <v>398.61407824354524</v>
      </c>
      <c r="F18" s="27">
        <f t="shared" si="4"/>
        <v>12982.397705946361</v>
      </c>
      <c r="G18" s="27">
        <f t="shared" si="4"/>
        <v>96.750164889726392</v>
      </c>
    </row>
    <row r="19" spans="1:7" x14ac:dyDescent="0.2">
      <c r="A19" s="15">
        <v>12</v>
      </c>
      <c r="C19" s="15"/>
    </row>
    <row r="20" spans="1:7" x14ac:dyDescent="0.2">
      <c r="A20" s="15">
        <v>13</v>
      </c>
      <c r="B20" s="11" t="s">
        <v>129</v>
      </c>
      <c r="C20" s="15" t="s">
        <v>93</v>
      </c>
      <c r="D20" s="21">
        <f>ROUND(D12/D14,4)</f>
        <v>0.37369999999999998</v>
      </c>
      <c r="E20" s="21">
        <f>ROUND(E12/E14,4)</f>
        <v>0.27489999999999998</v>
      </c>
      <c r="F20" s="21">
        <f>ROUND(F12/F14,4)</f>
        <v>9.2899999999999996E-2</v>
      </c>
      <c r="G20" s="21">
        <f>ROUND(G12/G14,4)</f>
        <v>0.32379999999999998</v>
      </c>
    </row>
    <row r="21" spans="1:7" x14ac:dyDescent="0.2">
      <c r="A21" s="15">
        <v>14</v>
      </c>
      <c r="C21" s="15"/>
      <c r="D21" s="21"/>
      <c r="E21" s="21"/>
      <c r="F21" s="21"/>
    </row>
    <row r="22" spans="1:7" x14ac:dyDescent="0.2">
      <c r="A22" s="15">
        <v>15</v>
      </c>
      <c r="B22" s="11" t="s">
        <v>130</v>
      </c>
      <c r="C22" s="15" t="s">
        <v>41</v>
      </c>
      <c r="D22" s="29">
        <f>D18*D20</f>
        <v>24.31449925256041</v>
      </c>
      <c r="E22" s="29">
        <f>E18*E20</f>
        <v>109.57901010915057</v>
      </c>
      <c r="F22" s="29">
        <f>F18*F20</f>
        <v>1206.064746882417</v>
      </c>
      <c r="G22" s="29">
        <f>G18*G20</f>
        <v>31.327703391293404</v>
      </c>
    </row>
    <row r="24" spans="1:7" x14ac:dyDescent="0.2">
      <c r="A24" s="11" t="s">
        <v>94</v>
      </c>
    </row>
    <row r="26" spans="1:7" x14ac:dyDescent="0.2">
      <c r="A26" s="11" t="s">
        <v>95</v>
      </c>
    </row>
  </sheetData>
  <mergeCells count="2">
    <mergeCell ref="A2:G2"/>
    <mergeCell ref="A5:G5"/>
  </mergeCells>
  <pageMargins left="0.7" right="0.7" top="1" bottom="0.75" header="0.3" footer="0.3"/>
  <pageSetup orientation="landscape" r:id="rId1"/>
  <headerFooter>
    <oddHeader>&amp;C&amp;"-,Bold"&amp;14
Workpapers&amp;R&amp;10Docket Numbers UE-111048 and UG-111049
Appendix 1
Gas - Page 2c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57"/>
  <sheetViews>
    <sheetView view="pageLayout" topLeftCell="L1" zoomScaleNormal="100" workbookViewId="0">
      <selection activeCell="V5" sqref="V5"/>
    </sheetView>
  </sheetViews>
  <sheetFormatPr defaultRowHeight="15" x14ac:dyDescent="0.25"/>
  <cols>
    <col min="1" max="1" width="5" bestFit="1" customWidth="1"/>
    <col min="2" max="2" width="8.28515625" bestFit="1" customWidth="1"/>
    <col min="3" max="3" width="14" customWidth="1"/>
    <col min="4" max="4" width="13.28515625" bestFit="1" customWidth="1"/>
    <col min="5" max="5" width="13.28515625" customWidth="1"/>
    <col min="6" max="6" width="15.140625" bestFit="1" customWidth="1"/>
    <col min="7" max="7" width="14" bestFit="1" customWidth="1"/>
    <col min="8" max="8" width="14" customWidth="1"/>
    <col min="9" max="9" width="1.85546875" customWidth="1"/>
    <col min="10" max="10" width="13.28515625" bestFit="1" customWidth="1"/>
    <col min="11" max="11" width="13.7109375" bestFit="1" customWidth="1"/>
    <col min="12" max="12" width="12.28515625" bestFit="1" customWidth="1"/>
    <col min="13" max="13" width="15.140625" bestFit="1" customWidth="1"/>
    <col min="14" max="14" width="13.42578125" bestFit="1" customWidth="1"/>
    <col min="15" max="15" width="12.85546875" bestFit="1" customWidth="1"/>
    <col min="16" max="16" width="2.28515625" customWidth="1"/>
    <col min="17" max="17" width="13.28515625" bestFit="1" customWidth="1"/>
    <col min="18" max="18" width="10.42578125" bestFit="1" customWidth="1"/>
    <col min="19" max="19" width="11.28515625" bestFit="1" customWidth="1"/>
    <col min="20" max="20" width="11" bestFit="1" customWidth="1"/>
    <col min="21" max="21" width="12.28515625" customWidth="1"/>
    <col min="22" max="22" width="12.140625" customWidth="1"/>
  </cols>
  <sheetData>
    <row r="2" spans="1:22" ht="28.5" x14ac:dyDescent="0.4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</row>
    <row r="3" spans="1:22" ht="28.5" x14ac:dyDescent="0.45">
      <c r="A3" s="67" t="s">
        <v>134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</row>
    <row r="4" spans="1:22" ht="28.5" x14ac:dyDescent="0.4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</row>
    <row r="5" spans="1:22" ht="28.5" x14ac:dyDescent="0.4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</row>
    <row r="6" spans="1:22" ht="18.75" x14ac:dyDescent="0.3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</row>
    <row r="7" spans="1:22" ht="28.5" x14ac:dyDescent="0.45">
      <c r="A7" s="67" t="s">
        <v>28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</row>
    <row r="8" spans="1:22" ht="15.75" thickBot="1" x14ac:dyDescent="0.3"/>
    <row r="9" spans="1:22" x14ac:dyDescent="0.25">
      <c r="D9" s="64" t="s">
        <v>78</v>
      </c>
      <c r="E9" s="65"/>
      <c r="F9" s="66"/>
    </row>
    <row r="10" spans="1:22" x14ac:dyDescent="0.25">
      <c r="D10" s="39" t="s">
        <v>63</v>
      </c>
      <c r="E10" s="40"/>
      <c r="F10" s="41">
        <f>H30+O30+V30</f>
        <v>-4580806.8318269355</v>
      </c>
    </row>
    <row r="11" spans="1:22" ht="15.75" thickBot="1" x14ac:dyDescent="0.3">
      <c r="D11" s="42" t="s">
        <v>65</v>
      </c>
      <c r="E11" s="43"/>
      <c r="F11" s="44">
        <f>H53</f>
        <v>-16249429.421645666</v>
      </c>
    </row>
    <row r="13" spans="1:22" x14ac:dyDescent="0.25">
      <c r="A13" s="22"/>
      <c r="B13" s="22"/>
      <c r="C13" s="63" t="s">
        <v>111</v>
      </c>
      <c r="D13" s="63"/>
      <c r="E13" s="63"/>
      <c r="F13" s="63"/>
      <c r="G13" s="63"/>
      <c r="H13" s="63"/>
      <c r="I13" s="23"/>
      <c r="J13" s="63" t="s">
        <v>112</v>
      </c>
      <c r="K13" s="63"/>
      <c r="L13" s="63"/>
      <c r="M13" s="63"/>
      <c r="N13" s="63"/>
      <c r="O13" s="63"/>
      <c r="P13" s="22"/>
      <c r="Q13" s="63" t="s">
        <v>113</v>
      </c>
      <c r="R13" s="63"/>
      <c r="S13" s="63"/>
      <c r="T13" s="63"/>
      <c r="U13" s="63"/>
      <c r="V13" s="63"/>
    </row>
    <row r="14" spans="1:22" x14ac:dyDescent="0.25">
      <c r="A14" s="22"/>
      <c r="B14" s="22"/>
      <c r="C14" s="24" t="s">
        <v>42</v>
      </c>
      <c r="D14" s="24" t="s">
        <v>13</v>
      </c>
      <c r="E14" s="24" t="s">
        <v>45</v>
      </c>
      <c r="F14" s="24" t="s">
        <v>13</v>
      </c>
      <c r="G14" s="24" t="s">
        <v>53</v>
      </c>
      <c r="H14" s="24" t="s">
        <v>28</v>
      </c>
      <c r="I14" s="24"/>
      <c r="J14" s="24" t="s">
        <v>45</v>
      </c>
      <c r="K14" s="24" t="s">
        <v>13</v>
      </c>
      <c r="L14" s="24" t="s">
        <v>45</v>
      </c>
      <c r="M14" s="24" t="s">
        <v>13</v>
      </c>
      <c r="N14" s="24" t="s">
        <v>53</v>
      </c>
      <c r="O14" s="24" t="s">
        <v>28</v>
      </c>
      <c r="P14" s="22"/>
      <c r="Q14" s="24" t="s">
        <v>45</v>
      </c>
      <c r="R14" s="24" t="s">
        <v>13</v>
      </c>
      <c r="S14" s="24" t="s">
        <v>45</v>
      </c>
      <c r="T14" s="24" t="s">
        <v>13</v>
      </c>
      <c r="U14" s="24" t="s">
        <v>53</v>
      </c>
      <c r="V14" s="24" t="s">
        <v>28</v>
      </c>
    </row>
    <row r="15" spans="1:22" x14ac:dyDescent="0.25">
      <c r="A15" s="24" t="s">
        <v>36</v>
      </c>
      <c r="B15" s="22"/>
      <c r="C15" s="24" t="s">
        <v>14</v>
      </c>
      <c r="D15" s="24" t="s">
        <v>56</v>
      </c>
      <c r="E15" s="24" t="s">
        <v>14</v>
      </c>
      <c r="F15" s="24" t="s">
        <v>57</v>
      </c>
      <c r="G15" s="24" t="s">
        <v>14</v>
      </c>
      <c r="H15" s="24"/>
      <c r="I15" s="24"/>
      <c r="J15" s="24" t="s">
        <v>14</v>
      </c>
      <c r="K15" s="24" t="s">
        <v>0</v>
      </c>
      <c r="L15" s="24" t="s">
        <v>14</v>
      </c>
      <c r="M15" s="24" t="s">
        <v>39</v>
      </c>
      <c r="N15" s="24" t="s">
        <v>14</v>
      </c>
      <c r="O15" s="24"/>
      <c r="P15" s="22"/>
      <c r="Q15" s="24" t="s">
        <v>14</v>
      </c>
      <c r="R15" s="24" t="s">
        <v>0</v>
      </c>
      <c r="S15" s="24" t="s">
        <v>14</v>
      </c>
      <c r="T15" s="24" t="s">
        <v>39</v>
      </c>
      <c r="U15" s="24" t="s">
        <v>14</v>
      </c>
      <c r="V15" s="24"/>
    </row>
    <row r="16" spans="1:22" ht="15.75" thickBot="1" x14ac:dyDescent="0.3">
      <c r="A16" s="25" t="s">
        <v>37</v>
      </c>
      <c r="B16" s="25" t="s">
        <v>38</v>
      </c>
      <c r="C16" s="25" t="s">
        <v>43</v>
      </c>
      <c r="D16" s="25"/>
      <c r="E16" s="25"/>
      <c r="F16" s="25"/>
      <c r="G16" s="25"/>
      <c r="H16" s="25"/>
      <c r="I16" s="25"/>
      <c r="J16" s="25" t="s">
        <v>43</v>
      </c>
      <c r="K16" s="25"/>
      <c r="L16" s="25"/>
      <c r="M16" s="25"/>
      <c r="N16" s="25"/>
      <c r="O16" s="25"/>
      <c r="P16" s="25"/>
      <c r="Q16" s="25" t="s">
        <v>43</v>
      </c>
      <c r="R16" s="25"/>
      <c r="S16" s="25"/>
      <c r="T16" s="25"/>
      <c r="U16" s="25"/>
      <c r="V16" s="25"/>
    </row>
    <row r="17" spans="1:22" x14ac:dyDescent="0.25">
      <c r="A17" s="15"/>
      <c r="B17" s="15" t="s">
        <v>31</v>
      </c>
      <c r="C17" s="15" t="s">
        <v>32</v>
      </c>
      <c r="D17" s="15" t="s">
        <v>44</v>
      </c>
      <c r="E17" s="26" t="s">
        <v>60</v>
      </c>
      <c r="F17" s="26" t="s">
        <v>61</v>
      </c>
      <c r="G17" s="26" t="s">
        <v>116</v>
      </c>
      <c r="H17" s="26" t="s">
        <v>62</v>
      </c>
      <c r="I17" s="26"/>
      <c r="J17" s="15"/>
      <c r="K17" s="15"/>
      <c r="L17" s="26"/>
      <c r="M17" s="26"/>
      <c r="N17" s="26"/>
      <c r="O17" s="26"/>
      <c r="P17" s="11"/>
      <c r="Q17" s="15"/>
      <c r="R17" s="15"/>
      <c r="S17" s="26"/>
      <c r="T17" s="26"/>
      <c r="V17" s="26"/>
    </row>
    <row r="18" spans="1:22" x14ac:dyDescent="0.25">
      <c r="A18" s="15">
        <v>1</v>
      </c>
      <c r="B18" s="30">
        <v>40179</v>
      </c>
      <c r="C18" s="29">
        <f>Baselines!$D$22</f>
        <v>24.31449925256041</v>
      </c>
      <c r="D18" s="27">
        <f t="shared" ref="D18:D28" si="0">D$30/12</f>
        <v>703449.75</v>
      </c>
      <c r="E18" s="17">
        <f>D18*C18</f>
        <v>17104028.420588806</v>
      </c>
      <c r="F18" s="33">
        <f>F$30*'Load Shapes'!$D11</f>
        <v>84115540.305286214</v>
      </c>
      <c r="G18" s="17">
        <f>F18*Baselines!$D$20</f>
        <v>31433977.412085455</v>
      </c>
      <c r="H18" s="17">
        <f>E18-G18</f>
        <v>-14329948.991496649</v>
      </c>
      <c r="I18" s="28"/>
      <c r="J18" s="29">
        <f>Baselines!$E$22</f>
        <v>109.57901010915057</v>
      </c>
      <c r="K18" s="27">
        <f t="shared" ref="K18:K28" si="1">K$30/12</f>
        <v>56862.085833333338</v>
      </c>
      <c r="L18" s="17">
        <f>K18*J18</f>
        <v>6230891.0783582218</v>
      </c>
      <c r="M18" s="33">
        <f>M$30*'Load Shapes'!$D13</f>
        <v>34060212.679439545</v>
      </c>
      <c r="N18" s="17">
        <f>M18*Baselines!$E$20</f>
        <v>9363152.4655779302</v>
      </c>
      <c r="O18" s="17">
        <f>L18-N18</f>
        <v>-3132261.3872197084</v>
      </c>
      <c r="P18" s="11"/>
      <c r="Q18" s="29">
        <f>Baselines!$F$22</f>
        <v>1206.064746882417</v>
      </c>
      <c r="R18" s="27">
        <f t="shared" ref="R18:R28" si="2">R$30/12</f>
        <v>379.33333333333331</v>
      </c>
      <c r="S18" s="17">
        <f>R18*Q18</f>
        <v>457500.56065073016</v>
      </c>
      <c r="T18" s="33">
        <f>T$30*'Load Shapes'!$D15</f>
        <v>15010256.907477234</v>
      </c>
      <c r="U18" s="17">
        <f>T18*Baselines!$F$20</f>
        <v>1394452.8667046349</v>
      </c>
      <c r="V18" s="17">
        <f>S18-U18</f>
        <v>-936952.3060539047</v>
      </c>
    </row>
    <row r="19" spans="1:22" x14ac:dyDescent="0.25">
      <c r="A19" s="15">
        <v>2</v>
      </c>
      <c r="B19" s="30">
        <f t="shared" ref="B19:B29" si="3">EDATE(B18,1)</f>
        <v>40210</v>
      </c>
      <c r="C19" s="29">
        <f>Baselines!$D$22</f>
        <v>24.31449925256041</v>
      </c>
      <c r="D19" s="27">
        <f t="shared" si="0"/>
        <v>703449.75</v>
      </c>
      <c r="E19" s="17">
        <f t="shared" ref="E19:E29" si="4">D19*C19</f>
        <v>17104028.420588806</v>
      </c>
      <c r="F19" s="33">
        <f>F$30*'Load Shapes'!$E11</f>
        <v>69238694.443990514</v>
      </c>
      <c r="G19" s="17">
        <f>F19*Baselines!$D$20</f>
        <v>25874500.113719255</v>
      </c>
      <c r="H19" s="17">
        <f t="shared" ref="H19:H29" si="5">E19-G19</f>
        <v>-8770471.6931304485</v>
      </c>
      <c r="I19" s="28"/>
      <c r="J19" s="29">
        <f>Baselines!$E$22</f>
        <v>109.57901010915057</v>
      </c>
      <c r="K19" s="27">
        <f t="shared" si="1"/>
        <v>56862.085833333338</v>
      </c>
      <c r="L19" s="17">
        <f t="shared" ref="L19:L29" si="6">K19*J19</f>
        <v>6230891.0783582218</v>
      </c>
      <c r="M19" s="33">
        <f>M$30*'Load Shapes'!$E13</f>
        <v>27706178.656112622</v>
      </c>
      <c r="N19" s="17">
        <f>M19*Baselines!$E$20</f>
        <v>7616428.5125653595</v>
      </c>
      <c r="O19" s="17">
        <f t="shared" ref="O19:O29" si="7">L19-N19</f>
        <v>-1385537.4342071377</v>
      </c>
      <c r="P19" s="11"/>
      <c r="Q19" s="29">
        <f>Baselines!$F$22</f>
        <v>1206.064746882417</v>
      </c>
      <c r="R19" s="27">
        <f t="shared" si="2"/>
        <v>379.33333333333331</v>
      </c>
      <c r="S19" s="17">
        <f t="shared" ref="S19:S29" si="8">R19*Q19</f>
        <v>457500.56065073016</v>
      </c>
      <c r="T19" s="33">
        <f>T$30*'Load Shapes'!$E15</f>
        <v>13802054.749114225</v>
      </c>
      <c r="U19" s="17">
        <f>T19*Baselines!$F$20</f>
        <v>1282210.8861927115</v>
      </c>
      <c r="V19" s="17">
        <f t="shared" ref="V19:V29" si="9">S19-U19</f>
        <v>-824710.32554198138</v>
      </c>
    </row>
    <row r="20" spans="1:22" x14ac:dyDescent="0.25">
      <c r="A20" s="15">
        <v>3</v>
      </c>
      <c r="B20" s="30">
        <f t="shared" si="3"/>
        <v>40238</v>
      </c>
      <c r="C20" s="29">
        <f>Baselines!$D$22</f>
        <v>24.31449925256041</v>
      </c>
      <c r="D20" s="27">
        <f t="shared" si="0"/>
        <v>703449.75</v>
      </c>
      <c r="E20" s="17">
        <f t="shared" si="4"/>
        <v>17104028.420588806</v>
      </c>
      <c r="F20" s="33">
        <f>F$30*'Load Shapes'!$F11</f>
        <v>63157192.124606848</v>
      </c>
      <c r="G20" s="17">
        <f>F20*Baselines!$D$20</f>
        <v>23601842.696965579</v>
      </c>
      <c r="H20" s="17">
        <f t="shared" si="5"/>
        <v>-6497814.2763767727</v>
      </c>
      <c r="I20" s="28"/>
      <c r="J20" s="29">
        <f>Baselines!$E$22</f>
        <v>109.57901010915057</v>
      </c>
      <c r="K20" s="27">
        <f t="shared" si="1"/>
        <v>56862.085833333338</v>
      </c>
      <c r="L20" s="17">
        <f t="shared" si="6"/>
        <v>6230891.0783582218</v>
      </c>
      <c r="M20" s="33">
        <f>M$30*'Load Shapes'!$F13</f>
        <v>25146201.850441579</v>
      </c>
      <c r="N20" s="17">
        <f>M20*Baselines!$E$20</f>
        <v>6912690.8886863897</v>
      </c>
      <c r="O20" s="17">
        <f t="shared" si="7"/>
        <v>-681799.81032816786</v>
      </c>
      <c r="P20" s="11"/>
      <c r="Q20" s="29">
        <f>Baselines!$F$22</f>
        <v>1206.064746882417</v>
      </c>
      <c r="R20" s="27">
        <f t="shared" si="2"/>
        <v>379.33333333333331</v>
      </c>
      <c r="S20" s="17">
        <f t="shared" si="8"/>
        <v>457500.56065073016</v>
      </c>
      <c r="T20" s="33">
        <f>T$30*'Load Shapes'!$F15</f>
        <v>0</v>
      </c>
      <c r="U20" s="17">
        <f>T20*Baselines!$F$20</f>
        <v>0</v>
      </c>
      <c r="V20" s="17">
        <f t="shared" si="9"/>
        <v>457500.56065073016</v>
      </c>
    </row>
    <row r="21" spans="1:22" x14ac:dyDescent="0.25">
      <c r="A21" s="15">
        <v>4</v>
      </c>
      <c r="B21" s="30">
        <f t="shared" si="3"/>
        <v>40269</v>
      </c>
      <c r="C21" s="29">
        <f>Baselines!$D$22</f>
        <v>24.31449925256041</v>
      </c>
      <c r="D21" s="27">
        <f t="shared" si="0"/>
        <v>703449.75</v>
      </c>
      <c r="E21" s="17">
        <f t="shared" si="4"/>
        <v>17104028.420588806</v>
      </c>
      <c r="F21" s="33">
        <f>F$30*'Load Shapes'!$G11</f>
        <v>54783100.760574512</v>
      </c>
      <c r="G21" s="17">
        <f>F21*Baselines!$D$20</f>
        <v>20472444.754226696</v>
      </c>
      <c r="H21" s="17">
        <f t="shared" si="5"/>
        <v>-3368416.3336378895</v>
      </c>
      <c r="I21" s="28"/>
      <c r="J21" s="29">
        <f>Baselines!$E$22</f>
        <v>109.57901010915057</v>
      </c>
      <c r="K21" s="27">
        <f t="shared" si="1"/>
        <v>56862.085833333338</v>
      </c>
      <c r="L21" s="17">
        <f t="shared" si="6"/>
        <v>6230891.0783582218</v>
      </c>
      <c r="M21" s="33">
        <f>M$30*'Load Shapes'!$G13</f>
        <v>31275356.923793118</v>
      </c>
      <c r="N21" s="17">
        <f>M21*Baselines!$E$20</f>
        <v>8597595.6183507275</v>
      </c>
      <c r="O21" s="17">
        <f t="shared" si="7"/>
        <v>-2366704.5399925057</v>
      </c>
      <c r="P21" s="11"/>
      <c r="Q21" s="29">
        <f>Baselines!$F$22</f>
        <v>1206.064746882417</v>
      </c>
      <c r="R21" s="27">
        <f t="shared" si="2"/>
        <v>379.33333333333331</v>
      </c>
      <c r="S21" s="17">
        <f t="shared" si="8"/>
        <v>457500.56065073016</v>
      </c>
      <c r="T21" s="33">
        <f>T$30*'Load Shapes'!$G15</f>
        <v>12393856.327426953</v>
      </c>
      <c r="U21" s="17">
        <f>T21*Baselines!$F$20</f>
        <v>1151389.2528179639</v>
      </c>
      <c r="V21" s="17">
        <f t="shared" si="9"/>
        <v>-693888.69216723379</v>
      </c>
    </row>
    <row r="22" spans="1:22" x14ac:dyDescent="0.25">
      <c r="A22" s="15">
        <v>5</v>
      </c>
      <c r="B22" s="30">
        <f t="shared" si="3"/>
        <v>40299</v>
      </c>
      <c r="C22" s="29">
        <f>Baselines!$D$22</f>
        <v>24.31449925256041</v>
      </c>
      <c r="D22" s="27">
        <f t="shared" si="0"/>
        <v>703449.75</v>
      </c>
      <c r="E22" s="17">
        <f t="shared" si="4"/>
        <v>17104028.420588806</v>
      </c>
      <c r="F22" s="33">
        <f>F$30*'Load Shapes'!$H11</f>
        <v>40576859.858195119</v>
      </c>
      <c r="G22" s="17">
        <f>F22*Baselines!$D$20</f>
        <v>15163572.529007515</v>
      </c>
      <c r="H22" s="17">
        <f t="shared" si="5"/>
        <v>1940455.8915812913</v>
      </c>
      <c r="I22" s="28"/>
      <c r="J22" s="29">
        <f>Baselines!$E$22</f>
        <v>109.57901010915057</v>
      </c>
      <c r="K22" s="27">
        <f t="shared" si="1"/>
        <v>56862.085833333338</v>
      </c>
      <c r="L22" s="17">
        <f t="shared" si="6"/>
        <v>6230891.0783582218</v>
      </c>
      <c r="M22" s="33">
        <f>M$30*'Load Shapes'!$H13</f>
        <v>24766799.490303595</v>
      </c>
      <c r="N22" s="17">
        <f>M22*Baselines!$E$20</f>
        <v>6808393.179884458</v>
      </c>
      <c r="O22" s="17">
        <f t="shared" si="7"/>
        <v>-577502.10152623616</v>
      </c>
      <c r="P22" s="11"/>
      <c r="Q22" s="29">
        <f>Baselines!$F$22</f>
        <v>1206.064746882417</v>
      </c>
      <c r="R22" s="27">
        <f t="shared" si="2"/>
        <v>379.33333333333331</v>
      </c>
      <c r="S22" s="17">
        <f t="shared" si="8"/>
        <v>457500.56065073016</v>
      </c>
      <c r="T22" s="33">
        <f>T$30*'Load Shapes'!$H15</f>
        <v>10262863.29684886</v>
      </c>
      <c r="U22" s="17">
        <f>T22*Baselines!$F$20</f>
        <v>953420.00027725904</v>
      </c>
      <c r="V22" s="17">
        <f t="shared" si="9"/>
        <v>-495919.43962652888</v>
      </c>
    </row>
    <row r="23" spans="1:22" x14ac:dyDescent="0.25">
      <c r="A23" s="15">
        <v>6</v>
      </c>
      <c r="B23" s="30">
        <f t="shared" si="3"/>
        <v>40330</v>
      </c>
      <c r="C23" s="29">
        <f>Baselines!$D$22</f>
        <v>24.31449925256041</v>
      </c>
      <c r="D23" s="27">
        <f t="shared" si="0"/>
        <v>703449.75</v>
      </c>
      <c r="E23" s="17">
        <f t="shared" si="4"/>
        <v>17104028.420588806</v>
      </c>
      <c r="F23" s="33">
        <f>F$30*'Load Shapes'!$I11</f>
        <v>28539034.609587066</v>
      </c>
      <c r="G23" s="17">
        <f>F23*Baselines!$D$20</f>
        <v>10665037.233602686</v>
      </c>
      <c r="H23" s="17">
        <f t="shared" si="5"/>
        <v>6438991.1869861204</v>
      </c>
      <c r="I23" s="28"/>
      <c r="J23" s="29">
        <f>Baselines!$E$22</f>
        <v>109.57901010915057</v>
      </c>
      <c r="K23" s="27">
        <f t="shared" si="1"/>
        <v>56862.085833333338</v>
      </c>
      <c r="L23" s="17">
        <f t="shared" si="6"/>
        <v>6230891.0783582218</v>
      </c>
      <c r="M23" s="33">
        <f>M$30*'Load Shapes'!$I13</f>
        <v>20764766.428689107</v>
      </c>
      <c r="N23" s="17">
        <f>M23*Baselines!$E$20</f>
        <v>5708234.2912466349</v>
      </c>
      <c r="O23" s="17">
        <f t="shared" si="7"/>
        <v>522656.78711158689</v>
      </c>
      <c r="P23" s="11"/>
      <c r="Q23" s="29">
        <f>Baselines!$F$22</f>
        <v>1206.064746882417</v>
      </c>
      <c r="R23" s="27">
        <f t="shared" si="2"/>
        <v>379.33333333333331</v>
      </c>
      <c r="S23" s="17">
        <f t="shared" si="8"/>
        <v>457500.56065073016</v>
      </c>
      <c r="T23" s="33">
        <f>T$30*'Load Shapes'!$I15</f>
        <v>9680108.4753124919</v>
      </c>
      <c r="U23" s="17">
        <f>T23*Baselines!$F$20</f>
        <v>899282.07735653047</v>
      </c>
      <c r="V23" s="17">
        <f t="shared" si="9"/>
        <v>-441781.51670580031</v>
      </c>
    </row>
    <row r="24" spans="1:22" x14ac:dyDescent="0.25">
      <c r="A24" s="15">
        <v>7</v>
      </c>
      <c r="B24" s="30">
        <f t="shared" si="3"/>
        <v>40360</v>
      </c>
      <c r="C24" s="29">
        <f>Baselines!$D$22</f>
        <v>24.31449925256041</v>
      </c>
      <c r="D24" s="27">
        <f t="shared" si="0"/>
        <v>703449.75</v>
      </c>
      <c r="E24" s="17">
        <f t="shared" si="4"/>
        <v>17104028.420588806</v>
      </c>
      <c r="F24" s="33">
        <f>F$30*'Load Shapes'!$J11</f>
        <v>18050620.449777007</v>
      </c>
      <c r="G24" s="17">
        <f>F24*Baselines!$D$20</f>
        <v>6745516.8620816674</v>
      </c>
      <c r="H24" s="17">
        <f t="shared" si="5"/>
        <v>10358511.558507139</v>
      </c>
      <c r="I24" s="28"/>
      <c r="J24" s="29">
        <f>Baselines!$E$22</f>
        <v>109.57901010915057</v>
      </c>
      <c r="K24" s="27">
        <f t="shared" si="1"/>
        <v>56862.085833333338</v>
      </c>
      <c r="L24" s="17">
        <f t="shared" si="6"/>
        <v>6230891.0783582218</v>
      </c>
      <c r="M24" s="33">
        <f>M$30*'Load Shapes'!$J13</f>
        <v>15499233.995071979</v>
      </c>
      <c r="N24" s="17">
        <f>M24*Baselines!$E$20</f>
        <v>4260739.4252452869</v>
      </c>
      <c r="O24" s="17">
        <f t="shared" si="7"/>
        <v>1970151.6531129349</v>
      </c>
      <c r="P24" s="11"/>
      <c r="Q24" s="29">
        <f>Baselines!$F$22</f>
        <v>1206.064746882417</v>
      </c>
      <c r="R24" s="27">
        <f t="shared" si="2"/>
        <v>379.33333333333331</v>
      </c>
      <c r="S24" s="17">
        <f t="shared" si="8"/>
        <v>457500.56065073016</v>
      </c>
      <c r="T24" s="33">
        <f>T$30*'Load Shapes'!$J15</f>
        <v>7553128.575914884</v>
      </c>
      <c r="U24" s="17">
        <f>T24*Baselines!$F$20</f>
        <v>701685.64470249275</v>
      </c>
      <c r="V24" s="17">
        <f t="shared" si="9"/>
        <v>-244185.08405176259</v>
      </c>
    </row>
    <row r="25" spans="1:22" x14ac:dyDescent="0.25">
      <c r="A25" s="15">
        <v>8</v>
      </c>
      <c r="B25" s="30">
        <f t="shared" si="3"/>
        <v>40391</v>
      </c>
      <c r="C25" s="29">
        <f>Baselines!$D$22</f>
        <v>24.31449925256041</v>
      </c>
      <c r="D25" s="27">
        <f t="shared" si="0"/>
        <v>703449.75</v>
      </c>
      <c r="E25" s="17">
        <f t="shared" si="4"/>
        <v>17104028.420588806</v>
      </c>
      <c r="F25" s="33">
        <f>F$30*'Load Shapes'!$K11</f>
        <v>14377130.434892226</v>
      </c>
      <c r="G25" s="17">
        <f>F25*Baselines!$D$20</f>
        <v>5372733.6435192246</v>
      </c>
      <c r="H25" s="17">
        <f t="shared" si="5"/>
        <v>11731294.777069582</v>
      </c>
      <c r="I25" s="28"/>
      <c r="J25" s="29">
        <f>Baselines!$E$22</f>
        <v>109.57901010915057</v>
      </c>
      <c r="K25" s="27">
        <f t="shared" si="1"/>
        <v>56862.085833333338</v>
      </c>
      <c r="L25" s="17">
        <f t="shared" si="6"/>
        <v>6230891.0783582218</v>
      </c>
      <c r="M25" s="33">
        <f>M$30*'Load Shapes'!$K13</f>
        <v>8486249.815809248</v>
      </c>
      <c r="N25" s="17">
        <f>M25*Baselines!$E$20</f>
        <v>2332870.0743659623</v>
      </c>
      <c r="O25" s="17">
        <f t="shared" si="7"/>
        <v>3898021.0039922595</v>
      </c>
      <c r="P25" s="11"/>
      <c r="Q25" s="29">
        <f>Baselines!$F$22</f>
        <v>1206.064746882417</v>
      </c>
      <c r="R25" s="27">
        <f t="shared" si="2"/>
        <v>379.33333333333331</v>
      </c>
      <c r="S25" s="17">
        <f t="shared" si="8"/>
        <v>457500.56065073016</v>
      </c>
      <c r="T25" s="33">
        <f>T$30*'Load Shapes'!$K15</f>
        <v>4737684.7222203203</v>
      </c>
      <c r="U25" s="17">
        <f>T25*Baselines!$F$20</f>
        <v>440130.91069426772</v>
      </c>
      <c r="V25" s="17">
        <f t="shared" si="9"/>
        <v>17369.649956462439</v>
      </c>
    </row>
    <row r="26" spans="1:22" x14ac:dyDescent="0.25">
      <c r="A26" s="15">
        <v>9</v>
      </c>
      <c r="B26" s="30">
        <f t="shared" si="3"/>
        <v>40422</v>
      </c>
      <c r="C26" s="29">
        <f>Baselines!$D$22</f>
        <v>24.31449925256041</v>
      </c>
      <c r="D26" s="27">
        <f t="shared" si="0"/>
        <v>703449.75</v>
      </c>
      <c r="E26" s="17">
        <f t="shared" si="4"/>
        <v>17104028.420588806</v>
      </c>
      <c r="F26" s="33">
        <f>F$30*'Load Shapes'!$L11</f>
        <v>16456757.030417519</v>
      </c>
      <c r="G26" s="17">
        <f>F26*Baselines!$D$20</f>
        <v>6149890.102267026</v>
      </c>
      <c r="H26" s="17">
        <f t="shared" si="5"/>
        <v>10954138.318321779</v>
      </c>
      <c r="I26" s="28"/>
      <c r="J26" s="29">
        <f>Baselines!$E$22</f>
        <v>109.57901010915057</v>
      </c>
      <c r="K26" s="27">
        <f t="shared" si="1"/>
        <v>56862.085833333338</v>
      </c>
      <c r="L26" s="17">
        <f t="shared" si="6"/>
        <v>6230891.0783582218</v>
      </c>
      <c r="M26" s="33">
        <f>M$30*'Load Shapes'!$L13</f>
        <v>110875.80026986357</v>
      </c>
      <c r="N26" s="17">
        <f>M26*Baselines!$E$20</f>
        <v>30479.757494185491</v>
      </c>
      <c r="O26" s="17">
        <f t="shared" si="7"/>
        <v>6200411.3208640367</v>
      </c>
      <c r="P26" s="11"/>
      <c r="Q26" s="29">
        <f>Baselines!$F$22</f>
        <v>1206.064746882417</v>
      </c>
      <c r="R26" s="27">
        <f t="shared" si="2"/>
        <v>379.33333333333331</v>
      </c>
      <c r="S26" s="17">
        <f t="shared" si="8"/>
        <v>457500.56065073016</v>
      </c>
      <c r="T26" s="33">
        <f>T$30*'Load Shapes'!$L15</f>
        <v>9617754.1646839399</v>
      </c>
      <c r="U26" s="17">
        <f>T26*Baselines!$F$20</f>
        <v>893489.36189913796</v>
      </c>
      <c r="V26" s="17">
        <f t="shared" si="9"/>
        <v>-435988.80124840781</v>
      </c>
    </row>
    <row r="27" spans="1:22" x14ac:dyDescent="0.25">
      <c r="A27" s="15">
        <v>10</v>
      </c>
      <c r="B27" s="30">
        <f t="shared" si="3"/>
        <v>40452</v>
      </c>
      <c r="C27" s="29">
        <f>Baselines!$D$22</f>
        <v>24.31449925256041</v>
      </c>
      <c r="D27" s="27">
        <f t="shared" si="0"/>
        <v>703449.75</v>
      </c>
      <c r="E27" s="17">
        <f t="shared" si="4"/>
        <v>17104028.420588806</v>
      </c>
      <c r="F27" s="33">
        <f>F$30*'Load Shapes'!$M11</f>
        <v>24905551.924930707</v>
      </c>
      <c r="G27" s="17">
        <f>F27*Baselines!$D$20</f>
        <v>9307204.7543466054</v>
      </c>
      <c r="H27" s="17">
        <f t="shared" si="5"/>
        <v>7796823.6662422009</v>
      </c>
      <c r="I27" s="28"/>
      <c r="J27" s="29">
        <f>Baselines!$E$22</f>
        <v>109.57901010915057</v>
      </c>
      <c r="K27" s="27">
        <f t="shared" si="1"/>
        <v>56862.085833333338</v>
      </c>
      <c r="L27" s="17">
        <f t="shared" si="6"/>
        <v>6230891.0783582218</v>
      </c>
      <c r="M27" s="33">
        <f>M$30*'Load Shapes'!$M13</f>
        <v>11599760.451416899</v>
      </c>
      <c r="N27" s="17">
        <f>M27*Baselines!$E$20</f>
        <v>3188774.1480945051</v>
      </c>
      <c r="O27" s="17">
        <f t="shared" si="7"/>
        <v>3042116.9302637167</v>
      </c>
      <c r="P27" s="11"/>
      <c r="Q27" s="29">
        <f>Baselines!$F$22</f>
        <v>1206.064746882417</v>
      </c>
      <c r="R27" s="27">
        <f t="shared" si="2"/>
        <v>379.33333333333331</v>
      </c>
      <c r="S27" s="17">
        <f t="shared" si="8"/>
        <v>457500.56065073016</v>
      </c>
      <c r="T27" s="33">
        <f>T$30*'Load Shapes'!$M15</f>
        <v>5363448.4203751534</v>
      </c>
      <c r="U27" s="17">
        <f>T27*Baselines!$F$20</f>
        <v>498264.35825285176</v>
      </c>
      <c r="V27" s="17">
        <f t="shared" si="9"/>
        <v>-40763.797602121602</v>
      </c>
    </row>
    <row r="28" spans="1:22" x14ac:dyDescent="0.25">
      <c r="A28" s="15">
        <v>11</v>
      </c>
      <c r="B28" s="30">
        <f t="shared" si="3"/>
        <v>40483</v>
      </c>
      <c r="C28" s="29">
        <f>Baselines!$D$22</f>
        <v>24.31449925256041</v>
      </c>
      <c r="D28" s="27">
        <f t="shared" si="0"/>
        <v>703449.75</v>
      </c>
      <c r="E28" s="17">
        <f t="shared" si="4"/>
        <v>17104028.420588806</v>
      </c>
      <c r="F28" s="33">
        <f>F$30*'Load Shapes'!$N11</f>
        <v>49989016.574964531</v>
      </c>
      <c r="G28" s="17">
        <f>F28*Baselines!$D$20</f>
        <v>18680895.494064245</v>
      </c>
      <c r="H28" s="17">
        <f t="shared" si="5"/>
        <v>-1576867.0734754391</v>
      </c>
      <c r="I28" s="28"/>
      <c r="J28" s="29">
        <f>Baselines!$E$22</f>
        <v>109.57901010915057</v>
      </c>
      <c r="K28" s="27">
        <f t="shared" si="1"/>
        <v>56862.085833333338</v>
      </c>
      <c r="L28" s="17">
        <f t="shared" si="6"/>
        <v>6230891.0783582218</v>
      </c>
      <c r="M28" s="33">
        <f>M$30*'Load Shapes'!$N13</f>
        <v>27629710.938470144</v>
      </c>
      <c r="N28" s="17">
        <f>M28*Baselines!$E$20</f>
        <v>7595407.536985442</v>
      </c>
      <c r="O28" s="17">
        <f t="shared" si="7"/>
        <v>-1364516.4586272202</v>
      </c>
      <c r="P28" s="11"/>
      <c r="Q28" s="29">
        <f>Baselines!$F$22</f>
        <v>1206.064746882417</v>
      </c>
      <c r="R28" s="27">
        <f t="shared" si="2"/>
        <v>379.33333333333331</v>
      </c>
      <c r="S28" s="17">
        <f t="shared" si="8"/>
        <v>457500.56065073016</v>
      </c>
      <c r="T28" s="33">
        <f>T$30*'Load Shapes'!$N15</f>
        <v>9499503.086141184</v>
      </c>
      <c r="U28" s="17">
        <f>T28*Baselines!$F$20</f>
        <v>882503.83670251595</v>
      </c>
      <c r="V28" s="17">
        <f t="shared" si="9"/>
        <v>-425003.2760517858</v>
      </c>
    </row>
    <row r="29" spans="1:22" x14ac:dyDescent="0.25">
      <c r="A29" s="15">
        <v>12</v>
      </c>
      <c r="B29" s="30">
        <f t="shared" si="3"/>
        <v>40513</v>
      </c>
      <c r="C29" s="29">
        <f>Baselines!$D$22</f>
        <v>24.31449925256041</v>
      </c>
      <c r="D29" s="27">
        <f>D$30/12</f>
        <v>703449.75</v>
      </c>
      <c r="E29" s="17">
        <f t="shared" si="4"/>
        <v>17104028.420588806</v>
      </c>
      <c r="F29" s="33">
        <f>F$30*'Load Shapes'!$O11</f>
        <v>83837566.482777849</v>
      </c>
      <c r="G29" s="17">
        <f>F29*Baselines!$D$20</f>
        <v>31330098.594614081</v>
      </c>
      <c r="H29" s="17">
        <f t="shared" si="5"/>
        <v>-14226070.174025275</v>
      </c>
      <c r="I29" s="28"/>
      <c r="J29" s="29">
        <f>Baselines!$E$22</f>
        <v>109.57901010915057</v>
      </c>
      <c r="K29" s="27">
        <f>K$30/12</f>
        <v>56862.085833333338</v>
      </c>
      <c r="L29" s="17">
        <f t="shared" si="6"/>
        <v>6230891.0783582218</v>
      </c>
      <c r="M29" s="33">
        <f>M$30*'Load Shapes'!$O13</f>
        <v>44909959.970182315</v>
      </c>
      <c r="N29" s="17">
        <f>M29*Baselines!$E$20</f>
        <v>12345747.995803118</v>
      </c>
      <c r="O29" s="17">
        <f t="shared" si="7"/>
        <v>-6114856.917444896</v>
      </c>
      <c r="P29" s="11"/>
      <c r="Q29" s="29">
        <f>Baselines!$F$22</f>
        <v>1206.064746882417</v>
      </c>
      <c r="R29" s="27">
        <f>R$30/12</f>
        <v>379.33333333333331</v>
      </c>
      <c r="S29" s="17">
        <f t="shared" si="8"/>
        <v>457500.56065073016</v>
      </c>
      <c r="T29" s="33">
        <f>T$30*'Load Shapes'!$O15</f>
        <v>15444459.27448475</v>
      </c>
      <c r="U29" s="17">
        <f>T29*Baselines!$F$20</f>
        <v>1434790.2665996333</v>
      </c>
      <c r="V29" s="17">
        <f t="shared" si="9"/>
        <v>-977289.70594890311</v>
      </c>
    </row>
    <row r="30" spans="1:22" x14ac:dyDescent="0.25">
      <c r="A30" s="15"/>
      <c r="B30" s="11"/>
      <c r="C30" s="27"/>
      <c r="D30" s="37">
        <f>'[3]JKP-10.1 - Res'!$D$12+'[3]JKP-10.1 - Res'!$D$24</f>
        <v>8441397</v>
      </c>
      <c r="E30" s="11"/>
      <c r="F30" s="37">
        <f>'[3]JKP-10.1 - Res'!$D$13+'[3]JKP-10.1 - Res'!$D$25</f>
        <v>548027065</v>
      </c>
      <c r="G30" s="17">
        <f>F30*Baselines!$D$20</f>
        <v>204797714.19049999</v>
      </c>
      <c r="H30" s="17">
        <f>SUM(H18:H29)</f>
        <v>450626.85656563938</v>
      </c>
      <c r="I30" s="11"/>
      <c r="J30" s="27"/>
      <c r="K30" s="37">
        <f>'[3]JKP-10.1 - C&amp;I'!$D$12+'[3]JKP-10.1 - C&amp;I'!$D$52</f>
        <v>682345.03</v>
      </c>
      <c r="L30" s="11"/>
      <c r="M30" s="37">
        <f>'[3]JKP-10.1 - C&amp;I'!$D$13+'[3]JKP-10.1 - C&amp;I'!$D$63</f>
        <v>271955307</v>
      </c>
      <c r="N30" s="17">
        <f>M30*Baselines!$E$20</f>
        <v>74760513.894299999</v>
      </c>
      <c r="O30" s="17">
        <f>SUM(O18:O29)</f>
        <v>10179.04599866271</v>
      </c>
      <c r="P30" s="11"/>
      <c r="Q30" s="27"/>
      <c r="R30" s="37">
        <f>'[3]JKP-10.1 - Int &amp; Trans'!$D$12+'[3]JKP-10.1 - Int &amp; Trans'!$D$73+'[3]JKP-10.1 - Int &amp; Trans'!$D$130</f>
        <v>4552</v>
      </c>
      <c r="S30" s="11"/>
      <c r="T30" s="45">
        <f>'[3]JKP-10.1 - Int &amp; Trans'!$D$21+'[3]JKP-10.1 - Int &amp; Trans'!$D$60+'[3]JKP-10.1 - Int &amp; Trans'!$D$81</f>
        <v>113365118</v>
      </c>
      <c r="U30" s="17">
        <f>T30*Baselines!$F$20</f>
        <v>10531619.462199999</v>
      </c>
      <c r="V30" s="17">
        <f>SUM(V18:V29)</f>
        <v>-5041612.7343912376</v>
      </c>
    </row>
    <row r="31" spans="1:22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 x14ac:dyDescent="0.25">
      <c r="A32" s="11"/>
      <c r="B32" t="s">
        <v>54</v>
      </c>
      <c r="C32" t="s">
        <v>114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1:22" x14ac:dyDescent="0.25">
      <c r="A33" s="11"/>
      <c r="B33" s="11" t="s">
        <v>58</v>
      </c>
      <c r="C33" s="11" t="s">
        <v>115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1:22" x14ac:dyDescent="0.25">
      <c r="C34" t="s">
        <v>71</v>
      </c>
      <c r="J34" s="6"/>
    </row>
    <row r="36" spans="1:22" x14ac:dyDescent="0.25">
      <c r="A36" s="22"/>
      <c r="B36" s="22"/>
      <c r="C36" s="63" t="s">
        <v>51</v>
      </c>
      <c r="D36" s="63"/>
      <c r="E36" s="63"/>
      <c r="F36" s="63"/>
      <c r="G36" s="63"/>
      <c r="H36" s="63"/>
    </row>
    <row r="37" spans="1:22" x14ac:dyDescent="0.25">
      <c r="A37" s="22"/>
      <c r="B37" s="22"/>
      <c r="C37" s="24" t="s">
        <v>42</v>
      </c>
      <c r="D37" s="24" t="s">
        <v>13</v>
      </c>
      <c r="E37" s="24" t="s">
        <v>45</v>
      </c>
      <c r="F37" s="24" t="s">
        <v>13</v>
      </c>
      <c r="G37" s="24" t="s">
        <v>53</v>
      </c>
      <c r="H37" s="24" t="s">
        <v>28</v>
      </c>
    </row>
    <row r="38" spans="1:22" x14ac:dyDescent="0.25">
      <c r="A38" s="24" t="s">
        <v>36</v>
      </c>
      <c r="B38" s="22"/>
      <c r="C38" s="24" t="s">
        <v>14</v>
      </c>
      <c r="D38" s="24" t="s">
        <v>56</v>
      </c>
      <c r="E38" s="24" t="s">
        <v>14</v>
      </c>
      <c r="F38" s="24" t="s">
        <v>57</v>
      </c>
      <c r="G38" s="24" t="s">
        <v>14</v>
      </c>
      <c r="H38" s="24"/>
    </row>
    <row r="39" spans="1:22" ht="15.75" thickBot="1" x14ac:dyDescent="0.3">
      <c r="A39" s="25" t="s">
        <v>37</v>
      </c>
      <c r="B39" s="25" t="s">
        <v>38</v>
      </c>
      <c r="C39" s="25" t="s">
        <v>43</v>
      </c>
      <c r="D39" s="25"/>
      <c r="E39" s="25"/>
      <c r="F39" s="25"/>
      <c r="G39" s="25"/>
      <c r="H39" s="25"/>
      <c r="K39" t="s">
        <v>74</v>
      </c>
    </row>
    <row r="40" spans="1:22" x14ac:dyDescent="0.25">
      <c r="A40" s="15"/>
      <c r="B40" s="15" t="s">
        <v>31</v>
      </c>
      <c r="C40" s="15" t="s">
        <v>32</v>
      </c>
      <c r="D40" s="15" t="s">
        <v>44</v>
      </c>
      <c r="E40" s="26" t="s">
        <v>60</v>
      </c>
      <c r="F40" s="26" t="s">
        <v>61</v>
      </c>
      <c r="G40" s="26" t="s">
        <v>117</v>
      </c>
      <c r="H40" s="26" t="s">
        <v>62</v>
      </c>
      <c r="K40" s="32">
        <f>-(1-D53/Baselines!G16)</f>
        <v>3.2740576611212102E-3</v>
      </c>
      <c r="L40" t="s">
        <v>72</v>
      </c>
    </row>
    <row r="41" spans="1:22" x14ac:dyDescent="0.25">
      <c r="A41" s="15">
        <v>1</v>
      </c>
      <c r="B41" s="30">
        <v>40179</v>
      </c>
      <c r="C41" s="29">
        <f>Baselines!$G$22</f>
        <v>31.327703391293404</v>
      </c>
      <c r="D41" s="27">
        <f t="shared" ref="D41:D51" si="10">D$53/12</f>
        <v>760691.16916666657</v>
      </c>
      <c r="E41" s="17">
        <f>D41*C41</f>
        <v>23830707.320029527</v>
      </c>
      <c r="F41" s="33">
        <f>F$53*'Load Shapes'!$D17</f>
        <v>134618915.33729053</v>
      </c>
      <c r="G41" s="17">
        <f>F41*Baselines!$G$20</f>
        <v>43589604.786214672</v>
      </c>
      <c r="H41" s="17">
        <f>E41-G41</f>
        <v>-19758897.466185145</v>
      </c>
      <c r="K41" s="32">
        <f>-(1-F53/Baselines!G14)</f>
        <v>6.0282545252360986E-2</v>
      </c>
      <c r="L41" t="s">
        <v>73</v>
      </c>
    </row>
    <row r="42" spans="1:22" x14ac:dyDescent="0.25">
      <c r="A42" s="15">
        <v>2</v>
      </c>
      <c r="B42" s="30">
        <f t="shared" ref="B42:B52" si="11">EDATE(B41,1)</f>
        <v>40210</v>
      </c>
      <c r="C42" s="29">
        <f>Baselines!$G$22</f>
        <v>31.327703391293404</v>
      </c>
      <c r="D42" s="27">
        <f t="shared" si="10"/>
        <v>760691.16916666657</v>
      </c>
      <c r="E42" s="17">
        <f t="shared" ref="E42:E52" si="12">D42*C42</f>
        <v>23830707.320029527</v>
      </c>
      <c r="F42" s="33">
        <f>F$53*'Load Shapes'!$E17</f>
        <v>111051395.20072576</v>
      </c>
      <c r="G42" s="17">
        <f>F42*Baselines!$G$20</f>
        <v>35958441.765995003</v>
      </c>
      <c r="H42" s="17">
        <f t="shared" ref="H42:H52" si="13">E42-G42</f>
        <v>-12127734.445965476</v>
      </c>
      <c r="K42" s="6"/>
    </row>
    <row r="43" spans="1:22" x14ac:dyDescent="0.25">
      <c r="A43" s="15">
        <v>3</v>
      </c>
      <c r="B43" s="30">
        <f t="shared" si="11"/>
        <v>40238</v>
      </c>
      <c r="C43" s="29">
        <f>Baselines!$G$22</f>
        <v>31.327703391293404</v>
      </c>
      <c r="D43" s="27">
        <f t="shared" si="10"/>
        <v>760691.16916666657</v>
      </c>
      <c r="E43" s="17">
        <f t="shared" si="12"/>
        <v>23830707.320029527</v>
      </c>
      <c r="F43" s="33">
        <f>F$53*'Load Shapes'!$F17</f>
        <v>96192001.600096494</v>
      </c>
      <c r="G43" s="17">
        <f>F43*Baselines!$G$20</f>
        <v>31146970.118111242</v>
      </c>
      <c r="H43" s="17">
        <f t="shared" si="13"/>
        <v>-7316262.7980817147</v>
      </c>
      <c r="K43" s="6"/>
    </row>
    <row r="44" spans="1:22" x14ac:dyDescent="0.25">
      <c r="A44" s="15">
        <v>4</v>
      </c>
      <c r="B44" s="30">
        <f t="shared" si="11"/>
        <v>40269</v>
      </c>
      <c r="C44" s="29">
        <f>Baselines!$G$22</f>
        <v>31.327703391293404</v>
      </c>
      <c r="D44" s="27">
        <f t="shared" si="10"/>
        <v>760691.16916666657</v>
      </c>
      <c r="E44" s="17">
        <f t="shared" si="12"/>
        <v>23830707.320029527</v>
      </c>
      <c r="F44" s="33">
        <f>F$53*'Load Shapes'!$G17</f>
        <v>97816989.947519526</v>
      </c>
      <c r="G44" s="17">
        <f>F44*Baselines!$G$20</f>
        <v>31673141.34500682</v>
      </c>
      <c r="H44" s="17">
        <f t="shared" si="13"/>
        <v>-7842434.0249772929</v>
      </c>
    </row>
    <row r="45" spans="1:22" x14ac:dyDescent="0.25">
      <c r="A45" s="15">
        <v>5</v>
      </c>
      <c r="B45" s="30">
        <f t="shared" si="11"/>
        <v>40299</v>
      </c>
      <c r="C45" s="29">
        <f>Baselines!$G$22</f>
        <v>31.327703391293404</v>
      </c>
      <c r="D45" s="27">
        <f t="shared" si="10"/>
        <v>760691.16916666657</v>
      </c>
      <c r="E45" s="17">
        <f t="shared" si="12"/>
        <v>23830707.320029527</v>
      </c>
      <c r="F45" s="33">
        <f>F$53*'Load Shapes'!$H17</f>
        <v>74483736.95146583</v>
      </c>
      <c r="G45" s="17">
        <f>F45*Baselines!$G$20</f>
        <v>24117834.024884634</v>
      </c>
      <c r="H45" s="17">
        <f t="shared" si="13"/>
        <v>-287126.70485510677</v>
      </c>
    </row>
    <row r="46" spans="1:22" x14ac:dyDescent="0.25">
      <c r="A46" s="15">
        <v>6</v>
      </c>
      <c r="B46" s="30">
        <f t="shared" si="11"/>
        <v>40330</v>
      </c>
      <c r="C46" s="29">
        <f>Baselines!$G$22</f>
        <v>31.327703391293404</v>
      </c>
      <c r="D46" s="27">
        <f t="shared" si="10"/>
        <v>760691.16916666657</v>
      </c>
      <c r="E46" s="17">
        <f t="shared" si="12"/>
        <v>23830707.320029527</v>
      </c>
      <c r="F46" s="33">
        <f>F$53*'Load Shapes'!$I17</f>
        <v>56711074.641280189</v>
      </c>
      <c r="G46" s="17">
        <f>F46*Baselines!$G$20</f>
        <v>18363045.968846522</v>
      </c>
      <c r="H46" s="17">
        <f t="shared" si="13"/>
        <v>5467661.3511830047</v>
      </c>
    </row>
    <row r="47" spans="1:22" x14ac:dyDescent="0.25">
      <c r="A47" s="15">
        <v>7</v>
      </c>
      <c r="B47" s="30">
        <f t="shared" si="11"/>
        <v>40360</v>
      </c>
      <c r="C47" s="29">
        <f>Baselines!$G$22</f>
        <v>31.327703391293404</v>
      </c>
      <c r="D47" s="27">
        <f t="shared" si="10"/>
        <v>760691.16916666657</v>
      </c>
      <c r="E47" s="17">
        <f t="shared" si="12"/>
        <v>23830707.320029527</v>
      </c>
      <c r="F47" s="33">
        <f>F$53*'Load Shapes'!$J17</f>
        <v>38804265.325406834</v>
      </c>
      <c r="G47" s="17">
        <f>F47*Baselines!$G$20</f>
        <v>12564821.112366732</v>
      </c>
      <c r="H47" s="17">
        <f t="shared" si="13"/>
        <v>11265886.207662795</v>
      </c>
    </row>
    <row r="48" spans="1:22" x14ac:dyDescent="0.25">
      <c r="A48" s="15">
        <v>8</v>
      </c>
      <c r="B48" s="30">
        <f t="shared" si="11"/>
        <v>40391</v>
      </c>
      <c r="C48" s="29">
        <f>Baselines!$G$22</f>
        <v>31.327703391293404</v>
      </c>
      <c r="D48" s="27">
        <f t="shared" si="10"/>
        <v>760691.16916666657</v>
      </c>
      <c r="E48" s="17">
        <f t="shared" si="12"/>
        <v>23830707.320029527</v>
      </c>
      <c r="F48" s="33">
        <f>F$53*'Load Shapes'!$K17</f>
        <v>26536969.886895292</v>
      </c>
      <c r="G48" s="17">
        <f>F48*Baselines!$G$20</f>
        <v>8592670.8493766952</v>
      </c>
      <c r="H48" s="17">
        <f t="shared" si="13"/>
        <v>15238036.470652832</v>
      </c>
    </row>
    <row r="49" spans="1:13" x14ac:dyDescent="0.25">
      <c r="A49" s="15">
        <v>9</v>
      </c>
      <c r="B49" s="30">
        <f t="shared" si="11"/>
        <v>40422</v>
      </c>
      <c r="C49" s="29">
        <f>Baselines!$G$22</f>
        <v>31.327703391293404</v>
      </c>
      <c r="D49" s="27">
        <f t="shared" si="10"/>
        <v>760691.16916666657</v>
      </c>
      <c r="E49" s="17">
        <f t="shared" si="12"/>
        <v>23830707.320029527</v>
      </c>
      <c r="F49" s="33">
        <f>F$53*'Load Shapes'!$L17</f>
        <v>22416557.602531258</v>
      </c>
      <c r="G49" s="17">
        <f>F49*Baselines!$G$20</f>
        <v>7258481.3516996205</v>
      </c>
      <c r="H49" s="17">
        <f t="shared" si="13"/>
        <v>16572225.968329906</v>
      </c>
    </row>
    <row r="50" spans="1:13" x14ac:dyDescent="0.25">
      <c r="A50" s="15">
        <v>10</v>
      </c>
      <c r="B50" s="30">
        <f t="shared" si="11"/>
        <v>40452</v>
      </c>
      <c r="C50" s="29">
        <f>Baselines!$G$22</f>
        <v>31.327703391293404</v>
      </c>
      <c r="D50" s="27">
        <f t="shared" si="10"/>
        <v>760691.16916666657</v>
      </c>
      <c r="E50" s="17">
        <f t="shared" si="12"/>
        <v>23830707.320029527</v>
      </c>
      <c r="F50" s="33">
        <f>F$53*'Load Shapes'!$M17</f>
        <v>41739737.226326458</v>
      </c>
      <c r="G50" s="17">
        <f>F50*Baselines!$G$20</f>
        <v>13515326.913884506</v>
      </c>
      <c r="H50" s="17">
        <f t="shared" si="13"/>
        <v>10315380.406145021</v>
      </c>
    </row>
    <row r="51" spans="1:13" x14ac:dyDescent="0.25">
      <c r="A51" s="15">
        <v>11</v>
      </c>
      <c r="B51" s="30">
        <f t="shared" si="11"/>
        <v>40483</v>
      </c>
      <c r="C51" s="29">
        <f>Baselines!$G$22</f>
        <v>31.327703391293404</v>
      </c>
      <c r="D51" s="27">
        <f t="shared" si="10"/>
        <v>760691.16916666657</v>
      </c>
      <c r="E51" s="17">
        <f t="shared" si="12"/>
        <v>23830707.320029527</v>
      </c>
      <c r="F51" s="33">
        <f>F$53*'Load Shapes'!$N17</f>
        <v>87631178.330651894</v>
      </c>
      <c r="G51" s="17">
        <f>F51*Baselines!$G$20</f>
        <v>28374975.543465082</v>
      </c>
      <c r="H51" s="17">
        <f t="shared" si="13"/>
        <v>-4544268.2234355547</v>
      </c>
    </row>
    <row r="52" spans="1:13" x14ac:dyDescent="0.25">
      <c r="A52" s="15">
        <v>12</v>
      </c>
      <c r="B52" s="30">
        <f t="shared" si="11"/>
        <v>40513</v>
      </c>
      <c r="C52" s="29">
        <f>Baselines!$G$22</f>
        <v>31.327703391293404</v>
      </c>
      <c r="D52" s="27">
        <f>D$53/12</f>
        <v>760691.16916666657</v>
      </c>
      <c r="E52" s="17">
        <f t="shared" si="12"/>
        <v>23830707.320029527</v>
      </c>
      <c r="F52" s="33">
        <f>F$53*'Load Shapes'!$O17</f>
        <v>145344667.94980997</v>
      </c>
      <c r="G52" s="17">
        <f>F52*Baselines!$G$20</f>
        <v>47062603.482148461</v>
      </c>
      <c r="H52" s="17">
        <f t="shared" si="13"/>
        <v>-23231896.162118934</v>
      </c>
    </row>
    <row r="53" spans="1:13" x14ac:dyDescent="0.25">
      <c r="A53" s="15"/>
      <c r="B53" s="11"/>
      <c r="C53" s="27"/>
      <c r="D53" s="27">
        <f>D30+K30+R30</f>
        <v>9128294.0299999993</v>
      </c>
      <c r="E53" s="11"/>
      <c r="F53" s="33">
        <f>F30+M30+T30</f>
        <v>933347490</v>
      </c>
      <c r="G53" s="17">
        <f>F53*Baselines!$G$20</f>
        <v>302217917.26199996</v>
      </c>
      <c r="H53" s="17">
        <f>SUM(H41:H52)</f>
        <v>-16249429.421645666</v>
      </c>
      <c r="K53" s="51">
        <f>F30+M30+T30</f>
        <v>933347490</v>
      </c>
      <c r="L53" s="51">
        <f>G30+N30+U30</f>
        <v>290089847.54699999</v>
      </c>
      <c r="M53" s="51">
        <f>H30+O30+V30</f>
        <v>-4580806.8318269355</v>
      </c>
    </row>
    <row r="54" spans="1:13" x14ac:dyDescent="0.25">
      <c r="A54" s="11"/>
      <c r="B54" s="11"/>
      <c r="C54" s="11"/>
      <c r="D54" s="11"/>
      <c r="E54" s="11"/>
      <c r="F54" s="11"/>
      <c r="G54" s="11"/>
      <c r="H54" s="11"/>
    </row>
    <row r="55" spans="1:13" x14ac:dyDescent="0.25">
      <c r="A55" s="11"/>
      <c r="B55" t="s">
        <v>54</v>
      </c>
      <c r="C55" t="s">
        <v>59</v>
      </c>
      <c r="D55" s="11"/>
      <c r="E55" s="11"/>
      <c r="F55" s="11"/>
      <c r="G55" s="11"/>
      <c r="H55" s="11"/>
    </row>
    <row r="56" spans="1:13" x14ac:dyDescent="0.25">
      <c r="A56" s="11"/>
      <c r="B56" s="11" t="s">
        <v>58</v>
      </c>
      <c r="C56" s="11" t="s">
        <v>55</v>
      </c>
      <c r="D56" s="11"/>
      <c r="E56" s="11"/>
      <c r="F56" s="11"/>
      <c r="G56" s="11"/>
      <c r="H56" s="11"/>
    </row>
    <row r="57" spans="1:13" x14ac:dyDescent="0.25">
      <c r="C57" t="s">
        <v>71</v>
      </c>
    </row>
  </sheetData>
  <mergeCells count="7">
    <mergeCell ref="C36:H36"/>
    <mergeCell ref="D9:F9"/>
    <mergeCell ref="A3:V3"/>
    <mergeCell ref="A7:V7"/>
    <mergeCell ref="C13:H13"/>
    <mergeCell ref="J13:O13"/>
    <mergeCell ref="Q13:V13"/>
  </mergeCells>
  <pageMargins left="0.25" right="0.25" top="0.75" bottom="0.75" header="0.3" footer="0.3"/>
  <pageSetup scale="53" fitToHeight="0" orientation="landscape" r:id="rId1"/>
  <headerFooter>
    <oddHeader xml:space="preserve">&amp;C&amp;"-,Bold"&amp;22
Workpapers&amp;R&amp;18Docket Numbers UE-111048 and UG-111049
Appendix 1
Gas - Page 2d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P36"/>
  <sheetViews>
    <sheetView tabSelected="1" view="pageLayout" zoomScaleNormal="100" workbookViewId="0">
      <selection activeCell="H2" sqref="H2"/>
    </sheetView>
  </sheetViews>
  <sheetFormatPr defaultRowHeight="15" x14ac:dyDescent="0.25"/>
  <cols>
    <col min="1" max="1" width="22.5703125" bestFit="1" customWidth="1"/>
    <col min="2" max="2" width="8.140625" bestFit="1" customWidth="1"/>
    <col min="4" max="11" width="12.140625" bestFit="1" customWidth="1"/>
    <col min="12" max="12" width="12.28515625" customWidth="1"/>
    <col min="13" max="13" width="12.140625" customWidth="1"/>
    <col min="14" max="14" width="11.7109375" customWidth="1"/>
    <col min="15" max="15" width="11.5703125" bestFit="1" customWidth="1"/>
    <col min="16" max="16" width="12.140625" bestFit="1" customWidth="1"/>
  </cols>
  <sheetData>
    <row r="4" spans="1:16" ht="23.25" x14ac:dyDescent="0.35">
      <c r="A4" s="68" t="s">
        <v>134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7" spans="1:16" ht="23.25" x14ac:dyDescent="0.35">
      <c r="A7" s="68" t="s">
        <v>135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10" spans="1:16" x14ac:dyDescent="0.25">
      <c r="A10" t="s">
        <v>52</v>
      </c>
      <c r="D10" s="2" t="s">
        <v>1</v>
      </c>
      <c r="E10" s="2" t="s">
        <v>2</v>
      </c>
      <c r="F10" s="2" t="s">
        <v>3</v>
      </c>
      <c r="G10" s="2" t="s">
        <v>4</v>
      </c>
      <c r="H10" s="2" t="s">
        <v>5</v>
      </c>
      <c r="I10" s="2" t="s">
        <v>6</v>
      </c>
      <c r="J10" s="2" t="s">
        <v>7</v>
      </c>
      <c r="K10" s="2" t="s">
        <v>8</v>
      </c>
      <c r="L10" s="2" t="s">
        <v>9</v>
      </c>
      <c r="M10" s="2" t="s">
        <v>10</v>
      </c>
      <c r="N10" s="2" t="s">
        <v>11</v>
      </c>
      <c r="O10" s="2" t="s">
        <v>12</v>
      </c>
    </row>
    <row r="11" spans="1:16" x14ac:dyDescent="0.25">
      <c r="A11" t="s">
        <v>109</v>
      </c>
      <c r="D11" s="32">
        <f>D25/$P25</f>
        <v>0.15348793093875066</v>
      </c>
      <c r="E11" s="32">
        <f t="shared" ref="E11:O11" si="0">E25/$P25</f>
        <v>0.12634174270935053</v>
      </c>
      <c r="F11" s="32">
        <f t="shared" si="0"/>
        <v>0.11524465881006597</v>
      </c>
      <c r="G11" s="32">
        <f t="shared" si="0"/>
        <v>9.9964224870124824E-2</v>
      </c>
      <c r="H11" s="32">
        <f t="shared" si="0"/>
        <v>7.4041707882064392E-2</v>
      </c>
      <c r="I11" s="32">
        <f t="shared" si="0"/>
        <v>5.2075958346303693E-2</v>
      </c>
      <c r="J11" s="32">
        <f t="shared" si="0"/>
        <v>3.2937461674045251E-2</v>
      </c>
      <c r="K11" s="32">
        <f t="shared" si="0"/>
        <v>2.6234343799958541E-2</v>
      </c>
      <c r="L11" s="32">
        <f t="shared" si="0"/>
        <v>3.0029095425090947E-2</v>
      </c>
      <c r="M11" s="32">
        <f t="shared" si="0"/>
        <v>4.5445842943779985E-2</v>
      </c>
      <c r="N11" s="32">
        <f t="shared" si="0"/>
        <v>9.1216328111394518E-2</v>
      </c>
      <c r="O11" s="32">
        <f t="shared" si="0"/>
        <v>0.15298070448907089</v>
      </c>
    </row>
    <row r="12" spans="1:16" x14ac:dyDescent="0.25"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1:16" x14ac:dyDescent="0.25">
      <c r="A13" t="s">
        <v>108</v>
      </c>
      <c r="D13" s="32">
        <f>D29/$P29</f>
        <v>0.12524194896273727</v>
      </c>
      <c r="E13" s="32">
        <f t="shared" ref="E13:O13" si="1">E29/$P29</f>
        <v>0.10187769071964689</v>
      </c>
      <c r="F13" s="32">
        <f t="shared" si="1"/>
        <v>9.2464464576312091E-2</v>
      </c>
      <c r="G13" s="32">
        <f t="shared" si="1"/>
        <v>0.11500182610443825</v>
      </c>
      <c r="H13" s="32">
        <f t="shared" si="1"/>
        <v>9.106937372729261E-2</v>
      </c>
      <c r="I13" s="32">
        <f t="shared" si="1"/>
        <v>7.6353598897369951E-2</v>
      </c>
      <c r="J13" s="32">
        <f t="shared" si="1"/>
        <v>5.69918423951623E-2</v>
      </c>
      <c r="K13" s="32">
        <f t="shared" si="1"/>
        <v>3.1204575153994874E-2</v>
      </c>
      <c r="L13" s="32">
        <f t="shared" si="1"/>
        <v>4.0769860861683267E-4</v>
      </c>
      <c r="M13" s="32">
        <f t="shared" si="1"/>
        <v>4.2653186581929431E-2</v>
      </c>
      <c r="N13" s="32">
        <f t="shared" si="1"/>
        <v>0.10159651320380426</v>
      </c>
      <c r="O13" s="32">
        <f t="shared" si="1"/>
        <v>0.1651372810686953</v>
      </c>
    </row>
    <row r="14" spans="1:16" x14ac:dyDescent="0.25"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1:16" x14ac:dyDescent="0.25">
      <c r="A15" t="s">
        <v>107</v>
      </c>
      <c r="D15" s="32">
        <f>D34/$P34</f>
        <v>0.13240630956232263</v>
      </c>
      <c r="E15" s="32">
        <f t="shared" ref="E15:O15" si="2">E34/$P34</f>
        <v>0.1217486912430526</v>
      </c>
      <c r="F15" s="32">
        <f t="shared" si="2"/>
        <v>0</v>
      </c>
      <c r="G15" s="32">
        <f t="shared" si="2"/>
        <v>0.10932689478104679</v>
      </c>
      <c r="H15" s="32">
        <f t="shared" si="2"/>
        <v>9.0529286943880391E-2</v>
      </c>
      <c r="I15" s="32">
        <f t="shared" si="2"/>
        <v>8.5388774308094412E-2</v>
      </c>
      <c r="J15" s="32">
        <f t="shared" si="2"/>
        <v>6.6626566523883338E-2</v>
      </c>
      <c r="K15" s="32">
        <f t="shared" si="2"/>
        <v>4.1791379974749555E-2</v>
      </c>
      <c r="L15" s="32">
        <f t="shared" si="2"/>
        <v>8.4838743472078773E-2</v>
      </c>
      <c r="M15" s="32">
        <f t="shared" si="2"/>
        <v>4.731127629907423E-2</v>
      </c>
      <c r="N15" s="32">
        <f t="shared" si="2"/>
        <v>8.3795644142858686E-2</v>
      </c>
      <c r="O15" s="32">
        <f t="shared" si="2"/>
        <v>0.13623643274895855</v>
      </c>
    </row>
    <row r="16" spans="1:16" x14ac:dyDescent="0.25"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6" x14ac:dyDescent="0.25">
      <c r="A17" t="s">
        <v>51</v>
      </c>
      <c r="D17" s="32">
        <f>D36/$P36</f>
        <v>0.14423236445119761</v>
      </c>
      <c r="E17" s="32">
        <f t="shared" ref="E17:O17" si="3">E36/$P36</f>
        <v>0.11898183301561754</v>
      </c>
      <c r="F17" s="32">
        <f t="shared" si="3"/>
        <v>0.10306129563823704</v>
      </c>
      <c r="G17" s="32">
        <f t="shared" si="3"/>
        <v>0.10480232817417179</v>
      </c>
      <c r="H17" s="32">
        <f t="shared" si="3"/>
        <v>7.9802793439200048E-2</v>
      </c>
      <c r="I17" s="32">
        <f t="shared" si="3"/>
        <v>6.0760944073766344E-2</v>
      </c>
      <c r="J17" s="32">
        <f t="shared" si="3"/>
        <v>4.1575367953694112E-2</v>
      </c>
      <c r="K17" s="32">
        <f t="shared" si="3"/>
        <v>2.8432036482891589E-2</v>
      </c>
      <c r="L17" s="32">
        <f t="shared" si="3"/>
        <v>2.4017375996298291E-2</v>
      </c>
      <c r="M17" s="32">
        <f t="shared" si="3"/>
        <v>4.4720468714526097E-2</v>
      </c>
      <c r="N17" s="32">
        <f t="shared" si="3"/>
        <v>9.3889124114590911E-2</v>
      </c>
      <c r="O17" s="32">
        <f t="shared" si="3"/>
        <v>0.15572406794580865</v>
      </c>
    </row>
    <row r="21" spans="1:16" x14ac:dyDescent="0.25">
      <c r="A21" t="s">
        <v>110</v>
      </c>
    </row>
    <row r="23" spans="1:16" x14ac:dyDescent="0.25">
      <c r="D23" s="31">
        <v>40179</v>
      </c>
      <c r="E23" s="31">
        <v>40210</v>
      </c>
      <c r="F23" s="31">
        <v>40238</v>
      </c>
      <c r="G23" s="31">
        <v>40269</v>
      </c>
      <c r="H23" s="31">
        <v>40299</v>
      </c>
      <c r="I23" s="31">
        <v>40330</v>
      </c>
      <c r="J23" s="31">
        <v>40360</v>
      </c>
      <c r="K23" s="31">
        <v>40391</v>
      </c>
      <c r="L23" s="31">
        <v>40422</v>
      </c>
      <c r="M23" s="31">
        <v>40452</v>
      </c>
      <c r="N23" s="31">
        <v>40483</v>
      </c>
      <c r="O23" s="31">
        <v>40513</v>
      </c>
    </row>
    <row r="24" spans="1:16" x14ac:dyDescent="0.25">
      <c r="A24" s="49" t="s">
        <v>47</v>
      </c>
      <c r="B24" s="49" t="s">
        <v>96</v>
      </c>
      <c r="C24" s="49"/>
      <c r="D24" s="50">
        <v>82046992.040000007</v>
      </c>
      <c r="E24" s="50">
        <v>67535993.840000004</v>
      </c>
      <c r="F24" s="50">
        <v>61604046.300000004</v>
      </c>
      <c r="G24" s="50">
        <v>53435888.490000002</v>
      </c>
      <c r="H24" s="50">
        <v>39579003.899999999</v>
      </c>
      <c r="I24" s="50">
        <v>27837209.829999998</v>
      </c>
      <c r="J24" s="50">
        <v>17606724.120000001</v>
      </c>
      <c r="K24" s="50">
        <v>14023571.65</v>
      </c>
      <c r="L24" s="50">
        <v>16052056.59</v>
      </c>
      <c r="M24" s="50">
        <v>24293080.84</v>
      </c>
      <c r="N24" s="50">
        <v>48759699.219999999</v>
      </c>
      <c r="O24" s="50">
        <v>81775854.079999998</v>
      </c>
      <c r="P24" s="46">
        <f>SUM(D24:O24)</f>
        <v>534550120.89999992</v>
      </c>
    </row>
    <row r="25" spans="1:16" x14ac:dyDescent="0.25">
      <c r="A25" t="s">
        <v>49</v>
      </c>
      <c r="D25" s="46">
        <f>D24</f>
        <v>82046992.040000007</v>
      </c>
      <c r="E25" s="46">
        <f t="shared" ref="E25:O25" si="4">E24</f>
        <v>67535993.840000004</v>
      </c>
      <c r="F25" s="46">
        <f t="shared" si="4"/>
        <v>61604046.300000004</v>
      </c>
      <c r="G25" s="46">
        <f t="shared" si="4"/>
        <v>53435888.490000002</v>
      </c>
      <c r="H25" s="46">
        <f t="shared" si="4"/>
        <v>39579003.899999999</v>
      </c>
      <c r="I25" s="46">
        <f t="shared" si="4"/>
        <v>27837209.829999998</v>
      </c>
      <c r="J25" s="46">
        <f t="shared" si="4"/>
        <v>17606724.120000001</v>
      </c>
      <c r="K25" s="46">
        <f t="shared" si="4"/>
        <v>14023571.65</v>
      </c>
      <c r="L25" s="46">
        <f t="shared" si="4"/>
        <v>16052056.59</v>
      </c>
      <c r="M25" s="46">
        <f t="shared" si="4"/>
        <v>24293080.84</v>
      </c>
      <c r="N25" s="46">
        <f t="shared" si="4"/>
        <v>48759699.219999999</v>
      </c>
      <c r="O25" s="46">
        <f t="shared" si="4"/>
        <v>81775854.079999998</v>
      </c>
      <c r="P25" s="46">
        <f>SUM(D25:O25)</f>
        <v>534550120.89999992</v>
      </c>
    </row>
    <row r="26" spans="1:16" x14ac:dyDescent="0.25">
      <c r="D26" s="46"/>
      <c r="E26" s="46"/>
      <c r="F26" s="46"/>
      <c r="G26" s="46"/>
      <c r="H26" s="46"/>
      <c r="I26" s="46"/>
      <c r="J26" s="46"/>
      <c r="K26" s="46"/>
      <c r="L26" s="47"/>
      <c r="M26" s="47"/>
      <c r="N26" s="46"/>
      <c r="O26" s="46"/>
      <c r="P26" s="46"/>
    </row>
    <row r="27" spans="1:16" x14ac:dyDescent="0.25">
      <c r="A27" t="s">
        <v>97</v>
      </c>
      <c r="B27" t="s">
        <v>98</v>
      </c>
      <c r="D27" s="46">
        <v>29595528.020000003</v>
      </c>
      <c r="E27" s="46">
        <v>24074373.460000001</v>
      </c>
      <c r="F27" s="46">
        <v>21849859.100000001</v>
      </c>
      <c r="G27" s="46">
        <v>19676578.270000003</v>
      </c>
      <c r="H27" s="46">
        <v>15384907.17</v>
      </c>
      <c r="I27" s="46">
        <v>12480386.85</v>
      </c>
      <c r="J27" s="46">
        <v>8707355.0499999989</v>
      </c>
      <c r="K27" s="46">
        <v>7373818.1499999994</v>
      </c>
      <c r="L27" s="46">
        <v>96342.68</v>
      </c>
      <c r="M27" s="46">
        <v>10079228.32</v>
      </c>
      <c r="N27" s="46">
        <v>17812500.189999998</v>
      </c>
      <c r="O27" s="46">
        <v>30412985.18</v>
      </c>
      <c r="P27" s="46">
        <f t="shared" ref="P27:P34" si="5">SUM(D27:O27)</f>
        <v>197543862.44000003</v>
      </c>
    </row>
    <row r="28" spans="1:16" x14ac:dyDescent="0.25">
      <c r="A28" t="s">
        <v>99</v>
      </c>
      <c r="B28" t="s">
        <v>100</v>
      </c>
      <c r="D28" s="46">
        <v>219.32</v>
      </c>
      <c r="E28" s="46">
        <v>199.15</v>
      </c>
      <c r="F28" s="46">
        <v>287.39</v>
      </c>
      <c r="G28" s="46">
        <v>7499340.1600000001</v>
      </c>
      <c r="H28" s="46">
        <v>6135567.3799999999</v>
      </c>
      <c r="I28" s="46">
        <v>5562623.8200000003</v>
      </c>
      <c r="J28" s="46">
        <v>4760306.4000000004</v>
      </c>
      <c r="K28" s="46">
        <v>90.75</v>
      </c>
      <c r="L28" s="46">
        <v>0</v>
      </c>
      <c r="M28" s="46">
        <v>85.71</v>
      </c>
      <c r="N28" s="46">
        <v>6195627.7599999998</v>
      </c>
      <c r="O28" s="46">
        <v>8610371.5099999998</v>
      </c>
      <c r="P28" s="46">
        <f t="shared" si="5"/>
        <v>38764719.349999994</v>
      </c>
    </row>
    <row r="29" spans="1:16" x14ac:dyDescent="0.25">
      <c r="A29" t="s">
        <v>48</v>
      </c>
      <c r="D29" s="46">
        <f t="shared" ref="D29:O29" si="6">SUM(D27:D28)</f>
        <v>29595747.340000004</v>
      </c>
      <c r="E29" s="46">
        <f t="shared" si="6"/>
        <v>24074572.609999999</v>
      </c>
      <c r="F29" s="46">
        <f t="shared" si="6"/>
        <v>21850146.490000002</v>
      </c>
      <c r="G29" s="46">
        <f t="shared" si="6"/>
        <v>27175918.430000003</v>
      </c>
      <c r="H29" s="46">
        <f t="shared" si="6"/>
        <v>21520474.550000001</v>
      </c>
      <c r="I29" s="46">
        <f t="shared" si="6"/>
        <v>18043010.670000002</v>
      </c>
      <c r="J29" s="46">
        <f t="shared" si="6"/>
        <v>13467661.449999999</v>
      </c>
      <c r="K29" s="46">
        <f t="shared" si="6"/>
        <v>7373908.8999999994</v>
      </c>
      <c r="L29" s="47">
        <f t="shared" si="6"/>
        <v>96342.68</v>
      </c>
      <c r="M29" s="47">
        <f t="shared" si="6"/>
        <v>10079314.030000001</v>
      </c>
      <c r="N29" s="46">
        <f t="shared" si="6"/>
        <v>24008127.949999996</v>
      </c>
      <c r="O29" s="46">
        <f t="shared" si="6"/>
        <v>39023356.689999998</v>
      </c>
      <c r="P29" s="46">
        <f t="shared" si="5"/>
        <v>236308581.78999999</v>
      </c>
    </row>
    <row r="30" spans="1:16" x14ac:dyDescent="0.25">
      <c r="D30" s="46"/>
      <c r="E30" s="46"/>
      <c r="F30" s="46"/>
      <c r="G30" s="46"/>
      <c r="H30" s="46"/>
      <c r="I30" s="46"/>
      <c r="J30" s="46"/>
      <c r="K30" s="46"/>
      <c r="L30" s="47"/>
      <c r="M30" s="47"/>
      <c r="N30" s="46"/>
      <c r="O30" s="59"/>
      <c r="P30" s="46"/>
    </row>
    <row r="31" spans="1:16" x14ac:dyDescent="0.25">
      <c r="A31" t="s">
        <v>101</v>
      </c>
      <c r="B31" t="s">
        <v>102</v>
      </c>
      <c r="D31" s="46">
        <v>1815728.47</v>
      </c>
      <c r="E31" s="46">
        <v>4735329.16</v>
      </c>
      <c r="F31" s="46">
        <v>0</v>
      </c>
      <c r="G31" s="46">
        <v>1435145.76</v>
      </c>
      <c r="H31" s="46">
        <v>1121093.3</v>
      </c>
      <c r="I31" s="46">
        <v>919185.7</v>
      </c>
      <c r="J31" s="46">
        <v>556805.03</v>
      </c>
      <c r="K31" s="46">
        <v>1625446.14</v>
      </c>
      <c r="L31" s="46">
        <v>1032509.47</v>
      </c>
      <c r="M31" s="46">
        <v>1840138.6</v>
      </c>
      <c r="N31" s="46">
        <v>1033934.68</v>
      </c>
      <c r="O31" s="46">
        <v>1838160.36</v>
      </c>
      <c r="P31" s="46">
        <f t="shared" si="5"/>
        <v>17953476.669999998</v>
      </c>
    </row>
    <row r="32" spans="1:16" x14ac:dyDescent="0.25">
      <c r="A32" t="s">
        <v>103</v>
      </c>
      <c r="B32" t="s">
        <v>104</v>
      </c>
      <c r="D32" s="46">
        <v>3334121.21</v>
      </c>
      <c r="E32" s="46">
        <v>0</v>
      </c>
      <c r="F32" s="46">
        <v>0</v>
      </c>
      <c r="G32" s="46">
        <v>2817046.42</v>
      </c>
      <c r="H32" s="46">
        <v>2399979.23</v>
      </c>
      <c r="I32" s="46">
        <v>2401950.23</v>
      </c>
      <c r="J32" s="46">
        <v>2034588.11</v>
      </c>
      <c r="K32" s="46">
        <v>0</v>
      </c>
      <c r="L32" s="46">
        <v>623306.93999999994</v>
      </c>
      <c r="M32" s="46">
        <v>0</v>
      </c>
      <c r="N32" s="46">
        <v>2225237.58</v>
      </c>
      <c r="O32" s="46">
        <v>3460659.25</v>
      </c>
      <c r="P32" s="46">
        <f t="shared" si="5"/>
        <v>19296888.969999999</v>
      </c>
    </row>
    <row r="33" spans="1:16" x14ac:dyDescent="0.25">
      <c r="A33" t="s">
        <v>105</v>
      </c>
      <c r="B33" t="s">
        <v>106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1643926.46</v>
      </c>
      <c r="M33" s="46">
        <v>0</v>
      </c>
      <c r="N33" s="46">
        <v>0</v>
      </c>
      <c r="O33" s="46">
        <v>0</v>
      </c>
      <c r="P33" s="46">
        <f t="shared" si="5"/>
        <v>1643926.46</v>
      </c>
    </row>
    <row r="34" spans="1:16" x14ac:dyDescent="0.25">
      <c r="A34" t="s">
        <v>48</v>
      </c>
      <c r="D34" s="46">
        <f>SUM(D31:D33)</f>
        <v>5149849.68</v>
      </c>
      <c r="E34" s="46">
        <f t="shared" ref="E34:O34" si="7">SUM(E31:E33)</f>
        <v>4735329.16</v>
      </c>
      <c r="F34" s="46">
        <f t="shared" si="7"/>
        <v>0</v>
      </c>
      <c r="G34" s="46">
        <f t="shared" si="7"/>
        <v>4252192.18</v>
      </c>
      <c r="H34" s="46">
        <f t="shared" si="7"/>
        <v>3521072.5300000003</v>
      </c>
      <c r="I34" s="46">
        <f t="shared" si="7"/>
        <v>3321135.9299999997</v>
      </c>
      <c r="J34" s="46">
        <f t="shared" si="7"/>
        <v>2591393.14</v>
      </c>
      <c r="K34" s="46">
        <f t="shared" si="7"/>
        <v>1625446.14</v>
      </c>
      <c r="L34" s="46">
        <f t="shared" si="7"/>
        <v>3299742.87</v>
      </c>
      <c r="M34" s="46">
        <f t="shared" si="7"/>
        <v>1840138.6</v>
      </c>
      <c r="N34" s="46">
        <f t="shared" si="7"/>
        <v>3259172.2600000002</v>
      </c>
      <c r="O34" s="46">
        <f t="shared" si="7"/>
        <v>5298819.6100000003</v>
      </c>
      <c r="P34" s="46">
        <f t="shared" si="5"/>
        <v>38894292.100000001</v>
      </c>
    </row>
    <row r="35" spans="1:16" x14ac:dyDescent="0.25"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</row>
    <row r="36" spans="1:16" x14ac:dyDescent="0.25">
      <c r="A36" t="s">
        <v>50</v>
      </c>
      <c r="D36" s="46">
        <f t="shared" ref="D36:P36" si="8">D25+D29+D34</f>
        <v>116792589.06</v>
      </c>
      <c r="E36" s="46">
        <f t="shared" si="8"/>
        <v>96345895.609999999</v>
      </c>
      <c r="F36" s="46">
        <f t="shared" si="8"/>
        <v>83454192.790000007</v>
      </c>
      <c r="G36" s="46">
        <f t="shared" si="8"/>
        <v>84863999.099999994</v>
      </c>
      <c r="H36" s="46">
        <f t="shared" si="8"/>
        <v>64620550.980000004</v>
      </c>
      <c r="I36" s="46">
        <f t="shared" si="8"/>
        <v>49201356.43</v>
      </c>
      <c r="J36" s="46">
        <f t="shared" si="8"/>
        <v>33665778.710000001</v>
      </c>
      <c r="K36" s="46">
        <f t="shared" si="8"/>
        <v>23022926.690000001</v>
      </c>
      <c r="L36" s="46">
        <f t="shared" si="8"/>
        <v>19448142.140000001</v>
      </c>
      <c r="M36" s="46">
        <f t="shared" si="8"/>
        <v>36212533.470000006</v>
      </c>
      <c r="N36" s="46">
        <f t="shared" si="8"/>
        <v>76026999.429999992</v>
      </c>
      <c r="O36" s="46">
        <f t="shared" si="8"/>
        <v>126098030.38</v>
      </c>
      <c r="P36" s="46">
        <f t="shared" si="8"/>
        <v>809752994.78999996</v>
      </c>
    </row>
  </sheetData>
  <mergeCells count="2">
    <mergeCell ref="A7:P7"/>
    <mergeCell ref="A4:P4"/>
  </mergeCells>
  <pageMargins left="0.25" right="0.25" top="0.75" bottom="0.75" header="0.3" footer="0.3"/>
  <pageSetup scale="68" fitToHeight="0" orientation="landscape" r:id="rId1"/>
  <headerFooter>
    <oddHeader>&amp;C&amp;"-,Bold"&amp;18
Workpapers&amp;R&amp;16Docket Numbers UE-111048 and UG-111049 
Appendix 1
Gas - Page 2e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4EC8B21DBB10C40AB4409B4BAF96A70" ma:contentTypeVersion="135" ma:contentTypeDescription="" ma:contentTypeScope="" ma:versionID="4cf01636f593e233ed3b56f3bf2fb63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2011-06-13T07:00:00+00:00</OpenedDate>
    <Date1 xmlns="dc463f71-b30c-4ab2-9473-d307f9d35888">2011-12-07T08:00:00+00:00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111048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B4F64FA8-72E7-4BE7-AEFB-BDED22A96CDE}"/>
</file>

<file path=customXml/itemProps2.xml><?xml version="1.0" encoding="utf-8"?>
<ds:datastoreItem xmlns:ds="http://schemas.openxmlformats.org/officeDocument/2006/customXml" ds:itemID="{BBACA177-22F7-41C7-B74D-669240C0C5BD}"/>
</file>

<file path=customXml/itemProps3.xml><?xml version="1.0" encoding="utf-8"?>
<ds:datastoreItem xmlns:ds="http://schemas.openxmlformats.org/officeDocument/2006/customXml" ds:itemID="{7ECF7D4A-8AE8-4A7D-ABB9-0E6866CA9972}"/>
</file>

<file path=customXml/itemProps4.xml><?xml version="1.0" encoding="utf-8"?>
<ds:datastoreItem xmlns:ds="http://schemas.openxmlformats.org/officeDocument/2006/customXml" ds:itemID="{43869CD7-05C6-40FE-99C1-9D3AB2DA66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Summary</vt:lpstr>
      <vt:lpstr>Earnings</vt:lpstr>
      <vt:lpstr>Conservation</vt:lpstr>
      <vt:lpstr>Baselines</vt:lpstr>
      <vt:lpstr>Deferral</vt:lpstr>
      <vt:lpstr>Load Shapes</vt:lpstr>
      <vt:lpstr>Conservation!Print_Area</vt:lpstr>
      <vt:lpstr>Earnings!Print_Area</vt:lpstr>
      <vt:lpstr>Summary!Print_Area</vt:lpstr>
    </vt:vector>
  </TitlesOfParts>
  <Company>Washington Utilities and Transportation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Mickelson, Christopher (UTC)</dc:creator>
  <cp:lastModifiedBy>Linda Anderson</cp:lastModifiedBy>
  <cp:lastPrinted>2011-12-07T23:46:20Z</cp:lastPrinted>
  <dcterms:created xsi:type="dcterms:W3CDTF">2011-09-26T23:17:01Z</dcterms:created>
  <dcterms:modified xsi:type="dcterms:W3CDTF">2011-12-07T23:47:54Z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0x0101006E56B4D1795A2E4DB2F0B01679ED314A00C4EC8B21DBB10C40AB4409B4BAF96A70</vt:lpwstr>
  </property>
  <property fmtid="{D5CDD505-2E9C-101B-9397-08002B2CF9AE}" pid="3" name="_docset_NoMedatataSyncRequired">
    <vt:lpwstr>False</vt:lpwstr>
  </property>
</Properties>
</file>